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66" i="15" l="1"/>
  <c r="AM366" i="15"/>
  <c r="AL366" i="15"/>
  <c r="AJ366" i="15"/>
  <c r="AI366" i="15"/>
  <c r="AH366" i="15"/>
  <c r="AG366" i="15"/>
  <c r="AD366" i="15"/>
  <c r="AC366" i="15"/>
  <c r="AB366" i="15"/>
  <c r="AA366" i="15"/>
  <c r="AW365" i="15"/>
  <c r="AM365" i="15"/>
  <c r="AL365" i="15"/>
  <c r="AJ365" i="15"/>
  <c r="AI365" i="15"/>
  <c r="AH365" i="15"/>
  <c r="AG365" i="15"/>
  <c r="AD365" i="15"/>
  <c r="AC365" i="15"/>
  <c r="AB365" i="15"/>
  <c r="AA365" i="15"/>
  <c r="AW364" i="15"/>
  <c r="AM364" i="15"/>
  <c r="AL364" i="15"/>
  <c r="AJ364" i="15"/>
  <c r="AI364" i="15"/>
  <c r="AH364" i="15"/>
  <c r="AG364" i="15"/>
  <c r="AD364" i="15"/>
  <c r="AC364" i="15"/>
  <c r="AB364" i="15"/>
  <c r="AA364" i="15"/>
  <c r="AW363" i="15"/>
  <c r="AM363" i="15"/>
  <c r="AL363" i="15"/>
  <c r="AJ363" i="15"/>
  <c r="AI363" i="15"/>
  <c r="AH363" i="15"/>
  <c r="AG363" i="15"/>
  <c r="AD363" i="15"/>
  <c r="AC363" i="15"/>
  <c r="AB363" i="15"/>
  <c r="AA363" i="15"/>
  <c r="AW362" i="15"/>
  <c r="AM362" i="15"/>
  <c r="AL362" i="15"/>
  <c r="AJ362" i="15"/>
  <c r="AI362" i="15"/>
  <c r="AH362" i="15"/>
  <c r="AG362" i="15"/>
  <c r="AD362" i="15"/>
  <c r="AC362" i="15"/>
  <c r="AB362" i="15"/>
  <c r="AA362" i="15"/>
  <c r="AW361" i="15"/>
  <c r="AM361" i="15"/>
  <c r="AL361" i="15"/>
  <c r="AJ361" i="15"/>
  <c r="AI361" i="15"/>
  <c r="AH361" i="15"/>
  <c r="AG361" i="15"/>
  <c r="AD361" i="15"/>
  <c r="AC361" i="15"/>
  <c r="AB361" i="15"/>
  <c r="AA361" i="15"/>
  <c r="AW360" i="15"/>
  <c r="AU360" i="15"/>
  <c r="AM360" i="15"/>
  <c r="AL360" i="15"/>
  <c r="AD360" i="15"/>
  <c r="AC360" i="15"/>
  <c r="AB360" i="15"/>
  <c r="AA360" i="15"/>
  <c r="AW359" i="15"/>
  <c r="AU359" i="15"/>
  <c r="AM359" i="15"/>
  <c r="AL359" i="15"/>
  <c r="AD359" i="15"/>
  <c r="AC359" i="15"/>
  <c r="AB359" i="15"/>
  <c r="AA359" i="15"/>
  <c r="AW358" i="15"/>
  <c r="AU358" i="15" s="1"/>
  <c r="AM358" i="15"/>
  <c r="AL358" i="15"/>
  <c r="BZ357" i="15"/>
  <c r="AW357" i="15"/>
  <c r="AU357" i="15"/>
  <c r="AM357" i="15"/>
  <c r="AL357" i="15"/>
  <c r="AJ357" i="15"/>
  <c r="AI357" i="15"/>
  <c r="AH357" i="15"/>
  <c r="AG357" i="15"/>
  <c r="AR357" i="15" s="1"/>
  <c r="AD357" i="15"/>
  <c r="AC357" i="15"/>
  <c r="AB357" i="15"/>
  <c r="AA357" i="15"/>
  <c r="BZ356" i="15"/>
  <c r="AW356" i="15"/>
  <c r="AU356" i="15"/>
  <c r="AM356" i="15"/>
  <c r="AL356" i="15"/>
  <c r="AJ356" i="15"/>
  <c r="AI356" i="15"/>
  <c r="AH356" i="15"/>
  <c r="AG356" i="15"/>
  <c r="AR356" i="15" s="1"/>
  <c r="AD356" i="15"/>
  <c r="AC356" i="15"/>
  <c r="AB356" i="15"/>
  <c r="AA356" i="15"/>
  <c r="AW355" i="15"/>
  <c r="AU355" i="15"/>
  <c r="AM355" i="15"/>
  <c r="AL355" i="15"/>
  <c r="AJ355" i="15"/>
  <c r="AI355" i="15"/>
  <c r="AH355" i="15"/>
  <c r="AG355" i="15"/>
  <c r="AD355" i="15"/>
  <c r="AC355" i="15"/>
  <c r="AB355" i="15"/>
  <c r="AA355" i="15"/>
  <c r="AW354" i="15"/>
  <c r="AU354" i="15"/>
  <c r="AM354" i="15"/>
  <c r="AL354" i="15"/>
  <c r="AJ354" i="15"/>
  <c r="AI354" i="15"/>
  <c r="AH354" i="15"/>
  <c r="AG354" i="15"/>
  <c r="AD354" i="15"/>
  <c r="AC354" i="15"/>
  <c r="AB354" i="15"/>
  <c r="AA354" i="15"/>
  <c r="AW353" i="15"/>
  <c r="AU353" i="15"/>
  <c r="AM353" i="15"/>
  <c r="AL353" i="15"/>
  <c r="AJ353" i="15"/>
  <c r="AI353" i="15"/>
  <c r="AH353" i="15"/>
  <c r="AG353" i="15"/>
  <c r="AD353" i="15"/>
  <c r="AC353" i="15"/>
  <c r="AB353" i="15"/>
  <c r="AA353" i="15"/>
  <c r="AW352" i="15"/>
  <c r="AU352" i="15"/>
  <c r="AM352" i="15"/>
  <c r="AL352" i="15"/>
  <c r="AJ352" i="15"/>
  <c r="AI352" i="15"/>
  <c r="AH352" i="15"/>
  <c r="AG352" i="15"/>
  <c r="AD352" i="15"/>
  <c r="AC352" i="15"/>
  <c r="AB352" i="15"/>
  <c r="AA352" i="15"/>
  <c r="AY351" i="15"/>
  <c r="AW351" i="15"/>
  <c r="AL351" i="15"/>
  <c r="AJ351" i="15"/>
  <c r="AI351" i="15"/>
  <c r="AH351" i="15"/>
  <c r="AM351" i="15" s="1"/>
  <c r="AG351" i="15"/>
  <c r="AD351" i="15"/>
  <c r="AC351" i="15"/>
  <c r="AB351" i="15"/>
  <c r="AA351" i="15"/>
  <c r="CM350" i="15"/>
  <c r="CK350" i="15"/>
  <c r="BZ350" i="15"/>
  <c r="AY350" i="15"/>
  <c r="AW350" i="15"/>
  <c r="AU350" i="15"/>
  <c r="AR350" i="15"/>
  <c r="AL350" i="15"/>
  <c r="CM349" i="15"/>
  <c r="CK349" i="15"/>
  <c r="BZ349" i="15"/>
  <c r="AY349" i="15"/>
  <c r="AW349" i="15"/>
  <c r="AU349" i="15"/>
  <c r="AR349" i="15"/>
  <c r="AL349" i="15"/>
  <c r="BZ348" i="15"/>
  <c r="BY348" i="15"/>
  <c r="AY348" i="15"/>
  <c r="AW348" i="15"/>
  <c r="AU348" i="15"/>
  <c r="AM348" i="15"/>
  <c r="AL348" i="15"/>
  <c r="AJ348" i="15"/>
  <c r="AI348" i="15"/>
  <c r="AH348" i="15"/>
  <c r="AG348" i="15"/>
  <c r="AR348" i="15" s="1"/>
  <c r="AD348" i="15"/>
  <c r="AC348" i="15"/>
  <c r="AB348" i="15"/>
  <c r="AA348" i="15"/>
  <c r="BZ347" i="15"/>
  <c r="BY347" i="15"/>
  <c r="AY347" i="15"/>
  <c r="AW347" i="15"/>
  <c r="AM347" i="15"/>
  <c r="AL347" i="15"/>
  <c r="AJ347" i="15"/>
  <c r="AI347" i="15"/>
  <c r="AH347" i="15"/>
  <c r="AG347" i="15"/>
  <c r="AR347" i="15" s="1"/>
  <c r="BZ346" i="15"/>
  <c r="BY346" i="15"/>
  <c r="AY346" i="15"/>
  <c r="AW346" i="15"/>
  <c r="AM346" i="15"/>
  <c r="AL346" i="15"/>
  <c r="AJ346" i="15"/>
  <c r="AI346" i="15"/>
  <c r="AH346" i="15"/>
  <c r="AG346" i="15"/>
  <c r="AR346" i="15" s="1"/>
  <c r="BZ345" i="15"/>
  <c r="BY345" i="15"/>
  <c r="AY345" i="15"/>
  <c r="AW345" i="15"/>
  <c r="AM345" i="15"/>
  <c r="AL345" i="15"/>
  <c r="AJ345" i="15"/>
  <c r="AI345" i="15"/>
  <c r="AH345" i="15"/>
  <c r="AG345" i="15"/>
  <c r="AR345" i="15" s="1"/>
  <c r="AY344" i="15"/>
  <c r="AW344" i="15"/>
  <c r="AR344" i="15"/>
  <c r="AQ344" i="15"/>
  <c r="AM344" i="15"/>
  <c r="AL344" i="15"/>
  <c r="AJ344" i="15"/>
  <c r="AI344" i="15"/>
  <c r="AH344" i="15"/>
  <c r="AG344" i="15"/>
  <c r="AY343" i="15"/>
  <c r="AW343" i="15"/>
  <c r="AM343" i="15"/>
  <c r="AL343" i="15"/>
  <c r="AJ343" i="15"/>
  <c r="AI343" i="15"/>
  <c r="AH343" i="15"/>
  <c r="AG343" i="15"/>
  <c r="AR343" i="15" s="1"/>
  <c r="AD343" i="15"/>
  <c r="AC343" i="15"/>
  <c r="AB343" i="15"/>
  <c r="AA343" i="15"/>
  <c r="AY342" i="15"/>
  <c r="AW342" i="15"/>
  <c r="AR342" i="15"/>
  <c r="AQ342" i="15"/>
  <c r="AM342" i="15"/>
  <c r="AL342" i="15"/>
  <c r="AJ342" i="15"/>
  <c r="AI342" i="15"/>
  <c r="AH342" i="15"/>
  <c r="AG342" i="15"/>
  <c r="AD342" i="15"/>
  <c r="AC342" i="15"/>
  <c r="AB342" i="15"/>
  <c r="AA342" i="15"/>
  <c r="AY341" i="15"/>
  <c r="AW341" i="15"/>
  <c r="AM341" i="15"/>
  <c r="AL341" i="15"/>
  <c r="AJ341" i="15"/>
  <c r="AI341" i="15"/>
  <c r="AH341" i="15"/>
  <c r="AG341" i="15"/>
  <c r="AR341" i="15" s="1"/>
  <c r="AD341" i="15"/>
  <c r="AC341" i="15"/>
  <c r="AB341" i="15"/>
  <c r="AA341" i="15"/>
  <c r="AY340" i="15"/>
  <c r="BB340" i="15" s="1"/>
  <c r="AW340" i="15"/>
  <c r="AM340" i="15"/>
  <c r="AL340" i="15"/>
  <c r="AJ340" i="15"/>
  <c r="AI340" i="15"/>
  <c r="AH340" i="15"/>
  <c r="AG340" i="15"/>
  <c r="AR340" i="15" s="1"/>
  <c r="AD340" i="15"/>
  <c r="AC340" i="15"/>
  <c r="AB340" i="15"/>
  <c r="AA340" i="15"/>
  <c r="BB339" i="15"/>
  <c r="AY339" i="15"/>
  <c r="AW339" i="15"/>
  <c r="AR339" i="15"/>
  <c r="AQ339" i="15"/>
  <c r="AM339" i="15"/>
  <c r="AL339" i="15"/>
  <c r="AJ339" i="15"/>
  <c r="AI339" i="15"/>
  <c r="AH339" i="15"/>
  <c r="AG339" i="15"/>
  <c r="AD339" i="15"/>
  <c r="AC339" i="15"/>
  <c r="AB339" i="15"/>
  <c r="AA339" i="15"/>
  <c r="AY338" i="15"/>
  <c r="BB338" i="15" s="1"/>
  <c r="AW338" i="15"/>
  <c r="AM338" i="15"/>
  <c r="AL338" i="15"/>
  <c r="AJ338" i="15"/>
  <c r="AI338" i="15"/>
  <c r="AH338" i="15"/>
  <c r="AG338" i="15"/>
  <c r="AD338" i="15"/>
  <c r="AC338" i="15"/>
  <c r="AB338" i="15"/>
  <c r="AA338" i="15"/>
  <c r="CB337" i="15"/>
  <c r="BZ337" i="15"/>
  <c r="BY337" i="15"/>
  <c r="AY337" i="15"/>
  <c r="BB337" i="15" s="1"/>
  <c r="AW337" i="15"/>
  <c r="AM337" i="15"/>
  <c r="AL337" i="15"/>
  <c r="AJ337" i="15"/>
  <c r="AI337" i="15"/>
  <c r="AH337" i="15"/>
  <c r="AG337" i="15"/>
  <c r="AR337" i="15" s="1"/>
  <c r="AQ337" i="15" s="1"/>
  <c r="AD337" i="15"/>
  <c r="AC337" i="15"/>
  <c r="AB337" i="15"/>
  <c r="AA337" i="15"/>
  <c r="BZ336" i="15"/>
  <c r="CB336" i="15" s="1"/>
  <c r="BY336" i="15"/>
  <c r="AY336" i="15"/>
  <c r="BB336" i="15" s="1"/>
  <c r="AW336" i="15"/>
  <c r="AM336" i="15"/>
  <c r="AL336" i="15"/>
  <c r="AJ336" i="15"/>
  <c r="AI336" i="15"/>
  <c r="AH336" i="15"/>
  <c r="AG336" i="15"/>
  <c r="AR336" i="15" s="1"/>
  <c r="AD336" i="15"/>
  <c r="AC336" i="15"/>
  <c r="AB336" i="15"/>
  <c r="AA336" i="15"/>
  <c r="CB335" i="15"/>
  <c r="BZ335" i="15"/>
  <c r="BY335" i="15"/>
  <c r="AY335" i="15"/>
  <c r="AW335" i="15"/>
  <c r="AM335" i="15"/>
  <c r="AL335" i="15"/>
  <c r="AJ335" i="15"/>
  <c r="AI335" i="15"/>
  <c r="AH335" i="15"/>
  <c r="AG335" i="15"/>
  <c r="AR335" i="15" s="1"/>
  <c r="AD335" i="15"/>
  <c r="AC335" i="15"/>
  <c r="AB335" i="15"/>
  <c r="AA335" i="15"/>
  <c r="BZ334" i="15"/>
  <c r="CB334" i="15" s="1"/>
  <c r="BY334" i="15"/>
  <c r="AY334" i="15"/>
  <c r="AW334" i="15"/>
  <c r="AM334" i="15"/>
  <c r="AL334" i="15"/>
  <c r="AJ334" i="15"/>
  <c r="AI334" i="15"/>
  <c r="AH334" i="15"/>
  <c r="AG334" i="15"/>
  <c r="AR334" i="15" s="1"/>
  <c r="AQ334" i="15" s="1"/>
  <c r="AD334" i="15"/>
  <c r="AC334" i="15"/>
  <c r="AB334" i="15"/>
  <c r="AA334" i="15"/>
  <c r="CN333" i="15"/>
  <c r="CM333" i="15"/>
  <c r="CK333" i="15"/>
  <c r="CH333" i="15"/>
  <c r="CG333" i="15"/>
  <c r="CE333" i="15"/>
  <c r="CB333" i="15"/>
  <c r="BZ333" i="15"/>
  <c r="BY333" i="15"/>
  <c r="AY333" i="15"/>
  <c r="AW333" i="15"/>
  <c r="AU333" i="15"/>
  <c r="AM333" i="15"/>
  <c r="AL333" i="15"/>
  <c r="AJ333" i="15"/>
  <c r="AI333" i="15"/>
  <c r="AH333" i="15"/>
  <c r="AG333" i="15"/>
  <c r="AR333" i="15" s="1"/>
  <c r="AQ333" i="15" s="1"/>
  <c r="AD333" i="15"/>
  <c r="AC333" i="15"/>
  <c r="AB333" i="15"/>
  <c r="AA333" i="15"/>
  <c r="CN332" i="15"/>
  <c r="CM332" i="15"/>
  <c r="CK332" i="15"/>
  <c r="CH332" i="15"/>
  <c r="CG332" i="15"/>
  <c r="CE332" i="15"/>
  <c r="CB332" i="15"/>
  <c r="BZ332" i="15"/>
  <c r="BY332" i="15"/>
  <c r="AY332" i="15"/>
  <c r="AW332" i="15"/>
  <c r="AU332" i="15"/>
  <c r="AM332" i="15"/>
  <c r="AL332" i="15"/>
  <c r="AJ332" i="15"/>
  <c r="AI332" i="15"/>
  <c r="AH332" i="15"/>
  <c r="AG332" i="15"/>
  <c r="AR332" i="15" s="1"/>
  <c r="AQ332" i="15" s="1"/>
  <c r="AD332" i="15"/>
  <c r="AC332" i="15"/>
  <c r="AB332" i="15"/>
  <c r="AA332" i="15"/>
  <c r="CN331" i="15"/>
  <c r="CM331" i="15"/>
  <c r="CK331" i="15"/>
  <c r="CH331" i="15"/>
  <c r="CG331" i="15"/>
  <c r="CE331" i="15"/>
  <c r="AY331" i="15"/>
  <c r="AW331" i="15"/>
  <c r="AU331" i="15"/>
  <c r="AM331" i="15"/>
  <c r="AL331" i="15"/>
  <c r="AJ331" i="15"/>
  <c r="AI331" i="15"/>
  <c r="AH331" i="15"/>
  <c r="AG331" i="15"/>
  <c r="AR331" i="15" s="1"/>
  <c r="AD331" i="15"/>
  <c r="AC331" i="15"/>
  <c r="AB331" i="15"/>
  <c r="AA331" i="15"/>
  <c r="CN330" i="15"/>
  <c r="CM330" i="15"/>
  <c r="CK330" i="15"/>
  <c r="CH330" i="15"/>
  <c r="CG330" i="15"/>
  <c r="CE330" i="15"/>
  <c r="BZ330" i="15"/>
  <c r="CB330" i="15" s="1"/>
  <c r="BY330" i="15"/>
  <c r="AY330" i="15"/>
  <c r="AW330" i="15"/>
  <c r="AU330" i="15"/>
  <c r="AM330" i="15"/>
  <c r="AL330" i="15"/>
  <c r="AJ330" i="15"/>
  <c r="AI330" i="15"/>
  <c r="AH330" i="15"/>
  <c r="AG330" i="15"/>
  <c r="AR330" i="15" s="1"/>
  <c r="AD330" i="15"/>
  <c r="AC330" i="15"/>
  <c r="AB330" i="15"/>
  <c r="AA330" i="15"/>
  <c r="CN329" i="15"/>
  <c r="CM329" i="15"/>
  <c r="CK329" i="15"/>
  <c r="CH329" i="15"/>
  <c r="CG329" i="15"/>
  <c r="CE329" i="15"/>
  <c r="BZ329" i="15"/>
  <c r="CB329" i="15" s="1"/>
  <c r="BY329" i="15"/>
  <c r="AY329" i="15"/>
  <c r="AW329" i="15"/>
  <c r="AU329" i="15"/>
  <c r="AM329" i="15"/>
  <c r="AL329" i="15"/>
  <c r="AJ329" i="15"/>
  <c r="AI329" i="15"/>
  <c r="AH329" i="15"/>
  <c r="AG329" i="15"/>
  <c r="AR329" i="15" s="1"/>
  <c r="AD329" i="15"/>
  <c r="AC329" i="15"/>
  <c r="AB329" i="15"/>
  <c r="AA329" i="15"/>
  <c r="CN328" i="15"/>
  <c r="CM328" i="15"/>
  <c r="CK328" i="15"/>
  <c r="CH328" i="15"/>
  <c r="CG328" i="15"/>
  <c r="CE328" i="15"/>
  <c r="AY328" i="15"/>
  <c r="AW328" i="15"/>
  <c r="AU328" i="15"/>
  <c r="AR328" i="15"/>
  <c r="AQ328" i="15" s="1"/>
  <c r="AM328" i="15"/>
  <c r="AL328" i="15"/>
  <c r="AJ328" i="15"/>
  <c r="AI328" i="15"/>
  <c r="AH328" i="15"/>
  <c r="AG328" i="15"/>
  <c r="AD328" i="15"/>
  <c r="AC328" i="15"/>
  <c r="AB328" i="15"/>
  <c r="AA328" i="15"/>
  <c r="AW327" i="15"/>
  <c r="AU327" i="15"/>
  <c r="AM327" i="15"/>
  <c r="AL327" i="15"/>
  <c r="AJ327" i="15"/>
  <c r="AI327" i="15"/>
  <c r="AH327" i="15"/>
  <c r="AG327" i="15"/>
  <c r="AD327" i="15"/>
  <c r="AC327" i="15"/>
  <c r="AB327" i="15"/>
  <c r="AA327" i="15"/>
  <c r="AW326" i="15"/>
  <c r="AU326" i="15"/>
  <c r="AM326" i="15"/>
  <c r="AL326" i="15"/>
  <c r="AJ326" i="15"/>
  <c r="AI326" i="15"/>
  <c r="AH326" i="15"/>
  <c r="AG326" i="15"/>
  <c r="AD326" i="15"/>
  <c r="AC326" i="15"/>
  <c r="AB326" i="15"/>
  <c r="AA326" i="15"/>
  <c r="CS325" i="15"/>
  <c r="CQ325" i="15"/>
  <c r="AW325" i="15"/>
  <c r="AM325" i="15"/>
  <c r="AL325" i="15"/>
  <c r="AJ325" i="15"/>
  <c r="AI325" i="15"/>
  <c r="AH325" i="15"/>
  <c r="AG325" i="15"/>
  <c r="AR325" i="15" s="1"/>
  <c r="AD325" i="15"/>
  <c r="AC325" i="15"/>
  <c r="AB325" i="15"/>
  <c r="AA325" i="15"/>
  <c r="CS324" i="15"/>
  <c r="CQ324" i="15"/>
  <c r="AW324" i="15"/>
  <c r="AM324" i="15"/>
  <c r="AL324" i="15"/>
  <c r="AJ324" i="15"/>
  <c r="AI324" i="15"/>
  <c r="AH324" i="15"/>
  <c r="AG324" i="15"/>
  <c r="AR324" i="15" s="1"/>
  <c r="AD324" i="15"/>
  <c r="AC324" i="15"/>
  <c r="AB324" i="15"/>
  <c r="AA324" i="15"/>
  <c r="CS323" i="15"/>
  <c r="CQ323" i="15"/>
  <c r="AW323" i="15"/>
  <c r="AM323" i="15"/>
  <c r="AL323" i="15"/>
  <c r="AJ323" i="15"/>
  <c r="AI323" i="15"/>
  <c r="AH323" i="15"/>
  <c r="AG323" i="15"/>
  <c r="AR323" i="15" s="1"/>
  <c r="AD323" i="15"/>
  <c r="AC323" i="15"/>
  <c r="AB323" i="15"/>
  <c r="AA323" i="15"/>
  <c r="CS322" i="15"/>
  <c r="CQ322" i="15"/>
  <c r="AW322" i="15"/>
  <c r="AM322" i="15"/>
  <c r="AL322" i="15"/>
  <c r="AJ322" i="15"/>
  <c r="AI322" i="15"/>
  <c r="AH322" i="15"/>
  <c r="AG322" i="15"/>
  <c r="AR322" i="15" s="1"/>
  <c r="AD322" i="15"/>
  <c r="AC322" i="15"/>
  <c r="AB322" i="15"/>
  <c r="AA322" i="15"/>
  <c r="CS321" i="15"/>
  <c r="CQ321" i="15"/>
  <c r="AW321" i="15"/>
  <c r="AM321" i="15"/>
  <c r="AL321" i="15"/>
  <c r="AJ321" i="15"/>
  <c r="AI321" i="15"/>
  <c r="AH321" i="15"/>
  <c r="AG321" i="15"/>
  <c r="AR321" i="15" s="1"/>
  <c r="AD321" i="15"/>
  <c r="AC321" i="15"/>
  <c r="AB321" i="15"/>
  <c r="AA321" i="15"/>
  <c r="CS320" i="15"/>
  <c r="CQ320" i="15"/>
  <c r="AW320" i="15"/>
  <c r="AR320" i="15"/>
  <c r="AQ320" i="15"/>
  <c r="AM320" i="15"/>
  <c r="AL320" i="15"/>
  <c r="AJ320" i="15"/>
  <c r="AI320" i="15"/>
  <c r="AX320" i="15" s="1"/>
  <c r="AY320" i="15" s="1"/>
  <c r="AH320" i="15"/>
  <c r="AG320" i="15"/>
  <c r="AD320" i="15"/>
  <c r="AC320" i="15"/>
  <c r="AB320" i="15"/>
  <c r="AA320" i="15"/>
  <c r="CS319" i="15"/>
  <c r="CQ319" i="15"/>
  <c r="AW319" i="15"/>
  <c r="AR319" i="15"/>
  <c r="AQ319" i="15"/>
  <c r="AM319" i="15"/>
  <c r="AL319" i="15"/>
  <c r="AJ319" i="15"/>
  <c r="AI319" i="15"/>
  <c r="AX319" i="15" s="1"/>
  <c r="AY319" i="15" s="1"/>
  <c r="AH319" i="15"/>
  <c r="AG319" i="15"/>
  <c r="AD319" i="15"/>
  <c r="AC319" i="15"/>
  <c r="AB319" i="15"/>
  <c r="AA319" i="15"/>
  <c r="CK318" i="15"/>
  <c r="CG318" i="15"/>
  <c r="AY318" i="15"/>
  <c r="BB318" i="15" s="1"/>
  <c r="AW318" i="15"/>
  <c r="AR318" i="15"/>
  <c r="AQ318" i="15" s="1"/>
  <c r="AM318" i="15"/>
  <c r="AL318" i="15"/>
  <c r="AD318" i="15"/>
  <c r="AC318" i="15"/>
  <c r="AB318" i="15"/>
  <c r="AA318" i="15"/>
  <c r="CK317" i="15"/>
  <c r="CG317" i="15"/>
  <c r="BB317" i="15"/>
  <c r="AY317" i="15"/>
  <c r="AW317" i="15"/>
  <c r="AR317" i="15"/>
  <c r="AQ317" i="15"/>
  <c r="AM317" i="15"/>
  <c r="AL317" i="15"/>
  <c r="AD317" i="15"/>
  <c r="AC317" i="15"/>
  <c r="AB317" i="15"/>
  <c r="AA317" i="15"/>
  <c r="CK316" i="15"/>
  <c r="CG316" i="15"/>
  <c r="AY316" i="15"/>
  <c r="BB316" i="15" s="1"/>
  <c r="AW316" i="15"/>
  <c r="AR316" i="15"/>
  <c r="AQ316" i="15" s="1"/>
  <c r="AM316" i="15"/>
  <c r="AL316" i="15"/>
  <c r="AD316" i="15"/>
  <c r="AC316" i="15"/>
  <c r="AB316" i="15"/>
  <c r="AA316" i="15"/>
  <c r="CK315" i="15"/>
  <c r="CG315" i="15"/>
  <c r="BB315" i="15"/>
  <c r="AY315" i="15"/>
  <c r="AW315" i="15"/>
  <c r="AR315" i="15"/>
  <c r="AQ315" i="15"/>
  <c r="AM315" i="15"/>
  <c r="AL315" i="15"/>
  <c r="AD315" i="15"/>
  <c r="AC315" i="15"/>
  <c r="AB315" i="15"/>
  <c r="AA315" i="15"/>
  <c r="CM314" i="15"/>
  <c r="CK314" i="15"/>
  <c r="CG314" i="15"/>
  <c r="CE314" i="15"/>
  <c r="AW314" i="15"/>
  <c r="AU314" i="15" s="1"/>
  <c r="AM314" i="15"/>
  <c r="AL314" i="15"/>
  <c r="AJ314" i="15"/>
  <c r="AI314" i="15"/>
  <c r="AH314" i="15"/>
  <c r="AG314" i="15"/>
  <c r="AR314" i="15" s="1"/>
  <c r="CM313" i="15"/>
  <c r="CK313" i="15"/>
  <c r="CG313" i="15"/>
  <c r="CE313" i="15"/>
  <c r="AW313" i="15"/>
  <c r="AU313" i="15" s="1"/>
  <c r="AM313" i="15"/>
  <c r="AL313" i="15"/>
  <c r="AJ313" i="15"/>
  <c r="AI313" i="15"/>
  <c r="AH313" i="15"/>
  <c r="AG313" i="15"/>
  <c r="AR313" i="15" s="1"/>
  <c r="AD313" i="15"/>
  <c r="AC313" i="15"/>
  <c r="AB313" i="15"/>
  <c r="AA313" i="15"/>
  <c r="BZ312" i="15"/>
  <c r="AY312" i="15"/>
  <c r="AW312" i="15"/>
  <c r="AM312" i="15"/>
  <c r="AL312" i="15"/>
  <c r="AJ312" i="15"/>
  <c r="AI312" i="15"/>
  <c r="AH312" i="15"/>
  <c r="AG312" i="15"/>
  <c r="AR312" i="15" s="1"/>
  <c r="BZ311" i="15"/>
  <c r="AY311" i="15"/>
  <c r="AW311" i="15"/>
  <c r="AM311" i="15"/>
  <c r="AL311" i="15"/>
  <c r="AJ311" i="15"/>
  <c r="AI311" i="15"/>
  <c r="AH311" i="15"/>
  <c r="AG311" i="15"/>
  <c r="AR311" i="15" s="1"/>
  <c r="AY310" i="15"/>
  <c r="AW310" i="15"/>
  <c r="AM310" i="15"/>
  <c r="AL310" i="15"/>
  <c r="AJ310" i="15"/>
  <c r="AI310" i="15"/>
  <c r="AH310" i="15"/>
  <c r="AG310" i="15"/>
  <c r="AR310" i="15" s="1"/>
  <c r="AW309" i="15"/>
  <c r="AP309" i="15"/>
  <c r="BB309" i="15" s="1"/>
  <c r="AM309" i="15"/>
  <c r="AL309" i="15"/>
  <c r="AJ309" i="15"/>
  <c r="AI309" i="15"/>
  <c r="AH309" i="15"/>
  <c r="AG309" i="15"/>
  <c r="AD309" i="15"/>
  <c r="AC309" i="15"/>
  <c r="AB309" i="15"/>
  <c r="AA309" i="15"/>
  <c r="AW308" i="15"/>
  <c r="AM308" i="15"/>
  <c r="AL308" i="15"/>
  <c r="AJ308" i="15"/>
  <c r="AI308" i="15"/>
  <c r="AH308" i="15"/>
  <c r="AG308" i="15"/>
  <c r="AP308" i="15" s="1"/>
  <c r="BB308" i="15" s="1"/>
  <c r="AD308" i="15"/>
  <c r="AC308" i="15"/>
  <c r="AB308" i="15"/>
  <c r="AA308" i="15"/>
  <c r="AW307" i="15"/>
  <c r="AP307" i="15"/>
  <c r="BB307" i="15" s="1"/>
  <c r="AM307" i="15"/>
  <c r="AL307" i="15"/>
  <c r="AJ307" i="15"/>
  <c r="AI307" i="15"/>
  <c r="AH307" i="15"/>
  <c r="AG307" i="15"/>
  <c r="AD307" i="15"/>
  <c r="AC307" i="15"/>
  <c r="AB307" i="15"/>
  <c r="AA307" i="15"/>
  <c r="AW306" i="15"/>
  <c r="AM306" i="15"/>
  <c r="AL306" i="15"/>
  <c r="AJ306" i="15"/>
  <c r="AI306" i="15"/>
  <c r="AH306" i="15"/>
  <c r="AG306" i="15"/>
  <c r="AP306" i="15" s="1"/>
  <c r="BB306" i="15" s="1"/>
  <c r="AD306" i="15"/>
  <c r="AC306" i="15"/>
  <c r="AB306" i="15"/>
  <c r="AA306" i="15"/>
  <c r="AW305" i="15"/>
  <c r="AM305" i="15"/>
  <c r="AL305" i="15"/>
  <c r="AJ305" i="15"/>
  <c r="AI305" i="15"/>
  <c r="AH305" i="15"/>
  <c r="AG305" i="15"/>
  <c r="AP305" i="15" s="1"/>
  <c r="BB305" i="15" s="1"/>
  <c r="AD305" i="15"/>
  <c r="AC305" i="15"/>
  <c r="AB305" i="15"/>
  <c r="AA305" i="15"/>
  <c r="AY304" i="15"/>
  <c r="BB304" i="15" s="1"/>
  <c r="AW304" i="15"/>
  <c r="AR304" i="15"/>
  <c r="AQ304" i="15" s="1"/>
  <c r="AM304" i="15"/>
  <c r="AL304" i="15"/>
  <c r="AJ304" i="15"/>
  <c r="AI304" i="15"/>
  <c r="AH304" i="15"/>
  <c r="AG304" i="15"/>
  <c r="AD304" i="15"/>
  <c r="AC304" i="15"/>
  <c r="AB304" i="15"/>
  <c r="AA304" i="15"/>
  <c r="BB303" i="15"/>
  <c r="AY303" i="15"/>
  <c r="AW303" i="15"/>
  <c r="AR303" i="15"/>
  <c r="AQ303" i="15"/>
  <c r="AM303" i="15"/>
  <c r="AL303" i="15"/>
  <c r="AJ303" i="15"/>
  <c r="AI303" i="15"/>
  <c r="AH303" i="15"/>
  <c r="AG303" i="15"/>
  <c r="AD303" i="15"/>
  <c r="AC303" i="15"/>
  <c r="AB303" i="15"/>
  <c r="AA303" i="15"/>
  <c r="BB302" i="15"/>
  <c r="AY302" i="15"/>
  <c r="AW302" i="15"/>
  <c r="AR302" i="15"/>
  <c r="AQ302" i="15"/>
  <c r="AM302" i="15"/>
  <c r="AL302" i="15"/>
  <c r="AJ302" i="15"/>
  <c r="AI302" i="15"/>
  <c r="AH302" i="15"/>
  <c r="AG302" i="15"/>
  <c r="AD302" i="15"/>
  <c r="AC302" i="15"/>
  <c r="AB302" i="15"/>
  <c r="AA302" i="15"/>
  <c r="BB301" i="15"/>
  <c r="AY301" i="15"/>
  <c r="AW301" i="15"/>
  <c r="AM301" i="15"/>
  <c r="AL301" i="15"/>
  <c r="AJ301" i="15"/>
  <c r="AI301" i="15"/>
  <c r="AH301" i="15"/>
  <c r="AG301" i="15"/>
  <c r="AR301" i="15" s="1"/>
  <c r="AD301" i="15"/>
  <c r="AC301" i="15"/>
  <c r="AB301" i="15"/>
  <c r="AA301" i="15"/>
  <c r="BB300" i="15"/>
  <c r="AW300" i="15"/>
  <c r="AM300" i="15"/>
  <c r="AL300" i="15"/>
  <c r="AJ300" i="15"/>
  <c r="AI300" i="15"/>
  <c r="AH300" i="15"/>
  <c r="AG300" i="15"/>
  <c r="AR300" i="15" s="1"/>
  <c r="AD300" i="15"/>
  <c r="AC300" i="15"/>
  <c r="AB300" i="15"/>
  <c r="AA300" i="15"/>
  <c r="BB299" i="15"/>
  <c r="AW299" i="15"/>
  <c r="AM299" i="15"/>
  <c r="AL299" i="15"/>
  <c r="AJ299" i="15"/>
  <c r="AI299" i="15"/>
  <c r="AH299" i="15"/>
  <c r="AG299" i="15"/>
  <c r="AR299" i="15" s="1"/>
  <c r="AD299" i="15"/>
  <c r="AC299" i="15"/>
  <c r="AB299" i="15"/>
  <c r="AA299" i="15"/>
  <c r="AY298" i="15"/>
  <c r="AW298" i="15"/>
  <c r="AU298" i="15"/>
  <c r="AR298" i="15"/>
  <c r="AL298" i="15"/>
  <c r="AJ298" i="15"/>
  <c r="AI298" i="15"/>
  <c r="AH298" i="15"/>
  <c r="AG298" i="15"/>
  <c r="AD298" i="15"/>
  <c r="AC298" i="15"/>
  <c r="AB298" i="15"/>
  <c r="AA298" i="15"/>
  <c r="AY297" i="15"/>
  <c r="AW297" i="15"/>
  <c r="AU297" i="15"/>
  <c r="AL297" i="15"/>
  <c r="AJ297" i="15"/>
  <c r="AI297" i="15"/>
  <c r="AH297" i="15"/>
  <c r="AG297" i="15"/>
  <c r="AR297" i="15" s="1"/>
  <c r="AD297" i="15"/>
  <c r="AC297" i="15"/>
  <c r="AB297" i="15"/>
  <c r="AA297" i="15"/>
  <c r="AY296" i="15"/>
  <c r="AW296" i="15"/>
  <c r="AU296" i="15"/>
  <c r="AM296" i="15"/>
  <c r="AL296" i="15"/>
  <c r="AJ296" i="15"/>
  <c r="AI296" i="15"/>
  <c r="AH296" i="15"/>
  <c r="AG296" i="15"/>
  <c r="AR296" i="15" s="1"/>
  <c r="AD296" i="15"/>
  <c r="AC296" i="15"/>
  <c r="AB296" i="15"/>
  <c r="AA296" i="15"/>
  <c r="AY295" i="15"/>
  <c r="AW295" i="15"/>
  <c r="AU295" i="15"/>
  <c r="AM295" i="15"/>
  <c r="AL295" i="15"/>
  <c r="AJ295" i="15"/>
  <c r="AI295" i="15"/>
  <c r="AH295" i="15"/>
  <c r="AG295" i="15"/>
  <c r="AR295" i="15" s="1"/>
  <c r="AD295" i="15"/>
  <c r="AC295" i="15"/>
  <c r="AB295" i="15"/>
  <c r="AA295" i="15"/>
  <c r="BZ294" i="15"/>
  <c r="BY294" i="15"/>
  <c r="AW294" i="15"/>
  <c r="AU294" i="15"/>
  <c r="AM294" i="15"/>
  <c r="AL294" i="15"/>
  <c r="AJ294" i="15"/>
  <c r="AI294" i="15"/>
  <c r="AH294" i="15"/>
  <c r="AG294" i="15"/>
  <c r="AD294" i="15"/>
  <c r="AC294" i="15"/>
  <c r="AB294" i="15"/>
  <c r="AA294" i="15"/>
  <c r="BZ293" i="15"/>
  <c r="BY293" i="15"/>
  <c r="AW293" i="15"/>
  <c r="AU293" i="15"/>
  <c r="AM293" i="15"/>
  <c r="AL293" i="15"/>
  <c r="AJ293" i="15"/>
  <c r="AI293" i="15"/>
  <c r="AH293" i="15"/>
  <c r="AG293" i="15"/>
  <c r="AD293" i="15"/>
  <c r="AC293" i="15"/>
  <c r="AB293" i="15"/>
  <c r="AA293" i="15"/>
  <c r="BZ292" i="15"/>
  <c r="BY292" i="15"/>
  <c r="AW292" i="15"/>
  <c r="AU292" i="15" s="1"/>
  <c r="AM292" i="15"/>
  <c r="AL292" i="15"/>
  <c r="AJ292" i="15"/>
  <c r="AI292" i="15"/>
  <c r="AH292" i="15"/>
  <c r="AG292" i="15"/>
  <c r="AD292" i="15"/>
  <c r="AC292" i="15"/>
  <c r="AB292" i="15"/>
  <c r="AA292" i="15"/>
  <c r="CM291" i="15"/>
  <c r="CK291" i="15"/>
  <c r="CG291" i="15"/>
  <c r="CE291" i="15"/>
  <c r="AU291" i="15"/>
  <c r="AM291" i="15"/>
  <c r="AL291" i="15"/>
  <c r="AJ291" i="15"/>
  <c r="AI291" i="15"/>
  <c r="AH291" i="15"/>
  <c r="AG291" i="15"/>
  <c r="AD291" i="15"/>
  <c r="AC291" i="15"/>
  <c r="AB291" i="15"/>
  <c r="AA291" i="15"/>
  <c r="CS290" i="15"/>
  <c r="CM290" i="15"/>
  <c r="CK290" i="15"/>
  <c r="CG290" i="15"/>
  <c r="CE290" i="15"/>
  <c r="AU290" i="15"/>
  <c r="AM290" i="15"/>
  <c r="AL290" i="15"/>
  <c r="AJ290" i="15"/>
  <c r="AI290" i="15"/>
  <c r="AH290" i="15"/>
  <c r="AG290" i="15"/>
  <c r="AD290" i="15"/>
  <c r="AC290" i="15"/>
  <c r="AB290" i="15"/>
  <c r="AA290" i="15"/>
  <c r="CM289" i="15"/>
  <c r="CK289" i="15"/>
  <c r="CG289" i="15"/>
  <c r="CE289" i="15"/>
  <c r="AW289" i="15"/>
  <c r="AU289" i="15" s="1"/>
  <c r="AM289" i="15"/>
  <c r="AL289" i="15"/>
  <c r="AJ289" i="15"/>
  <c r="AI289" i="15"/>
  <c r="AH289" i="15"/>
  <c r="AG289" i="15"/>
  <c r="AD289" i="15"/>
  <c r="AC289" i="15"/>
  <c r="AB289" i="15"/>
  <c r="AA289" i="15"/>
  <c r="CM288" i="15"/>
  <c r="CK288" i="15"/>
  <c r="CG288" i="15"/>
  <c r="CE288" i="15"/>
  <c r="AW288" i="15"/>
  <c r="AU288" i="15" s="1"/>
  <c r="AM288" i="15"/>
  <c r="AL288" i="15"/>
  <c r="AJ288" i="15"/>
  <c r="AI288" i="15"/>
  <c r="AH288" i="15"/>
  <c r="AG288" i="15"/>
  <c r="AD288" i="15"/>
  <c r="AC288" i="15"/>
  <c r="AB288" i="15"/>
  <c r="AA288" i="15"/>
  <c r="CS287" i="15"/>
  <c r="CM287" i="15"/>
  <c r="CK287" i="15"/>
  <c r="CG287" i="15"/>
  <c r="CE287" i="15"/>
  <c r="AW287" i="15"/>
  <c r="AU287" i="15"/>
  <c r="AM287" i="15"/>
  <c r="AL287" i="15"/>
  <c r="AJ287" i="15"/>
  <c r="AI287" i="15"/>
  <c r="AH287" i="15"/>
  <c r="AG287" i="15"/>
  <c r="AD287" i="15"/>
  <c r="AC287" i="15"/>
  <c r="AB287" i="15"/>
  <c r="AA287" i="15"/>
  <c r="CS286" i="15"/>
  <c r="CM286" i="15"/>
  <c r="CK286" i="15"/>
  <c r="CG286" i="15"/>
  <c r="CE286" i="15"/>
  <c r="AW286" i="15"/>
  <c r="AU286" i="15" s="1"/>
  <c r="AM286" i="15"/>
  <c r="AL286" i="15"/>
  <c r="AJ286" i="15"/>
  <c r="AI286" i="15"/>
  <c r="AH286" i="15"/>
  <c r="AG286" i="15"/>
  <c r="AD286" i="15"/>
  <c r="AC286" i="15"/>
  <c r="AB286" i="15"/>
  <c r="AA286" i="15"/>
  <c r="CM285" i="15"/>
  <c r="CK285" i="15"/>
  <c r="CG285" i="15"/>
  <c r="CE285" i="15"/>
  <c r="AW285" i="15"/>
  <c r="AU285" i="15" s="1"/>
  <c r="AM285" i="15"/>
  <c r="AL285" i="15"/>
  <c r="AJ285" i="15"/>
  <c r="AI285" i="15"/>
  <c r="AH285" i="15"/>
  <c r="AG285" i="15"/>
  <c r="AD285" i="15"/>
  <c r="AC285" i="15"/>
  <c r="AB285" i="15"/>
  <c r="AA285" i="15"/>
  <c r="CM284" i="15"/>
  <c r="CK284" i="15"/>
  <c r="CG284" i="15"/>
  <c r="CE284" i="15"/>
  <c r="AW284" i="15"/>
  <c r="AU284" i="15" s="1"/>
  <c r="AM284" i="15"/>
  <c r="AL284" i="15"/>
  <c r="AJ284" i="15"/>
  <c r="AI284" i="15"/>
  <c r="AH284" i="15"/>
  <c r="AG284" i="15"/>
  <c r="AD284" i="15"/>
  <c r="AC284" i="15"/>
  <c r="AB284" i="15"/>
  <c r="AA284" i="15"/>
  <c r="CS283" i="15"/>
  <c r="CM283" i="15"/>
  <c r="CK283" i="15"/>
  <c r="CG283" i="15"/>
  <c r="CE283" i="15"/>
  <c r="AW283" i="15"/>
  <c r="AU283" i="15"/>
  <c r="AM283" i="15"/>
  <c r="AL283" i="15"/>
  <c r="AJ283" i="15"/>
  <c r="AI283" i="15"/>
  <c r="AH283" i="15"/>
  <c r="AG283" i="15"/>
  <c r="AD283" i="15"/>
  <c r="AC283" i="15"/>
  <c r="AB283" i="15"/>
  <c r="AA283" i="15"/>
  <c r="CS282" i="15"/>
  <c r="CM282" i="15"/>
  <c r="CK282" i="15"/>
  <c r="CG282" i="15"/>
  <c r="CE282" i="15"/>
  <c r="AW282" i="15"/>
  <c r="AU282" i="15"/>
  <c r="AM282" i="15"/>
  <c r="AL282" i="15"/>
  <c r="AJ282" i="15"/>
  <c r="AI282" i="15"/>
  <c r="AH282" i="15"/>
  <c r="AG282" i="15"/>
  <c r="AD282" i="15"/>
  <c r="AC282" i="15"/>
  <c r="AB282" i="15"/>
  <c r="AA282" i="15"/>
  <c r="BZ281" i="15"/>
  <c r="BY281" i="15"/>
  <c r="AW281" i="15"/>
  <c r="AR281" i="15"/>
  <c r="AQ281" i="15"/>
  <c r="AM281" i="15"/>
  <c r="AL281" i="15"/>
  <c r="AD281" i="15"/>
  <c r="AC281" i="15"/>
  <c r="AB281" i="15"/>
  <c r="AA281" i="15"/>
  <c r="BZ280" i="15"/>
  <c r="BY280" i="15"/>
  <c r="AW280" i="15"/>
  <c r="AR280" i="15"/>
  <c r="AQ280" i="15" s="1"/>
  <c r="AM280" i="15"/>
  <c r="AL280" i="15"/>
  <c r="AD280" i="15"/>
  <c r="AC280" i="15"/>
  <c r="AB280" i="15"/>
  <c r="AA280" i="15"/>
  <c r="AW279" i="15"/>
  <c r="AR279" i="15"/>
  <c r="AQ279" i="15" s="1"/>
  <c r="AM279" i="15"/>
  <c r="AL279" i="15"/>
  <c r="AD279" i="15"/>
  <c r="AC279" i="15"/>
  <c r="AB279" i="15"/>
  <c r="AA279" i="15"/>
  <c r="AW278" i="15"/>
  <c r="AM278" i="15"/>
  <c r="AL278" i="15"/>
  <c r="AJ278" i="15"/>
  <c r="AI278" i="15"/>
  <c r="AH278" i="15"/>
  <c r="AG278" i="15"/>
  <c r="AR278" i="15" s="1"/>
  <c r="AW277" i="15"/>
  <c r="AM277" i="15"/>
  <c r="AL277" i="15"/>
  <c r="AJ277" i="15"/>
  <c r="AI277" i="15"/>
  <c r="AH277" i="15"/>
  <c r="AG277" i="15"/>
  <c r="AR277" i="15" s="1"/>
  <c r="AQ277" i="15" s="1"/>
  <c r="AY276" i="15"/>
  <c r="BB276" i="15" s="1"/>
  <c r="AW276" i="15"/>
  <c r="AU276" i="15"/>
  <c r="AM276" i="15"/>
  <c r="AL276" i="15"/>
  <c r="AJ276" i="15"/>
  <c r="AI276" i="15"/>
  <c r="AH276" i="15"/>
  <c r="AG276" i="15"/>
  <c r="AD276" i="15"/>
  <c r="AC276" i="15"/>
  <c r="AB276" i="15"/>
  <c r="AA276" i="15"/>
  <c r="CB275" i="15"/>
  <c r="BZ275" i="15"/>
  <c r="BY275" i="15"/>
  <c r="BB275" i="15"/>
  <c r="AY275" i="15"/>
  <c r="AW275" i="15"/>
  <c r="AU275" i="15"/>
  <c r="AM275" i="15"/>
  <c r="AL275" i="15"/>
  <c r="AJ275" i="15"/>
  <c r="AI275" i="15"/>
  <c r="AH275" i="15"/>
  <c r="AG275" i="15"/>
  <c r="AD275" i="15"/>
  <c r="AC275" i="15"/>
  <c r="AB275" i="15"/>
  <c r="AA275" i="15"/>
  <c r="CB274" i="15"/>
  <c r="BZ274" i="15"/>
  <c r="BY274" i="15"/>
  <c r="AY274" i="15"/>
  <c r="BB274" i="15" s="1"/>
  <c r="AW274" i="15"/>
  <c r="AU274" i="15"/>
  <c r="AM274" i="15"/>
  <c r="AL274" i="15"/>
  <c r="AJ274" i="15"/>
  <c r="AI274" i="15"/>
  <c r="AH274" i="15"/>
  <c r="AG274" i="15"/>
  <c r="AD274" i="15"/>
  <c r="AC274" i="15"/>
  <c r="AB274" i="15"/>
  <c r="AA274" i="15"/>
  <c r="BZ273" i="15"/>
  <c r="CB273" i="15" s="1"/>
  <c r="BY273" i="15"/>
  <c r="AY273" i="15"/>
  <c r="BB273" i="15" s="1"/>
  <c r="AW273" i="15"/>
  <c r="AU273" i="15"/>
  <c r="AM273" i="15"/>
  <c r="AL273" i="15"/>
  <c r="AJ273" i="15"/>
  <c r="AI273" i="15"/>
  <c r="AH273" i="15"/>
  <c r="AG273" i="15"/>
  <c r="AD273" i="15"/>
  <c r="AC273" i="15"/>
  <c r="AB273" i="15"/>
  <c r="AA273" i="15"/>
  <c r="CB272" i="15"/>
  <c r="BZ272" i="15"/>
  <c r="BY272" i="15"/>
  <c r="AY272" i="15"/>
  <c r="BB272" i="15" s="1"/>
  <c r="AW272" i="15"/>
  <c r="AU272" i="15"/>
  <c r="AM272" i="15"/>
  <c r="AL272" i="15"/>
  <c r="AJ272" i="15"/>
  <c r="AI272" i="15"/>
  <c r="AH272" i="15"/>
  <c r="AG272" i="15"/>
  <c r="AD272" i="15"/>
  <c r="AC272" i="15"/>
  <c r="AB272" i="15"/>
  <c r="AA272" i="15"/>
  <c r="BZ271" i="15"/>
  <c r="CB271" i="15" s="1"/>
  <c r="BY271" i="15"/>
  <c r="BB271" i="15"/>
  <c r="AY271" i="15"/>
  <c r="AW271" i="15"/>
  <c r="AU271" i="15"/>
  <c r="AM271" i="15"/>
  <c r="AL271" i="15"/>
  <c r="AJ271" i="15"/>
  <c r="AI271" i="15"/>
  <c r="AH271" i="15"/>
  <c r="AG271" i="15"/>
  <c r="AD271" i="15"/>
  <c r="AC271" i="15"/>
  <c r="AB271" i="15"/>
  <c r="AA271" i="15"/>
  <c r="CN270" i="15"/>
  <c r="CM270" i="15"/>
  <c r="CK270" i="15"/>
  <c r="CH270" i="15"/>
  <c r="CG270" i="15"/>
  <c r="CE270" i="15"/>
  <c r="AW270" i="15"/>
  <c r="AU270" i="15"/>
  <c r="AR270" i="15"/>
  <c r="AQ270" i="15"/>
  <c r="AM270" i="15"/>
  <c r="AL270" i="15"/>
  <c r="AJ270" i="15"/>
  <c r="AI270" i="15"/>
  <c r="AH270" i="15"/>
  <c r="AG270" i="15"/>
  <c r="AD270" i="15"/>
  <c r="AC270" i="15"/>
  <c r="AB270" i="15"/>
  <c r="AA270" i="15"/>
  <c r="CN269" i="15"/>
  <c r="CM269" i="15"/>
  <c r="CK269" i="15"/>
  <c r="CH269" i="15"/>
  <c r="CG269" i="15"/>
  <c r="CE269" i="15"/>
  <c r="AW269" i="15"/>
  <c r="AU269" i="15"/>
  <c r="AM269" i="15"/>
  <c r="AL269" i="15"/>
  <c r="AJ269" i="15"/>
  <c r="AI269" i="15"/>
  <c r="AH269" i="15"/>
  <c r="AG269" i="15"/>
  <c r="AR269" i="15" s="1"/>
  <c r="AD269" i="15"/>
  <c r="AC269" i="15"/>
  <c r="AB269" i="15"/>
  <c r="AA269" i="15"/>
  <c r="CN268" i="15"/>
  <c r="CM268" i="15"/>
  <c r="CK268" i="15"/>
  <c r="CH268" i="15"/>
  <c r="CG268" i="15"/>
  <c r="CE268" i="15"/>
  <c r="AW268" i="15"/>
  <c r="AU268" i="15"/>
  <c r="AM268" i="15"/>
  <c r="AL268" i="15"/>
  <c r="AJ268" i="15"/>
  <c r="AI268" i="15"/>
  <c r="AH268" i="15"/>
  <c r="AG268" i="15"/>
  <c r="AR268" i="15" s="1"/>
  <c r="AQ268" i="15" s="1"/>
  <c r="AD268" i="15"/>
  <c r="AC268" i="15"/>
  <c r="AB268" i="15"/>
  <c r="AA268" i="15"/>
  <c r="CN267" i="15"/>
  <c r="CM267" i="15"/>
  <c r="CK267" i="15"/>
  <c r="CH267" i="15"/>
  <c r="CG267" i="15"/>
  <c r="CE267" i="15"/>
  <c r="AW267" i="15"/>
  <c r="AU267" i="15"/>
  <c r="AM267" i="15"/>
  <c r="AL267" i="15"/>
  <c r="AJ267" i="15"/>
  <c r="AI267" i="15"/>
  <c r="AH267" i="15"/>
  <c r="AG267" i="15"/>
  <c r="AR267" i="15" s="1"/>
  <c r="AD267" i="15"/>
  <c r="AC267" i="15"/>
  <c r="AB267" i="15"/>
  <c r="AA267" i="15"/>
  <c r="CN266" i="15"/>
  <c r="CM266" i="15"/>
  <c r="CK266" i="15"/>
  <c r="CH266" i="15"/>
  <c r="CG266" i="15"/>
  <c r="CE266" i="15"/>
  <c r="AW266" i="15"/>
  <c r="AU266" i="15"/>
  <c r="AM266" i="15"/>
  <c r="AL266" i="15"/>
  <c r="AJ266" i="15"/>
  <c r="AI266" i="15"/>
  <c r="AH266" i="15"/>
  <c r="AG266" i="15"/>
  <c r="AR266" i="15" s="1"/>
  <c r="AQ266" i="15" s="1"/>
  <c r="AD266" i="15"/>
  <c r="AC266" i="15"/>
  <c r="AB266" i="15"/>
  <c r="AA266" i="15"/>
  <c r="CN265" i="15"/>
  <c r="CM265" i="15"/>
  <c r="CK265" i="15"/>
  <c r="CH265" i="15"/>
  <c r="CG265" i="15"/>
  <c r="CE265" i="15"/>
  <c r="AW265" i="15"/>
  <c r="AU265" i="15"/>
  <c r="AM265" i="15"/>
  <c r="AL265" i="15"/>
  <c r="AJ265" i="15"/>
  <c r="AI265" i="15"/>
  <c r="AH265" i="15"/>
  <c r="AG265" i="15"/>
  <c r="AR265" i="15" s="1"/>
  <c r="AD265" i="15"/>
  <c r="AC265" i="15"/>
  <c r="AB265" i="15"/>
  <c r="AA265" i="15"/>
  <c r="CN264" i="15"/>
  <c r="CM264" i="15"/>
  <c r="CK264" i="15"/>
  <c r="CH264" i="15"/>
  <c r="CG264" i="15"/>
  <c r="CE264" i="15"/>
  <c r="AW264" i="15"/>
  <c r="AU264" i="15"/>
  <c r="AM264" i="15"/>
  <c r="AL264" i="15"/>
  <c r="AJ264" i="15"/>
  <c r="AI264" i="15"/>
  <c r="AH264" i="15"/>
  <c r="AG264" i="15"/>
  <c r="AR264" i="15" s="1"/>
  <c r="AQ264" i="15" s="1"/>
  <c r="AD264" i="15"/>
  <c r="AC264" i="15"/>
  <c r="AB264" i="15"/>
  <c r="AA264" i="15"/>
  <c r="CN263" i="15"/>
  <c r="CM263" i="15"/>
  <c r="CK263" i="15"/>
  <c r="CH263" i="15"/>
  <c r="CG263" i="15"/>
  <c r="CE263" i="15"/>
  <c r="AW263" i="15"/>
  <c r="AU263" i="15"/>
  <c r="AM263" i="15"/>
  <c r="AL263" i="15"/>
  <c r="AJ263" i="15"/>
  <c r="AI263" i="15"/>
  <c r="AH263" i="15"/>
  <c r="AG263" i="15"/>
  <c r="AR263" i="15" s="1"/>
  <c r="AD263" i="15"/>
  <c r="AC263" i="15"/>
  <c r="AB263" i="15"/>
  <c r="AA263" i="15"/>
  <c r="CS262" i="15"/>
  <c r="CQ262" i="15"/>
  <c r="CM262" i="15"/>
  <c r="CK262" i="15"/>
  <c r="CG262" i="15"/>
  <c r="CE262" i="15"/>
  <c r="AW262" i="15"/>
  <c r="AU262" i="15"/>
  <c r="AM262" i="15"/>
  <c r="AL262" i="15"/>
  <c r="AJ262" i="15"/>
  <c r="AI262" i="15"/>
  <c r="AH262" i="15"/>
  <c r="AG262" i="15"/>
  <c r="AD262" i="15"/>
  <c r="AC262" i="15"/>
  <c r="AB262" i="15"/>
  <c r="AA262" i="15"/>
  <c r="CS261" i="15"/>
  <c r="CQ261" i="15"/>
  <c r="CM261" i="15"/>
  <c r="CK261" i="15"/>
  <c r="CG261" i="15"/>
  <c r="CE261" i="15"/>
  <c r="AW261" i="15"/>
  <c r="AU261" i="15"/>
  <c r="AM261" i="15"/>
  <c r="AL261" i="15"/>
  <c r="AJ261" i="15"/>
  <c r="AI261" i="15"/>
  <c r="AH261" i="15"/>
  <c r="AG261" i="15"/>
  <c r="AD261" i="15"/>
  <c r="AC261" i="15"/>
  <c r="AB261" i="15"/>
  <c r="AA261" i="15"/>
  <c r="CS260" i="15"/>
  <c r="CQ260" i="15"/>
  <c r="CM260" i="15"/>
  <c r="CK260" i="15"/>
  <c r="CG260" i="15"/>
  <c r="CE260" i="15"/>
  <c r="AW260" i="15"/>
  <c r="AU260" i="15"/>
  <c r="AM260" i="15"/>
  <c r="AL260" i="15"/>
  <c r="AJ260" i="15"/>
  <c r="AI260" i="15"/>
  <c r="AH260" i="15"/>
  <c r="AG260" i="15"/>
  <c r="AD260" i="15"/>
  <c r="AC260" i="15"/>
  <c r="AB260" i="15"/>
  <c r="AA260" i="15"/>
  <c r="CM259" i="15"/>
  <c r="CK259" i="15"/>
  <c r="CG259" i="15"/>
  <c r="BZ259" i="15"/>
  <c r="BB259" i="15"/>
  <c r="AY259" i="15"/>
  <c r="AW259" i="15"/>
  <c r="AU259" i="15"/>
  <c r="AR259" i="15"/>
  <c r="AM259" i="15"/>
  <c r="AL259" i="15"/>
  <c r="AJ259" i="15"/>
  <c r="AI259" i="15"/>
  <c r="AH259" i="15"/>
  <c r="AG259" i="15"/>
  <c r="AD259" i="15"/>
  <c r="AC259" i="15"/>
  <c r="AB259" i="15"/>
  <c r="AA259" i="15"/>
  <c r="CM258" i="15"/>
  <c r="CK258" i="15"/>
  <c r="BZ258" i="15"/>
  <c r="BB258" i="15"/>
  <c r="AY258" i="15"/>
  <c r="AW258" i="15"/>
  <c r="AU258" i="15"/>
  <c r="AM258" i="15"/>
  <c r="AL258" i="15"/>
  <c r="AJ258" i="15"/>
  <c r="AI258" i="15"/>
  <c r="AH258" i="15"/>
  <c r="AG258" i="15"/>
  <c r="AR258" i="15" s="1"/>
  <c r="AD258" i="15"/>
  <c r="AC258" i="15"/>
  <c r="AB258" i="15"/>
  <c r="AA258" i="15"/>
  <c r="CM257" i="15"/>
  <c r="CK257" i="15"/>
  <c r="BZ257" i="15"/>
  <c r="BB257" i="15"/>
  <c r="AY257" i="15"/>
  <c r="AW257" i="15"/>
  <c r="AU257" i="15"/>
  <c r="AR257" i="15"/>
  <c r="AM257" i="15"/>
  <c r="AL257" i="15"/>
  <c r="AJ257" i="15"/>
  <c r="AI257" i="15"/>
  <c r="AH257" i="15"/>
  <c r="AG257" i="15"/>
  <c r="AD257" i="15"/>
  <c r="AC257" i="15"/>
  <c r="AB257" i="15"/>
  <c r="AA257" i="15"/>
  <c r="CM256" i="15"/>
  <c r="CK256" i="15"/>
  <c r="BZ256" i="15"/>
  <c r="AY256" i="15"/>
  <c r="BB256" i="15" s="1"/>
  <c r="AW256" i="15"/>
  <c r="AU256" i="15"/>
  <c r="AM256" i="15"/>
  <c r="AL256" i="15"/>
  <c r="AJ256" i="15"/>
  <c r="AI256" i="15"/>
  <c r="AH256" i="15"/>
  <c r="AG256" i="15"/>
  <c r="AR256" i="15" s="1"/>
  <c r="AD256" i="15"/>
  <c r="AC256" i="15"/>
  <c r="AB256" i="15"/>
  <c r="AA256" i="15"/>
  <c r="CM255" i="15"/>
  <c r="CK255" i="15"/>
  <c r="AY255" i="15"/>
  <c r="BB255" i="15" s="1"/>
  <c r="AW255" i="15"/>
  <c r="AU255" i="15"/>
  <c r="AM255" i="15"/>
  <c r="AL255" i="15"/>
  <c r="AJ255" i="15"/>
  <c r="AI255" i="15"/>
  <c r="AH255" i="15"/>
  <c r="AG255" i="15"/>
  <c r="AR255" i="15" s="1"/>
  <c r="AD255" i="15"/>
  <c r="AC255" i="15"/>
  <c r="AB255" i="15"/>
  <c r="AA255" i="15"/>
  <c r="CB254" i="15"/>
  <c r="BZ254" i="15"/>
  <c r="BB254" i="15"/>
  <c r="AY254" i="15"/>
  <c r="AW254" i="15"/>
  <c r="AU254" i="15"/>
  <c r="AR254" i="15"/>
  <c r="AM254" i="15"/>
  <c r="AL254" i="15"/>
  <c r="AJ254" i="15"/>
  <c r="AI254" i="15"/>
  <c r="AH254" i="15"/>
  <c r="AG254" i="15"/>
  <c r="AD254" i="15"/>
  <c r="AC254" i="15"/>
  <c r="AB254" i="15"/>
  <c r="AA254" i="15"/>
  <c r="CB253" i="15"/>
  <c r="BZ253" i="15"/>
  <c r="BB253" i="15"/>
  <c r="AY253" i="15"/>
  <c r="AW253" i="15"/>
  <c r="AU253" i="15"/>
  <c r="AR253" i="15"/>
  <c r="AM253" i="15"/>
  <c r="AL253" i="15"/>
  <c r="AJ253" i="15"/>
  <c r="AI253" i="15"/>
  <c r="AH253" i="15"/>
  <c r="AG253" i="15"/>
  <c r="AD253" i="15"/>
  <c r="AC253" i="15"/>
  <c r="AB253" i="15"/>
  <c r="AA253" i="15"/>
  <c r="CB252" i="15"/>
  <c r="BZ252" i="15"/>
  <c r="BB252" i="15"/>
  <c r="AY252" i="15"/>
  <c r="AW252" i="15"/>
  <c r="AU252" i="15"/>
  <c r="AM252" i="15"/>
  <c r="AL252" i="15"/>
  <c r="AJ252" i="15"/>
  <c r="AI252" i="15"/>
  <c r="AH252" i="15"/>
  <c r="AG252" i="15"/>
  <c r="AR252" i="15" s="1"/>
  <c r="AD252" i="15"/>
  <c r="AC252" i="15"/>
  <c r="AB252" i="15"/>
  <c r="AA252" i="15"/>
  <c r="CB251" i="15"/>
  <c r="BZ251" i="15"/>
  <c r="AY251" i="15"/>
  <c r="BB251" i="15" s="1"/>
  <c r="AW251" i="15"/>
  <c r="AU251" i="15"/>
  <c r="AR251" i="15"/>
  <c r="AM251" i="15"/>
  <c r="AL251" i="15"/>
  <c r="AJ251" i="15"/>
  <c r="AI251" i="15"/>
  <c r="AH251" i="15"/>
  <c r="AG251" i="15"/>
  <c r="AD251" i="15"/>
  <c r="AC251" i="15"/>
  <c r="AB251" i="15"/>
  <c r="AA251" i="15"/>
  <c r="CB250" i="15"/>
  <c r="BZ250" i="15"/>
  <c r="BB250" i="15"/>
  <c r="AY250" i="15"/>
  <c r="AW250" i="15"/>
  <c r="AU250" i="15"/>
  <c r="AR250" i="15"/>
  <c r="AM250" i="15"/>
  <c r="AL250" i="15"/>
  <c r="AJ250" i="15"/>
  <c r="AI250" i="15"/>
  <c r="AH250" i="15"/>
  <c r="AG250" i="15"/>
  <c r="AD250" i="15"/>
  <c r="AC250" i="15"/>
  <c r="AB250" i="15"/>
  <c r="AA250" i="15"/>
  <c r="CB249" i="15"/>
  <c r="BZ249" i="15"/>
  <c r="BB249" i="15"/>
  <c r="AY249" i="15"/>
  <c r="AW249" i="15"/>
  <c r="AU249" i="15"/>
  <c r="AM249" i="15"/>
  <c r="AL249" i="15"/>
  <c r="AJ249" i="15"/>
  <c r="AI249" i="15"/>
  <c r="AH249" i="15"/>
  <c r="AG249" i="15"/>
  <c r="AR249" i="15" s="1"/>
  <c r="AD249" i="15"/>
  <c r="AC249" i="15"/>
  <c r="AB249" i="15"/>
  <c r="AA249" i="15"/>
  <c r="CN248" i="15"/>
  <c r="CK248" i="15"/>
  <c r="CH248" i="15"/>
  <c r="CG248" i="15"/>
  <c r="AW248" i="15"/>
  <c r="AU248" i="15"/>
  <c r="AR248" i="15"/>
  <c r="AQ248" i="15" s="1"/>
  <c r="AM248" i="15"/>
  <c r="AL248" i="15"/>
  <c r="AJ248" i="15"/>
  <c r="AI248" i="15"/>
  <c r="AH248" i="15"/>
  <c r="AG248" i="15"/>
  <c r="AD248" i="15"/>
  <c r="AC248" i="15"/>
  <c r="AB248" i="15"/>
  <c r="AA248" i="15"/>
  <c r="CM247" i="15"/>
  <c r="CM248" i="15" s="1"/>
  <c r="CK247" i="15"/>
  <c r="CH247" i="15"/>
  <c r="CG247" i="15"/>
  <c r="CE247" i="15"/>
  <c r="CE248" i="15" s="1"/>
  <c r="AW247" i="15"/>
  <c r="AU247" i="15"/>
  <c r="AM247" i="15"/>
  <c r="AL247" i="15"/>
  <c r="AJ247" i="15"/>
  <c r="AI247" i="15"/>
  <c r="AH247" i="15"/>
  <c r="AG247" i="15"/>
  <c r="AR247" i="15" s="1"/>
  <c r="AD247" i="15"/>
  <c r="AC247" i="15"/>
  <c r="AB247" i="15"/>
  <c r="AA247" i="15"/>
  <c r="CN246" i="15"/>
  <c r="CK246" i="15"/>
  <c r="CH246" i="15"/>
  <c r="CE246" i="15"/>
  <c r="AW246" i="15"/>
  <c r="AU246" i="15"/>
  <c r="AM246" i="15"/>
  <c r="AL246" i="15"/>
  <c r="AJ246" i="15"/>
  <c r="AI246" i="15"/>
  <c r="AH246" i="15"/>
  <c r="AG246" i="15"/>
  <c r="AR246" i="15" s="1"/>
  <c r="AX246" i="15" s="1"/>
  <c r="AD246" i="15"/>
  <c r="AC246" i="15"/>
  <c r="AB246" i="15"/>
  <c r="AA246" i="15"/>
  <c r="CM245" i="15"/>
  <c r="CM246" i="15" s="1"/>
  <c r="CK245" i="15"/>
  <c r="CH245" i="15"/>
  <c r="CG245" i="15"/>
  <c r="CG246" i="15" s="1"/>
  <c r="CE245" i="15"/>
  <c r="AW245" i="15"/>
  <c r="AU245" i="15"/>
  <c r="AM245" i="15"/>
  <c r="AL245" i="15"/>
  <c r="AJ245" i="15"/>
  <c r="AI245" i="15"/>
  <c r="AH245" i="15"/>
  <c r="AG245" i="15"/>
  <c r="AR245" i="15" s="1"/>
  <c r="AD245" i="15"/>
  <c r="AC245" i="15"/>
  <c r="AB245" i="15"/>
  <c r="AA245" i="15"/>
  <c r="CT244" i="15"/>
  <c r="CS244" i="15"/>
  <c r="CQ244" i="15"/>
  <c r="CN244" i="15"/>
  <c r="AW244" i="15"/>
  <c r="AU244" i="15"/>
  <c r="AM244" i="15"/>
  <c r="AL244" i="15"/>
  <c r="AJ244" i="15"/>
  <c r="AI244" i="15"/>
  <c r="AH244" i="15"/>
  <c r="AG244" i="15"/>
  <c r="AR244" i="15" s="1"/>
  <c r="AD244" i="15"/>
  <c r="AC244" i="15"/>
  <c r="AB244" i="15"/>
  <c r="AA244" i="15"/>
  <c r="CT243" i="15"/>
  <c r="CS243" i="15"/>
  <c r="CQ243" i="15"/>
  <c r="CN243" i="15"/>
  <c r="CK243" i="15"/>
  <c r="AW243" i="15"/>
  <c r="AU243" i="15"/>
  <c r="AM243" i="15"/>
  <c r="AL243" i="15"/>
  <c r="AJ243" i="15"/>
  <c r="AI243" i="15"/>
  <c r="AH243" i="15"/>
  <c r="AG243" i="15"/>
  <c r="AR243" i="15" s="1"/>
  <c r="AX243" i="15" s="1"/>
  <c r="AD243" i="15"/>
  <c r="AC243" i="15"/>
  <c r="AB243" i="15"/>
  <c r="AA243" i="15"/>
  <c r="CT242" i="15"/>
  <c r="CS242" i="15"/>
  <c r="CQ242" i="15"/>
  <c r="CN242" i="15"/>
  <c r="CM242" i="15"/>
  <c r="CG242" i="15"/>
  <c r="CG243" i="15" s="1"/>
  <c r="CG244" i="15" s="1"/>
  <c r="CE242" i="15"/>
  <c r="CE243" i="15" s="1"/>
  <c r="CE244" i="15" s="1"/>
  <c r="AW242" i="15"/>
  <c r="AU242" i="15"/>
  <c r="AR242" i="15"/>
  <c r="AX242" i="15" s="1"/>
  <c r="AQ242" i="15"/>
  <c r="AM242" i="15"/>
  <c r="AL242" i="15"/>
  <c r="AJ242" i="15"/>
  <c r="AI242" i="15"/>
  <c r="AH242" i="15"/>
  <c r="AG242" i="15"/>
  <c r="AD242" i="15"/>
  <c r="AC242" i="15"/>
  <c r="AB242" i="15"/>
  <c r="AA242" i="15"/>
  <c r="CT241" i="15"/>
  <c r="CS241" i="15"/>
  <c r="CQ241" i="15"/>
  <c r="CM241" i="15"/>
  <c r="CK241" i="15"/>
  <c r="CK242" i="15" s="1"/>
  <c r="CH241" i="15"/>
  <c r="CH244" i="15" s="1"/>
  <c r="CG241" i="15"/>
  <c r="CE241" i="15"/>
  <c r="AW241" i="15"/>
  <c r="AU241" i="15"/>
  <c r="AR241" i="15"/>
  <c r="AQ241" i="15" s="1"/>
  <c r="AM241" i="15"/>
  <c r="AL241" i="15"/>
  <c r="AJ241" i="15"/>
  <c r="AI241" i="15"/>
  <c r="AH241" i="15"/>
  <c r="AG241" i="15"/>
  <c r="AD241" i="15"/>
  <c r="AC241" i="15"/>
  <c r="AB241" i="15"/>
  <c r="AA241" i="15"/>
  <c r="CS240" i="15"/>
  <c r="CQ240" i="15"/>
  <c r="CK240" i="15"/>
  <c r="CG240" i="15"/>
  <c r="CE240" i="15"/>
  <c r="AW240" i="15"/>
  <c r="AU240" i="15"/>
  <c r="AR240" i="15"/>
  <c r="AX240" i="15" s="1"/>
  <c r="AQ240" i="15"/>
  <c r="AM240" i="15"/>
  <c r="AL240" i="15"/>
  <c r="AJ240" i="15"/>
  <c r="AI240" i="15"/>
  <c r="AH240" i="15"/>
  <c r="AG240" i="15"/>
  <c r="AD240" i="15"/>
  <c r="AC240" i="15"/>
  <c r="AB240" i="15"/>
  <c r="AA240" i="15"/>
  <c r="CQ239" i="15"/>
  <c r="CG239" i="15"/>
  <c r="CE239" i="15"/>
  <c r="AW239" i="15"/>
  <c r="AU239" i="15"/>
  <c r="AM239" i="15"/>
  <c r="AL239" i="15"/>
  <c r="AJ239" i="15"/>
  <c r="AI239" i="15"/>
  <c r="AH239" i="15"/>
  <c r="AG239" i="15"/>
  <c r="AR239" i="15" s="1"/>
  <c r="AD239" i="15"/>
  <c r="AC239" i="15"/>
  <c r="AB239" i="15"/>
  <c r="AA239" i="15"/>
  <c r="CS238" i="15"/>
  <c r="CS239" i="15" s="1"/>
  <c r="CQ238" i="15"/>
  <c r="CM238" i="15"/>
  <c r="CM239" i="15" s="1"/>
  <c r="CK238" i="15"/>
  <c r="CK239" i="15" s="1"/>
  <c r="CG238" i="15"/>
  <c r="AW238" i="15"/>
  <c r="AU238" i="15"/>
  <c r="AM238" i="15"/>
  <c r="AL238" i="15"/>
  <c r="AJ238" i="15"/>
  <c r="AI238" i="15"/>
  <c r="AH238" i="15"/>
  <c r="AG238" i="15"/>
  <c r="AR238" i="15" s="1"/>
  <c r="AX238" i="15" s="1"/>
  <c r="AD238" i="15"/>
  <c r="AC238" i="15"/>
  <c r="AB238" i="15"/>
  <c r="AA238" i="15"/>
  <c r="CK237" i="15"/>
  <c r="CG237" i="15"/>
  <c r="AW237" i="15"/>
  <c r="AU237" i="15"/>
  <c r="AR237" i="15"/>
  <c r="AQ237" i="15"/>
  <c r="AM237" i="15"/>
  <c r="AL237" i="15"/>
  <c r="AJ237" i="15"/>
  <c r="AI237" i="15"/>
  <c r="AX237" i="15" s="1"/>
  <c r="AH237" i="15"/>
  <c r="AG237" i="15"/>
  <c r="AD237" i="15"/>
  <c r="AC237" i="15"/>
  <c r="AB237" i="15"/>
  <c r="AA237" i="15"/>
  <c r="CS236" i="15"/>
  <c r="CS237" i="15" s="1"/>
  <c r="CQ236" i="15"/>
  <c r="CQ237" i="15" s="1"/>
  <c r="CM236" i="15"/>
  <c r="CM237" i="15" s="1"/>
  <c r="CK236" i="15"/>
  <c r="CG236" i="15"/>
  <c r="AW236" i="15"/>
  <c r="AU236" i="15"/>
  <c r="AM236" i="15"/>
  <c r="AL236" i="15"/>
  <c r="AJ236" i="15"/>
  <c r="AI236" i="15"/>
  <c r="AH236" i="15"/>
  <c r="AG236" i="15"/>
  <c r="AR236" i="15" s="1"/>
  <c r="AD236" i="15"/>
  <c r="AC236" i="15"/>
  <c r="AB236" i="15"/>
  <c r="AA236" i="15"/>
  <c r="CS235" i="15"/>
  <c r="CS233" i="15" s="1"/>
  <c r="CQ235" i="15"/>
  <c r="CQ233" i="15" s="1"/>
  <c r="CM235" i="15"/>
  <c r="CM233" i="15" s="1"/>
  <c r="CK235" i="15"/>
  <c r="CG235" i="15"/>
  <c r="CE235" i="15"/>
  <c r="CE234" i="15" s="1"/>
  <c r="CE233" i="15" s="1"/>
  <c r="AW235" i="15"/>
  <c r="AU235" i="15"/>
  <c r="AM235" i="15"/>
  <c r="AL235" i="15"/>
  <c r="AJ235" i="15"/>
  <c r="AI235" i="15"/>
  <c r="AH235" i="15"/>
  <c r="AG235" i="15"/>
  <c r="AR235" i="15" s="1"/>
  <c r="AX235" i="15" s="1"/>
  <c r="AD235" i="15"/>
  <c r="AC235" i="15"/>
  <c r="AB235" i="15"/>
  <c r="AA235" i="15"/>
  <c r="CM234" i="15"/>
  <c r="CK234" i="15"/>
  <c r="CG234" i="15"/>
  <c r="AW234" i="15"/>
  <c r="AU234" i="15"/>
  <c r="AM234" i="15"/>
  <c r="AL234" i="15"/>
  <c r="AJ234" i="15"/>
  <c r="AI234" i="15"/>
  <c r="AH234" i="15"/>
  <c r="AG234" i="15"/>
  <c r="AR234" i="15" s="1"/>
  <c r="AX234" i="15" s="1"/>
  <c r="AD234" i="15"/>
  <c r="AC234" i="15"/>
  <c r="AB234" i="15"/>
  <c r="AA234" i="15"/>
  <c r="CK233" i="15"/>
  <c r="CG233" i="15"/>
  <c r="AW233" i="15"/>
  <c r="AU233" i="15"/>
  <c r="AR233" i="15"/>
  <c r="AQ233" i="15" s="1"/>
  <c r="AM233" i="15"/>
  <c r="AL233" i="15"/>
  <c r="AJ233" i="15"/>
  <c r="AI233" i="15"/>
  <c r="AH233" i="15"/>
  <c r="AG233" i="15"/>
  <c r="AD233" i="15"/>
  <c r="AC233" i="15"/>
  <c r="AB233" i="15"/>
  <c r="AA233" i="15"/>
  <c r="AW232" i="15"/>
  <c r="AU232" i="15"/>
  <c r="AM232" i="15"/>
  <c r="AL232" i="15"/>
  <c r="AJ232" i="15"/>
  <c r="AI232" i="15"/>
  <c r="AH232" i="15"/>
  <c r="AG232" i="15"/>
  <c r="AW231" i="15"/>
  <c r="AU231" i="15"/>
  <c r="AM231" i="15"/>
  <c r="AL231" i="15"/>
  <c r="AJ231" i="15"/>
  <c r="AI231" i="15"/>
  <c r="AH231" i="15"/>
  <c r="AG231" i="15"/>
  <c r="AW230" i="15"/>
  <c r="AU230" i="15"/>
  <c r="AM230" i="15"/>
  <c r="AL230" i="15"/>
  <c r="AJ230" i="15"/>
  <c r="AI230" i="15"/>
  <c r="AH230" i="15"/>
  <c r="AG230" i="15"/>
  <c r="CN229" i="15"/>
  <c r="CK229" i="15"/>
  <c r="CH229" i="15"/>
  <c r="BZ229" i="15"/>
  <c r="BY229" i="15"/>
  <c r="BB229" i="15"/>
  <c r="AY229" i="15"/>
  <c r="AW229" i="15"/>
  <c r="AU229" i="15"/>
  <c r="AM229" i="15"/>
  <c r="AL229" i="15"/>
  <c r="AJ229" i="15"/>
  <c r="AI229" i="15"/>
  <c r="AH229" i="15"/>
  <c r="AG229" i="15"/>
  <c r="AR229" i="15" s="1"/>
  <c r="AQ229" i="15" s="1"/>
  <c r="AD229" i="15"/>
  <c r="AC229" i="15"/>
  <c r="AB229" i="15"/>
  <c r="AA229" i="15"/>
  <c r="CN228" i="15"/>
  <c r="CK228" i="15"/>
  <c r="CH228" i="15"/>
  <c r="BZ228" i="15"/>
  <c r="BY228" i="15"/>
  <c r="AY228" i="15"/>
  <c r="BB228" i="15" s="1"/>
  <c r="AW228" i="15"/>
  <c r="AU228" i="15"/>
  <c r="AM228" i="15"/>
  <c r="AL228" i="15"/>
  <c r="AJ228" i="15"/>
  <c r="AI228" i="15"/>
  <c r="AH228" i="15"/>
  <c r="AG228" i="15"/>
  <c r="AR228" i="15" s="1"/>
  <c r="AD228" i="15"/>
  <c r="AC228" i="15"/>
  <c r="AB228" i="15"/>
  <c r="AA228" i="15"/>
  <c r="CN227" i="15"/>
  <c r="CK227" i="15"/>
  <c r="CH227" i="15"/>
  <c r="BZ227" i="15"/>
  <c r="BY227" i="15"/>
  <c r="AY227" i="15"/>
  <c r="BB227" i="15" s="1"/>
  <c r="AW227" i="15"/>
  <c r="AU227" i="15"/>
  <c r="AR227" i="15"/>
  <c r="AQ227" i="15"/>
  <c r="AM227" i="15"/>
  <c r="AL227" i="15"/>
  <c r="AJ227" i="15"/>
  <c r="AI227" i="15"/>
  <c r="AH227" i="15"/>
  <c r="AG227" i="15"/>
  <c r="AD227" i="15"/>
  <c r="AC227" i="15"/>
  <c r="AB227" i="15"/>
  <c r="AA227" i="15"/>
  <c r="CN226" i="15"/>
  <c r="CK226" i="15"/>
  <c r="CH226" i="15"/>
  <c r="BZ226" i="15"/>
  <c r="BY226" i="15"/>
  <c r="BB226" i="15"/>
  <c r="AY226" i="15"/>
  <c r="AW226" i="15"/>
  <c r="AU226" i="15"/>
  <c r="AR226" i="15"/>
  <c r="AQ226" i="15" s="1"/>
  <c r="AM226" i="15"/>
  <c r="AL226" i="15"/>
  <c r="AJ226" i="15"/>
  <c r="AI226" i="15"/>
  <c r="AH226" i="15"/>
  <c r="AG226" i="15"/>
  <c r="AD226" i="15"/>
  <c r="AC226" i="15"/>
  <c r="AB226" i="15"/>
  <c r="AA226" i="15"/>
  <c r="CN225" i="15"/>
  <c r="CK225" i="15"/>
  <c r="BB225" i="15"/>
  <c r="AY225" i="15"/>
  <c r="AW225" i="15"/>
  <c r="AU225" i="15"/>
  <c r="AR225" i="15"/>
  <c r="AQ225" i="15"/>
  <c r="AM225" i="15"/>
  <c r="AL225" i="15"/>
  <c r="AJ225" i="15"/>
  <c r="AI225" i="15"/>
  <c r="AH225" i="15"/>
  <c r="AG225" i="15"/>
  <c r="AD225" i="15"/>
  <c r="AC225" i="15"/>
  <c r="AB225" i="15"/>
  <c r="AA225" i="15"/>
  <c r="BB224" i="15"/>
  <c r="AW224" i="15"/>
  <c r="AU224" i="15"/>
  <c r="AM224" i="15"/>
  <c r="AL224" i="15"/>
  <c r="AJ224" i="15"/>
  <c r="AI224" i="15"/>
  <c r="AH224" i="15"/>
  <c r="AG224" i="15"/>
  <c r="AD224" i="15"/>
  <c r="AC224" i="15"/>
  <c r="AB224" i="15"/>
  <c r="AA224" i="15"/>
  <c r="BB223" i="15"/>
  <c r="AW223" i="15"/>
  <c r="AU223" i="15"/>
  <c r="AM223" i="15"/>
  <c r="AL223" i="15"/>
  <c r="AJ223" i="15"/>
  <c r="AI223" i="15"/>
  <c r="AH223" i="15"/>
  <c r="AG223" i="15"/>
  <c r="AD223" i="15"/>
  <c r="AC223" i="15"/>
  <c r="AB223" i="15"/>
  <c r="AA223" i="15"/>
  <c r="BB222" i="15"/>
  <c r="AW222" i="15"/>
  <c r="AU222" i="15"/>
  <c r="AM222" i="15"/>
  <c r="AL222" i="15"/>
  <c r="AJ222" i="15"/>
  <c r="AI222" i="15"/>
  <c r="AH222" i="15"/>
  <c r="AG222" i="15"/>
  <c r="AD222" i="15"/>
  <c r="AC222" i="15"/>
  <c r="AB222" i="15"/>
  <c r="AA222" i="15"/>
  <c r="BB221" i="15"/>
  <c r="AW221" i="15"/>
  <c r="AU221" i="15"/>
  <c r="AM221" i="15"/>
  <c r="AL221" i="15"/>
  <c r="AJ221" i="15"/>
  <c r="AI221" i="15"/>
  <c r="AH221" i="15"/>
  <c r="AG221" i="15"/>
  <c r="AR221" i="15" s="1"/>
  <c r="AD221" i="15"/>
  <c r="AC221" i="15"/>
  <c r="AB221" i="15"/>
  <c r="AA221" i="15"/>
  <c r="BB220" i="15"/>
  <c r="AW220" i="15"/>
  <c r="AU220" i="15"/>
  <c r="AM220" i="15"/>
  <c r="AL220" i="15"/>
  <c r="AJ220" i="15"/>
  <c r="AI220" i="15"/>
  <c r="AH220" i="15"/>
  <c r="AG220" i="15"/>
  <c r="AR220" i="15" s="1"/>
  <c r="AD220" i="15"/>
  <c r="AC220" i="15"/>
  <c r="AB220" i="15"/>
  <c r="AA220" i="15"/>
  <c r="BB219" i="15"/>
  <c r="AW219" i="15"/>
  <c r="AU219" i="15"/>
  <c r="AM219" i="15"/>
  <c r="AL219" i="15"/>
  <c r="AJ219" i="15"/>
  <c r="AI219" i="15"/>
  <c r="AH219" i="15"/>
  <c r="AG219" i="15"/>
  <c r="AR219" i="15" s="1"/>
  <c r="AD219" i="15"/>
  <c r="AC219" i="15"/>
  <c r="AB219" i="15"/>
  <c r="AA219" i="15"/>
  <c r="BB218" i="15"/>
  <c r="AW218" i="15"/>
  <c r="AU218" i="15"/>
  <c r="AM218" i="15"/>
  <c r="AL218" i="15"/>
  <c r="AJ218" i="15"/>
  <c r="AI218" i="15"/>
  <c r="AH218" i="15"/>
  <c r="AG218" i="15"/>
  <c r="AD218" i="15"/>
  <c r="AC218" i="15"/>
  <c r="AB218" i="15"/>
  <c r="AA218" i="15"/>
  <c r="BB217" i="15"/>
  <c r="AW217" i="15"/>
  <c r="AU217" i="15"/>
  <c r="AM217" i="15"/>
  <c r="AL217" i="15"/>
  <c r="AJ217" i="15"/>
  <c r="AI217" i="15"/>
  <c r="AH217" i="15"/>
  <c r="AG217" i="15"/>
  <c r="AD217" i="15"/>
  <c r="AC217" i="15"/>
  <c r="AB217" i="15"/>
  <c r="AA217" i="15"/>
  <c r="BB216" i="15"/>
  <c r="AW216" i="15"/>
  <c r="AU216" i="15"/>
  <c r="AM216" i="15"/>
  <c r="AL216" i="15"/>
  <c r="AJ216" i="15"/>
  <c r="AI216" i="15"/>
  <c r="AH216" i="15"/>
  <c r="AG216" i="15"/>
  <c r="AD216" i="15"/>
  <c r="AC216" i="15"/>
  <c r="AB216" i="15"/>
  <c r="AA216" i="15"/>
  <c r="BB215" i="15"/>
  <c r="AW215" i="15"/>
  <c r="AU215" i="15"/>
  <c r="AM215" i="15"/>
  <c r="AL215" i="15"/>
  <c r="AJ215" i="15"/>
  <c r="AI215" i="15"/>
  <c r="AH215" i="15"/>
  <c r="AG215" i="15"/>
  <c r="AD215" i="15"/>
  <c r="AC215" i="15"/>
  <c r="AB215" i="15"/>
  <c r="AA215" i="15"/>
  <c r="BB214" i="15"/>
  <c r="AW214" i="15"/>
  <c r="AU214" i="15"/>
  <c r="AM214" i="15"/>
  <c r="AL214" i="15"/>
  <c r="AJ214" i="15"/>
  <c r="AI214" i="15"/>
  <c r="AH214" i="15"/>
  <c r="AG214" i="15"/>
  <c r="AD214" i="15"/>
  <c r="AC214" i="15"/>
  <c r="AB214" i="15"/>
  <c r="AA214" i="15"/>
  <c r="BB213" i="15"/>
  <c r="AW213" i="15"/>
  <c r="AU213" i="15"/>
  <c r="AM213" i="15"/>
  <c r="AL213" i="15"/>
  <c r="AJ213" i="15"/>
  <c r="AI213" i="15"/>
  <c r="AH213" i="15"/>
  <c r="AG213" i="15"/>
  <c r="AD213" i="15"/>
  <c r="AC213" i="15"/>
  <c r="AB213" i="15"/>
  <c r="AA213" i="15"/>
  <c r="BB212" i="15"/>
  <c r="AW212" i="15"/>
  <c r="AU212" i="15"/>
  <c r="AM212" i="15"/>
  <c r="AL212" i="15"/>
  <c r="AJ212" i="15"/>
  <c r="AI212" i="15"/>
  <c r="AH212" i="15"/>
  <c r="AG212" i="15"/>
  <c r="AD212" i="15"/>
  <c r="AC212" i="15"/>
  <c r="AB212" i="15"/>
  <c r="AA212" i="15"/>
  <c r="BB211" i="15"/>
  <c r="AW211" i="15"/>
  <c r="AU211" i="15"/>
  <c r="AM211" i="15"/>
  <c r="AL211" i="15"/>
  <c r="AJ211" i="15"/>
  <c r="AI211" i="15"/>
  <c r="AH211" i="15"/>
  <c r="AG211" i="15"/>
  <c r="AD211" i="15"/>
  <c r="AC211" i="15"/>
  <c r="AB211" i="15"/>
  <c r="AA211" i="15"/>
  <c r="BB210" i="15"/>
  <c r="AW210" i="15"/>
  <c r="AU210" i="15"/>
  <c r="AM210" i="15"/>
  <c r="AL210" i="15"/>
  <c r="AJ210" i="15"/>
  <c r="AI210" i="15"/>
  <c r="AH210" i="15"/>
  <c r="AG210" i="15"/>
  <c r="AD210" i="15"/>
  <c r="AC210" i="15"/>
  <c r="AB210" i="15"/>
  <c r="AA210" i="15"/>
  <c r="BB209" i="15"/>
  <c r="AW209" i="15"/>
  <c r="AU209" i="15"/>
  <c r="AM209" i="15"/>
  <c r="AL209" i="15"/>
  <c r="AJ209" i="15"/>
  <c r="AI209" i="15"/>
  <c r="AH209" i="15"/>
  <c r="AG209" i="15"/>
  <c r="AD209" i="15"/>
  <c r="AC209" i="15"/>
  <c r="AB209" i="15"/>
  <c r="AA209" i="15"/>
  <c r="BB208" i="15"/>
  <c r="AW208" i="15"/>
  <c r="AU208" i="15"/>
  <c r="AM208" i="15"/>
  <c r="AL208" i="15"/>
  <c r="AJ208" i="15"/>
  <c r="AI208" i="15"/>
  <c r="AH208" i="15"/>
  <c r="AG208" i="15"/>
  <c r="AR208" i="15" s="1"/>
  <c r="AD208" i="15"/>
  <c r="AC208" i="15"/>
  <c r="AB208" i="15"/>
  <c r="AA208" i="15"/>
  <c r="BA207" i="15"/>
  <c r="AZ207" i="15"/>
  <c r="AY207" i="15"/>
  <c r="AX207" i="15"/>
  <c r="AV207" i="15"/>
  <c r="AO207" i="15"/>
  <c r="AN207" i="15"/>
  <c r="AM207" i="15"/>
  <c r="AL207" i="15"/>
  <c r="AK207" i="15"/>
  <c r="AJ207" i="15"/>
  <c r="AI207" i="15"/>
  <c r="AH207" i="15"/>
  <c r="AG207" i="15"/>
  <c r="AP207" i="15" s="1"/>
  <c r="BB207" i="15" s="1"/>
  <c r="AD207" i="15"/>
  <c r="AC207" i="15"/>
  <c r="AB207" i="15"/>
  <c r="AA207" i="15"/>
  <c r="BA206" i="15"/>
  <c r="AZ206" i="15"/>
  <c r="AV206" i="15"/>
  <c r="AP206" i="15"/>
  <c r="AN206" i="15"/>
  <c r="AK206" i="15"/>
  <c r="AJ206" i="15"/>
  <c r="AI206" i="15"/>
  <c r="AY206" i="15" s="1"/>
  <c r="AH206" i="15"/>
  <c r="AO206" i="15" s="1"/>
  <c r="AG206" i="15"/>
  <c r="AD206" i="15"/>
  <c r="AC206" i="15"/>
  <c r="AB206" i="15"/>
  <c r="AA206" i="15"/>
  <c r="BA205" i="15"/>
  <c r="AZ205" i="15"/>
  <c r="AY205" i="15"/>
  <c r="AX205" i="15"/>
  <c r="AV205" i="15"/>
  <c r="AO205" i="15"/>
  <c r="AN205" i="15"/>
  <c r="AM205" i="15"/>
  <c r="AL205" i="15"/>
  <c r="AK205" i="15"/>
  <c r="AJ205" i="15"/>
  <c r="AI205" i="15"/>
  <c r="AH205" i="15"/>
  <c r="AG205" i="15"/>
  <c r="AP205" i="15" s="1"/>
  <c r="BB205" i="15" s="1"/>
  <c r="AD205" i="15"/>
  <c r="AC205" i="15"/>
  <c r="AB205" i="15"/>
  <c r="AA205" i="15"/>
  <c r="BA204" i="15"/>
  <c r="AX204" i="15"/>
  <c r="AV204" i="15"/>
  <c r="AO204" i="15"/>
  <c r="AN204" i="15"/>
  <c r="AK204" i="15"/>
  <c r="AJ204" i="15"/>
  <c r="AI204" i="15"/>
  <c r="AY204" i="15" s="1"/>
  <c r="AH204" i="15"/>
  <c r="AM204" i="15" s="1"/>
  <c r="AG204" i="15"/>
  <c r="AP204" i="15" s="1"/>
  <c r="AD204" i="15"/>
  <c r="AC204" i="15"/>
  <c r="AB204" i="15"/>
  <c r="AA204" i="15"/>
  <c r="BA203" i="15"/>
  <c r="AX203" i="15"/>
  <c r="BB203" i="15" s="1"/>
  <c r="AV203" i="15"/>
  <c r="AP203" i="15"/>
  <c r="AN203" i="15"/>
  <c r="AK203" i="15"/>
  <c r="AJ203" i="15"/>
  <c r="AM203" i="15" s="1"/>
  <c r="AI203" i="15"/>
  <c r="AY203" i="15" s="1"/>
  <c r="AH203" i="15"/>
  <c r="AO203" i="15" s="1"/>
  <c r="AG203" i="15"/>
  <c r="AD203" i="15"/>
  <c r="AC203" i="15"/>
  <c r="AB203" i="15"/>
  <c r="AA203" i="15"/>
  <c r="BA202" i="15"/>
  <c r="AV202" i="15"/>
  <c r="AP202" i="15"/>
  <c r="AN202" i="15"/>
  <c r="AM202" i="15"/>
  <c r="AL202" i="15"/>
  <c r="AK202" i="15"/>
  <c r="AJ202" i="15"/>
  <c r="AI202" i="15"/>
  <c r="AY202" i="15" s="1"/>
  <c r="AH202" i="15"/>
  <c r="AO202" i="15" s="1"/>
  <c r="AG202" i="15"/>
  <c r="AD202" i="15"/>
  <c r="AC202" i="15"/>
  <c r="AB202" i="15"/>
  <c r="AA202" i="15"/>
  <c r="BA201" i="15"/>
  <c r="AV201" i="15"/>
  <c r="AP201" i="15"/>
  <c r="AN201" i="15"/>
  <c r="AK201" i="15"/>
  <c r="AJ201" i="15"/>
  <c r="AI201" i="15"/>
  <c r="AY201" i="15" s="1"/>
  <c r="AH201" i="15"/>
  <c r="AO201" i="15" s="1"/>
  <c r="AG201" i="15"/>
  <c r="AD201" i="15"/>
  <c r="AC201" i="15"/>
  <c r="AB201" i="15"/>
  <c r="AA201" i="15"/>
  <c r="CS200" i="15"/>
  <c r="CK200" i="15"/>
  <c r="CE200" i="15"/>
  <c r="BB200" i="15"/>
  <c r="BA200" i="15"/>
  <c r="AZ200" i="15"/>
  <c r="AY200" i="15"/>
  <c r="AX200" i="15"/>
  <c r="AU200" i="15"/>
  <c r="AP200" i="15"/>
  <c r="AO200" i="15"/>
  <c r="AN200" i="15"/>
  <c r="AK200" i="15"/>
  <c r="AJ200" i="15"/>
  <c r="AI200" i="15"/>
  <c r="AH200" i="15"/>
  <c r="AM200" i="15" s="1"/>
  <c r="AG200" i="15"/>
  <c r="AE200" i="15"/>
  <c r="AD200" i="15"/>
  <c r="AB200" i="15"/>
  <c r="AA200" i="15"/>
  <c r="CS199" i="15"/>
  <c r="CQ199" i="15"/>
  <c r="CK199" i="15"/>
  <c r="CE199" i="15"/>
  <c r="BB199" i="15"/>
  <c r="BA199" i="15"/>
  <c r="AZ199" i="15"/>
  <c r="AY199" i="15"/>
  <c r="AX199" i="15"/>
  <c r="AU199" i="15"/>
  <c r="AP199" i="15"/>
  <c r="AO199" i="15"/>
  <c r="AN199" i="15"/>
  <c r="AK199" i="15"/>
  <c r="AJ199" i="15"/>
  <c r="AI199" i="15"/>
  <c r="AH199" i="15"/>
  <c r="AM199" i="15" s="1"/>
  <c r="AG199" i="15"/>
  <c r="AE199" i="15"/>
  <c r="AD199" i="15"/>
  <c r="AB199" i="15"/>
  <c r="AA199" i="15"/>
  <c r="CS198" i="15"/>
  <c r="CK198" i="15"/>
  <c r="CE198" i="15"/>
  <c r="BB198" i="15"/>
  <c r="BA198" i="15"/>
  <c r="AZ198" i="15"/>
  <c r="AY198" i="15"/>
  <c r="AX198" i="15"/>
  <c r="AU198" i="15"/>
  <c r="AP198" i="15"/>
  <c r="AO198" i="15"/>
  <c r="AN198" i="15"/>
  <c r="AM198" i="15"/>
  <c r="AK198" i="15"/>
  <c r="AJ198" i="15"/>
  <c r="AI198" i="15"/>
  <c r="AH198" i="15"/>
  <c r="AL198" i="15" s="1"/>
  <c r="AG198" i="15"/>
  <c r="AE198" i="15"/>
  <c r="AD198" i="15"/>
  <c r="AB198" i="15"/>
  <c r="AA198" i="15"/>
  <c r="CS197" i="15"/>
  <c r="CK197" i="15"/>
  <c r="CE197" i="15"/>
  <c r="BA197" i="15"/>
  <c r="AZ197" i="15"/>
  <c r="BB197" i="15" s="1"/>
  <c r="AY197" i="15"/>
  <c r="AX197" i="15"/>
  <c r="AU197" i="15"/>
  <c r="AP197" i="15"/>
  <c r="AO197" i="15"/>
  <c r="AN197" i="15"/>
  <c r="AM197" i="15"/>
  <c r="AL197" i="15"/>
  <c r="AK197" i="15"/>
  <c r="AJ197" i="15"/>
  <c r="AI197" i="15"/>
  <c r="AH197" i="15"/>
  <c r="AG197" i="15"/>
  <c r="AE197" i="15"/>
  <c r="AD197" i="15"/>
  <c r="AB197" i="15"/>
  <c r="AA197" i="15"/>
  <c r="CS196" i="15"/>
  <c r="CK196" i="15"/>
  <c r="CE196" i="15"/>
  <c r="BA196" i="15"/>
  <c r="AZ196" i="15"/>
  <c r="AY196" i="15"/>
  <c r="BB196" i="15" s="1"/>
  <c r="AX196" i="15"/>
  <c r="AU196" i="15"/>
  <c r="AP196" i="15"/>
  <c r="AO196" i="15"/>
  <c r="AN196" i="15"/>
  <c r="AM196" i="15"/>
  <c r="AL196" i="15"/>
  <c r="AK196" i="15"/>
  <c r="AJ196" i="15"/>
  <c r="AI196" i="15"/>
  <c r="AH196" i="15"/>
  <c r="AG196" i="15"/>
  <c r="AE196" i="15"/>
  <c r="AD196" i="15"/>
  <c r="AB196" i="15"/>
  <c r="AA196" i="15"/>
  <c r="CS195" i="15"/>
  <c r="CK195" i="15"/>
  <c r="CE195" i="15"/>
  <c r="BA195" i="15"/>
  <c r="AZ195" i="15"/>
  <c r="AY195" i="15"/>
  <c r="AX195" i="15"/>
  <c r="BB195" i="15" s="1"/>
  <c r="AU195" i="15"/>
  <c r="AP195" i="15"/>
  <c r="AO195" i="15"/>
  <c r="AN195" i="15"/>
  <c r="AK195" i="15"/>
  <c r="AJ195" i="15"/>
  <c r="AM195" i="15" s="1"/>
  <c r="AI195" i="15"/>
  <c r="AH195" i="15"/>
  <c r="AG195" i="15"/>
  <c r="AE195" i="15"/>
  <c r="AD195" i="15"/>
  <c r="AB195" i="15"/>
  <c r="AA195" i="15"/>
  <c r="CS194" i="15"/>
  <c r="CQ194" i="15"/>
  <c r="CK194" i="15"/>
  <c r="CE194" i="15"/>
  <c r="BA194" i="15"/>
  <c r="AZ194" i="15"/>
  <c r="AY194" i="15"/>
  <c r="AX194" i="15"/>
  <c r="BB194" i="15" s="1"/>
  <c r="AU194" i="15"/>
  <c r="AP194" i="15"/>
  <c r="AO194" i="15"/>
  <c r="AN194" i="15"/>
  <c r="AK194" i="15"/>
  <c r="AJ194" i="15"/>
  <c r="AM194" i="15" s="1"/>
  <c r="AI194" i="15"/>
  <c r="AH194" i="15"/>
  <c r="AG194" i="15"/>
  <c r="AE194" i="15"/>
  <c r="AD194" i="15"/>
  <c r="AB194" i="15"/>
  <c r="AA194" i="15"/>
  <c r="CS193" i="15"/>
  <c r="CK193" i="15"/>
  <c r="CE193" i="15"/>
  <c r="BA193" i="15"/>
  <c r="AZ193" i="15"/>
  <c r="AY193" i="15"/>
  <c r="AX193" i="15"/>
  <c r="BB193" i="15" s="1"/>
  <c r="AU193" i="15"/>
  <c r="AP193" i="15"/>
  <c r="AO193" i="15"/>
  <c r="AN193" i="15"/>
  <c r="AK193" i="15"/>
  <c r="AJ193" i="15"/>
  <c r="AM193" i="15" s="1"/>
  <c r="AI193" i="15"/>
  <c r="AH193" i="15"/>
  <c r="AG193" i="15"/>
  <c r="AE193" i="15"/>
  <c r="AD193" i="15"/>
  <c r="AB193" i="15"/>
  <c r="AA193" i="15"/>
  <c r="CS192" i="15"/>
  <c r="CK192" i="15"/>
  <c r="CE192" i="15"/>
  <c r="BA192" i="15"/>
  <c r="AZ192" i="15"/>
  <c r="AY192" i="15"/>
  <c r="AX192" i="15"/>
  <c r="AU192" i="15"/>
  <c r="AP192" i="15"/>
  <c r="BB192" i="15" s="1"/>
  <c r="AO192" i="15"/>
  <c r="AN192" i="15"/>
  <c r="AK192" i="15"/>
  <c r="AJ192" i="15"/>
  <c r="AI192" i="15"/>
  <c r="AH192" i="15"/>
  <c r="AM192" i="15" s="1"/>
  <c r="AG192" i="15"/>
  <c r="AE192" i="15"/>
  <c r="AD192" i="15"/>
  <c r="AB192" i="15"/>
  <c r="AA192" i="15"/>
  <c r="CS191" i="15"/>
  <c r="CK191" i="15"/>
  <c r="CE191" i="15"/>
  <c r="BA191" i="15"/>
  <c r="AZ191" i="15"/>
  <c r="AY191" i="15"/>
  <c r="AX191" i="15"/>
  <c r="AU191" i="15"/>
  <c r="AP191" i="15"/>
  <c r="BB191" i="15" s="1"/>
  <c r="AO191" i="15"/>
  <c r="AN191" i="15"/>
  <c r="AK191" i="15"/>
  <c r="AJ191" i="15"/>
  <c r="AI191" i="15"/>
  <c r="AH191" i="15"/>
  <c r="AM191" i="15" s="1"/>
  <c r="AG191" i="15"/>
  <c r="AE191" i="15"/>
  <c r="AD191" i="15"/>
  <c r="AB191" i="15"/>
  <c r="AA191" i="15"/>
  <c r="CS190" i="15"/>
  <c r="CK190" i="15"/>
  <c r="CE190" i="15"/>
  <c r="BB190" i="15"/>
  <c r="BA190" i="15"/>
  <c r="AZ190" i="15"/>
  <c r="AY190" i="15"/>
  <c r="AX190" i="15"/>
  <c r="AU190" i="15"/>
  <c r="AP190" i="15"/>
  <c r="AO190" i="15"/>
  <c r="AN190" i="15"/>
  <c r="AK190" i="15"/>
  <c r="AJ190" i="15"/>
  <c r="AI190" i="15"/>
  <c r="AH190" i="15"/>
  <c r="AM190" i="15" s="1"/>
  <c r="AG190" i="15"/>
  <c r="AE190" i="15"/>
  <c r="AD190" i="15"/>
  <c r="AB190" i="15"/>
  <c r="AA190" i="15"/>
  <c r="CS189" i="15"/>
  <c r="CQ189" i="15"/>
  <c r="CK189" i="15"/>
  <c r="CE189" i="15"/>
  <c r="BB189" i="15"/>
  <c r="BA189" i="15"/>
  <c r="AZ189" i="15"/>
  <c r="AY189" i="15"/>
  <c r="AX189" i="15"/>
  <c r="AU189" i="15"/>
  <c r="AP189" i="15"/>
  <c r="AO189" i="15"/>
  <c r="AN189" i="15"/>
  <c r="AK189" i="15"/>
  <c r="AJ189" i="15"/>
  <c r="AI189" i="15"/>
  <c r="AH189" i="15"/>
  <c r="AM189" i="15" s="1"/>
  <c r="AG189" i="15"/>
  <c r="AE189" i="15"/>
  <c r="AD189" i="15"/>
  <c r="AB189" i="15"/>
  <c r="AA189" i="15"/>
  <c r="CM188" i="15"/>
  <c r="CK188" i="15"/>
  <c r="CG188" i="15"/>
  <c r="CE188" i="15"/>
  <c r="BZ188" i="15"/>
  <c r="BY188" i="15"/>
  <c r="AW188" i="15"/>
  <c r="AM188" i="15"/>
  <c r="AL188" i="15"/>
  <c r="AJ188" i="15"/>
  <c r="AI188" i="15"/>
  <c r="AH188" i="15"/>
  <c r="AG188" i="15"/>
  <c r="AD188" i="15"/>
  <c r="AC188" i="15"/>
  <c r="AB188" i="15"/>
  <c r="AA188" i="15"/>
  <c r="CM187" i="15"/>
  <c r="CK187" i="15"/>
  <c r="CG187" i="15"/>
  <c r="CE187" i="15"/>
  <c r="BZ187" i="15"/>
  <c r="BY187" i="15"/>
  <c r="AW187" i="15"/>
  <c r="AM187" i="15"/>
  <c r="AL187" i="15"/>
  <c r="AJ187" i="15"/>
  <c r="AI187" i="15"/>
  <c r="AH187" i="15"/>
  <c r="AG187" i="15"/>
  <c r="AD187" i="15"/>
  <c r="AC187" i="15"/>
  <c r="AB187" i="15"/>
  <c r="AA187" i="15"/>
  <c r="CM186" i="15"/>
  <c r="CK186" i="15"/>
  <c r="CG186" i="15"/>
  <c r="CE186" i="15"/>
  <c r="BZ186" i="15"/>
  <c r="BY186" i="15"/>
  <c r="AW186" i="15"/>
  <c r="AM186" i="15"/>
  <c r="AL186" i="15"/>
  <c r="AJ186" i="15"/>
  <c r="AI186" i="15"/>
  <c r="AH186" i="15"/>
  <c r="AG186" i="15"/>
  <c r="AD186" i="15"/>
  <c r="AC186" i="15"/>
  <c r="AB186" i="15"/>
  <c r="AA186" i="15"/>
  <c r="CM185" i="15"/>
  <c r="CK185" i="15"/>
  <c r="BB185" i="15"/>
  <c r="AY185" i="15"/>
  <c r="AW185" i="15"/>
  <c r="AR185" i="15"/>
  <c r="AQ185" i="15" s="1"/>
  <c r="AM185" i="15"/>
  <c r="AL185" i="15"/>
  <c r="AJ185" i="15"/>
  <c r="AI185" i="15"/>
  <c r="AH185" i="15"/>
  <c r="AG185" i="15"/>
  <c r="AD185" i="15"/>
  <c r="AC185" i="15"/>
  <c r="AB185" i="15"/>
  <c r="AA185" i="15"/>
  <c r="CM184" i="15"/>
  <c r="CK184" i="15"/>
  <c r="AY184" i="15"/>
  <c r="BB184" i="15" s="1"/>
  <c r="AW184" i="15"/>
  <c r="AM184" i="15"/>
  <c r="AL184" i="15"/>
  <c r="AJ184" i="15"/>
  <c r="AI184" i="15"/>
  <c r="AH184" i="15"/>
  <c r="AG184" i="15"/>
  <c r="AR184" i="15" s="1"/>
  <c r="AQ184" i="15" s="1"/>
  <c r="AD184" i="15"/>
  <c r="AC184" i="15"/>
  <c r="AB184" i="15"/>
  <c r="AA184" i="15"/>
  <c r="CM183" i="15"/>
  <c r="CK183" i="15"/>
  <c r="AY183" i="15"/>
  <c r="BB183" i="15" s="1"/>
  <c r="AW183" i="15"/>
  <c r="AR183" i="15"/>
  <c r="AQ183" i="15"/>
  <c r="AM183" i="15"/>
  <c r="AL183" i="15"/>
  <c r="AJ183" i="15"/>
  <c r="AI183" i="15"/>
  <c r="AH183" i="15"/>
  <c r="AG183" i="15"/>
  <c r="AD183" i="15"/>
  <c r="AC183" i="15"/>
  <c r="AB183" i="15"/>
  <c r="AA183" i="15"/>
  <c r="CM182" i="15"/>
  <c r="CK182" i="15"/>
  <c r="BB182" i="15"/>
  <c r="AY182" i="15"/>
  <c r="AW182" i="15"/>
  <c r="AR182" i="15"/>
  <c r="AQ182" i="15" s="1"/>
  <c r="AM182" i="15"/>
  <c r="AL182" i="15"/>
  <c r="AJ182" i="15"/>
  <c r="AI182" i="15"/>
  <c r="AH182" i="15"/>
  <c r="AG182" i="15"/>
  <c r="AD182" i="15"/>
  <c r="AC182" i="15"/>
  <c r="AB182" i="15"/>
  <c r="AA182" i="15"/>
  <c r="CM181" i="15"/>
  <c r="CK181" i="15"/>
  <c r="AY181" i="15"/>
  <c r="BB181" i="15" s="1"/>
  <c r="AW181" i="15"/>
  <c r="AM181" i="15"/>
  <c r="AL181" i="15"/>
  <c r="AJ181" i="15"/>
  <c r="AI181" i="15"/>
  <c r="AH181" i="15"/>
  <c r="AG181" i="15"/>
  <c r="AR181" i="15" s="1"/>
  <c r="AQ181" i="15" s="1"/>
  <c r="AD181" i="15"/>
  <c r="AC181" i="15"/>
  <c r="AB181" i="15"/>
  <c r="AA181" i="15"/>
  <c r="CM180" i="15"/>
  <c r="CK180" i="15"/>
  <c r="AY180" i="15"/>
  <c r="BB180" i="15" s="1"/>
  <c r="AW180" i="15"/>
  <c r="AM180" i="15"/>
  <c r="AL180" i="15"/>
  <c r="AJ180" i="15"/>
  <c r="AI180" i="15"/>
  <c r="AH180" i="15"/>
  <c r="AG180" i="15"/>
  <c r="AR180" i="15" s="1"/>
  <c r="AQ180" i="15" s="1"/>
  <c r="AD180" i="15"/>
  <c r="AC180" i="15"/>
  <c r="AB180" i="15"/>
  <c r="AA180" i="15"/>
  <c r="BZ179" i="15"/>
  <c r="AY179" i="15"/>
  <c r="BB179" i="15" s="1"/>
  <c r="AW179" i="15"/>
  <c r="AM179" i="15"/>
  <c r="AL179" i="15"/>
  <c r="AJ179" i="15"/>
  <c r="AI179" i="15"/>
  <c r="AH179" i="15"/>
  <c r="AG179" i="15"/>
  <c r="AR179" i="15" s="1"/>
  <c r="AD179" i="15"/>
  <c r="AC179" i="15"/>
  <c r="AB179" i="15"/>
  <c r="AA179" i="15"/>
  <c r="BZ178" i="15"/>
  <c r="AY178" i="15"/>
  <c r="BB178" i="15" s="1"/>
  <c r="AW178" i="15"/>
  <c r="AM178" i="15"/>
  <c r="AL178" i="15"/>
  <c r="AJ178" i="15"/>
  <c r="AI178" i="15"/>
  <c r="AH178" i="15"/>
  <c r="AG178" i="15"/>
  <c r="AR178" i="15" s="1"/>
  <c r="AD178" i="15"/>
  <c r="AC178" i="15"/>
  <c r="AB178" i="15"/>
  <c r="AA178" i="15"/>
  <c r="BZ177" i="15"/>
  <c r="AY177" i="15"/>
  <c r="BB177" i="15" s="1"/>
  <c r="AW177" i="15"/>
  <c r="AM177" i="15"/>
  <c r="AL177" i="15"/>
  <c r="AJ177" i="15"/>
  <c r="AI177" i="15"/>
  <c r="AH177" i="15"/>
  <c r="AG177" i="15"/>
  <c r="AR177" i="15" s="1"/>
  <c r="AD177" i="15"/>
  <c r="AC177" i="15"/>
  <c r="AB177" i="15"/>
  <c r="AA177" i="15"/>
  <c r="BZ176" i="15"/>
  <c r="AY176" i="15"/>
  <c r="BB176" i="15" s="1"/>
  <c r="AW176" i="15"/>
  <c r="AM176" i="15"/>
  <c r="AL176" i="15"/>
  <c r="AJ176" i="15"/>
  <c r="AI176" i="15"/>
  <c r="AH176" i="15"/>
  <c r="AG176" i="15"/>
  <c r="AR176" i="15" s="1"/>
  <c r="AD176" i="15"/>
  <c r="AC176" i="15"/>
  <c r="AB176" i="15"/>
  <c r="AA176" i="15"/>
  <c r="BZ175" i="15"/>
  <c r="AY175" i="15"/>
  <c r="BB175" i="15" s="1"/>
  <c r="AW175" i="15"/>
  <c r="AM175" i="15"/>
  <c r="AL175" i="15"/>
  <c r="AJ175" i="15"/>
  <c r="AI175" i="15"/>
  <c r="AH175" i="15"/>
  <c r="AG175" i="15"/>
  <c r="AR175" i="15" s="1"/>
  <c r="AD175" i="15"/>
  <c r="AC175" i="15"/>
  <c r="AB175" i="15"/>
  <c r="AA175" i="15"/>
  <c r="BZ174" i="15"/>
  <c r="AY174" i="15"/>
  <c r="BB174" i="15" s="1"/>
  <c r="AW174" i="15"/>
  <c r="AM174" i="15"/>
  <c r="AL174" i="15"/>
  <c r="AJ174" i="15"/>
  <c r="AI174" i="15"/>
  <c r="AH174" i="15"/>
  <c r="AG174" i="15"/>
  <c r="AR174" i="15" s="1"/>
  <c r="AD174" i="15"/>
  <c r="AC174" i="15"/>
  <c r="AB174" i="15"/>
  <c r="AA174" i="15"/>
  <c r="AY173" i="15"/>
  <c r="BB173" i="15" s="1"/>
  <c r="AW173" i="15"/>
  <c r="AM173" i="15"/>
  <c r="AL173" i="15"/>
  <c r="AJ173" i="15"/>
  <c r="AI173" i="15"/>
  <c r="AH173" i="15"/>
  <c r="AG173" i="15"/>
  <c r="AR173" i="15" s="1"/>
  <c r="AD173" i="15"/>
  <c r="AC173" i="15"/>
  <c r="AB173" i="15"/>
  <c r="AA173" i="15"/>
  <c r="BB172" i="15"/>
  <c r="AW172" i="15"/>
  <c r="AU172" i="15"/>
  <c r="AR172" i="15"/>
  <c r="AQ172" i="15" s="1"/>
  <c r="AM172" i="15"/>
  <c r="AL172" i="15"/>
  <c r="AJ172" i="15"/>
  <c r="AI172" i="15"/>
  <c r="AH172" i="15"/>
  <c r="AG172" i="15"/>
  <c r="BB171" i="15"/>
  <c r="AW171" i="15"/>
  <c r="AU171" i="15" s="1"/>
  <c r="AM171" i="15"/>
  <c r="AL171" i="15"/>
  <c r="AJ171" i="15"/>
  <c r="AI171" i="15"/>
  <c r="AH171" i="15"/>
  <c r="AG171" i="15"/>
  <c r="AR171" i="15" s="1"/>
  <c r="AQ171" i="15" s="1"/>
  <c r="BB170" i="15"/>
  <c r="AW170" i="15"/>
  <c r="AU170" i="15"/>
  <c r="AM170" i="15"/>
  <c r="AL170" i="15"/>
  <c r="AJ170" i="15"/>
  <c r="AI170" i="15"/>
  <c r="AH170" i="15"/>
  <c r="AG170" i="15"/>
  <c r="AR170" i="15" s="1"/>
  <c r="BZ169" i="15"/>
  <c r="BY169" i="15"/>
  <c r="AW169" i="15"/>
  <c r="AU169" i="15"/>
  <c r="AM169" i="15"/>
  <c r="AL169" i="15"/>
  <c r="AJ169" i="15"/>
  <c r="AI169" i="15"/>
  <c r="AH169" i="15"/>
  <c r="AG169" i="15"/>
  <c r="AD169" i="15"/>
  <c r="AC169" i="15"/>
  <c r="AB169" i="15"/>
  <c r="AA169" i="15"/>
  <c r="AW168" i="15"/>
  <c r="AU168" i="15"/>
  <c r="AM168" i="15"/>
  <c r="AL168" i="15"/>
  <c r="AJ168" i="15"/>
  <c r="AI168" i="15"/>
  <c r="AH168" i="15"/>
  <c r="AG168" i="15"/>
  <c r="AD168" i="15"/>
  <c r="AC168" i="15"/>
  <c r="AB168" i="15"/>
  <c r="AA168" i="15"/>
  <c r="AW167" i="15"/>
  <c r="AU167" i="15"/>
  <c r="AM167" i="15"/>
  <c r="AL167" i="15"/>
  <c r="AJ167" i="15"/>
  <c r="AI167" i="15"/>
  <c r="AH167" i="15"/>
  <c r="AG167" i="15"/>
  <c r="AD167" i="15"/>
  <c r="AC167" i="15"/>
  <c r="AB167" i="15"/>
  <c r="AA167" i="15"/>
  <c r="AW166" i="15"/>
  <c r="AU166" i="15"/>
  <c r="AM166" i="15"/>
  <c r="AL166" i="15"/>
  <c r="AJ166" i="15"/>
  <c r="AI166" i="15"/>
  <c r="AH166" i="15"/>
  <c r="AG166" i="15"/>
  <c r="AD166" i="15"/>
  <c r="AC166" i="15"/>
  <c r="AB166" i="15"/>
  <c r="AA166" i="15"/>
  <c r="CM165" i="15"/>
  <c r="CK165" i="15"/>
  <c r="CG165" i="15"/>
  <c r="CE165" i="15"/>
  <c r="BZ165" i="15"/>
  <c r="BY165" i="15"/>
  <c r="BV165" i="15"/>
  <c r="AY165" i="15"/>
  <c r="BB165" i="15" s="1"/>
  <c r="AW165" i="15"/>
  <c r="AU165" i="15"/>
  <c r="AM165" i="15"/>
  <c r="AL165" i="15"/>
  <c r="AJ165" i="15"/>
  <c r="AI165" i="15"/>
  <c r="AH165" i="15"/>
  <c r="AG165" i="15"/>
  <c r="AD165" i="15"/>
  <c r="AC165" i="15"/>
  <c r="AB165" i="15"/>
  <c r="AA165" i="15"/>
  <c r="CM164" i="15"/>
  <c r="CK164" i="15"/>
  <c r="CG164" i="15"/>
  <c r="CE164" i="15"/>
  <c r="BZ164" i="15"/>
  <c r="BY164" i="15"/>
  <c r="BV164" i="15"/>
  <c r="AY164" i="15"/>
  <c r="BB164" i="15" s="1"/>
  <c r="AW164" i="15"/>
  <c r="AU164" i="15"/>
  <c r="AM164" i="15"/>
  <c r="AL164" i="15"/>
  <c r="AJ164" i="15"/>
  <c r="AI164" i="15"/>
  <c r="AH164" i="15"/>
  <c r="AG164" i="15"/>
  <c r="AD164" i="15"/>
  <c r="AC164" i="15"/>
  <c r="AB164" i="15"/>
  <c r="AA164" i="15"/>
  <c r="CM163" i="15"/>
  <c r="CK163" i="15"/>
  <c r="CG163" i="15"/>
  <c r="CE163" i="15"/>
  <c r="BZ163" i="15"/>
  <c r="BY163" i="15"/>
  <c r="BV163" i="15"/>
  <c r="BB163" i="15"/>
  <c r="AY163" i="15"/>
  <c r="AW163" i="15"/>
  <c r="AU163" i="15"/>
  <c r="AM163" i="15"/>
  <c r="AL163" i="15"/>
  <c r="AJ163" i="15"/>
  <c r="AI163" i="15"/>
  <c r="AH163" i="15"/>
  <c r="AG163" i="15"/>
  <c r="AD163" i="15"/>
  <c r="AC163" i="15"/>
  <c r="AB163" i="15"/>
  <c r="AA163" i="15"/>
  <c r="CM162" i="15"/>
  <c r="CK162" i="15"/>
  <c r="CG162" i="15"/>
  <c r="CE162" i="15"/>
  <c r="BZ162" i="15"/>
  <c r="BV162" i="15"/>
  <c r="BB162" i="15"/>
  <c r="AY162" i="15"/>
  <c r="AW162" i="15"/>
  <c r="AU162" i="15"/>
  <c r="AM162" i="15"/>
  <c r="AL162" i="15"/>
  <c r="AJ162" i="15"/>
  <c r="AI162" i="15"/>
  <c r="AH162" i="15"/>
  <c r="AG162" i="15"/>
  <c r="AD162" i="15"/>
  <c r="AC162" i="15"/>
  <c r="AB162" i="15"/>
  <c r="AA162" i="15"/>
  <c r="CM161" i="15"/>
  <c r="CK161" i="15"/>
  <c r="CG161" i="15"/>
  <c r="CE161" i="15"/>
  <c r="BZ161" i="15"/>
  <c r="BV161" i="15"/>
  <c r="BB161" i="15"/>
  <c r="AY161" i="15"/>
  <c r="AW161" i="15"/>
  <c r="AU161" i="15"/>
  <c r="AM161" i="15"/>
  <c r="AL161" i="15"/>
  <c r="AJ161" i="15"/>
  <c r="AI161" i="15"/>
  <c r="AH161" i="15"/>
  <c r="AG161" i="15"/>
  <c r="AD161" i="15"/>
  <c r="AC161" i="15"/>
  <c r="AB161" i="15"/>
  <c r="AA161" i="15"/>
  <c r="CM160" i="15"/>
  <c r="CK160" i="15"/>
  <c r="CG160" i="15"/>
  <c r="CE160" i="15"/>
  <c r="BY160" i="15"/>
  <c r="BV160" i="15"/>
  <c r="BB160" i="15"/>
  <c r="AY160" i="15"/>
  <c r="AW160" i="15"/>
  <c r="AU160" i="15"/>
  <c r="AM160" i="15"/>
  <c r="AL160" i="15"/>
  <c r="AJ160" i="15"/>
  <c r="AI160" i="15"/>
  <c r="AH160" i="15"/>
  <c r="AG160" i="15"/>
  <c r="AD160" i="15"/>
  <c r="AC160" i="15"/>
  <c r="AB160" i="15"/>
  <c r="AA160" i="15"/>
  <c r="CS159" i="15"/>
  <c r="CM159" i="15"/>
  <c r="CG159" i="15"/>
  <c r="BB159" i="15"/>
  <c r="AW159" i="15"/>
  <c r="AM159" i="15"/>
  <c r="AL159" i="15"/>
  <c r="AJ159" i="15"/>
  <c r="AI159" i="15"/>
  <c r="AH159" i="15"/>
  <c r="AG159" i="15"/>
  <c r="AD159" i="15"/>
  <c r="AC159" i="15"/>
  <c r="AB159" i="15"/>
  <c r="AA159" i="15"/>
  <c r="CS158" i="15"/>
  <c r="CM158" i="15"/>
  <c r="CG158" i="15"/>
  <c r="BB158" i="15"/>
  <c r="AW158" i="15"/>
  <c r="AM158" i="15"/>
  <c r="AL158" i="15"/>
  <c r="AJ158" i="15"/>
  <c r="AI158" i="15"/>
  <c r="AH158" i="15"/>
  <c r="AG158" i="15"/>
  <c r="AD158" i="15"/>
  <c r="AC158" i="15"/>
  <c r="AB158" i="15"/>
  <c r="AA158" i="15"/>
  <c r="CS157" i="15"/>
  <c r="CM157" i="15"/>
  <c r="CG157" i="15"/>
  <c r="BB157" i="15"/>
  <c r="AW157" i="15"/>
  <c r="AM157" i="15"/>
  <c r="AL157" i="15"/>
  <c r="AJ157" i="15"/>
  <c r="AI157" i="15"/>
  <c r="AH157" i="15"/>
  <c r="AG157" i="15"/>
  <c r="AD157" i="15"/>
  <c r="AC157" i="15"/>
  <c r="AB157" i="15"/>
  <c r="AA157" i="15"/>
  <c r="CS156" i="15"/>
  <c r="CM156" i="15"/>
  <c r="CG156" i="15"/>
  <c r="BB156" i="15"/>
  <c r="AW156" i="15"/>
  <c r="AM156" i="15"/>
  <c r="AL156" i="15"/>
  <c r="AJ156" i="15"/>
  <c r="AI156" i="15"/>
  <c r="AH156" i="15"/>
  <c r="AG156" i="15"/>
  <c r="AD156" i="15"/>
  <c r="AC156" i="15"/>
  <c r="AB156" i="15"/>
  <c r="AA156" i="15"/>
  <c r="AY155" i="15"/>
  <c r="BB155" i="15" s="1"/>
  <c r="AW155" i="15"/>
  <c r="AU155" i="15"/>
  <c r="AQ155" i="15"/>
  <c r="AM155" i="15"/>
  <c r="AL155" i="15"/>
  <c r="AJ155" i="15"/>
  <c r="AI155" i="15"/>
  <c r="AH155" i="15"/>
  <c r="AG155" i="15"/>
  <c r="AR155" i="15" s="1"/>
  <c r="AD155" i="15"/>
  <c r="AC155" i="15"/>
  <c r="AB155" i="15"/>
  <c r="AA155" i="15"/>
  <c r="BZ154" i="15"/>
  <c r="BY154" i="15"/>
  <c r="BB154" i="15"/>
  <c r="AY154" i="15"/>
  <c r="AW154" i="15"/>
  <c r="AU154" i="15"/>
  <c r="AR154" i="15"/>
  <c r="AM154" i="15"/>
  <c r="AL154" i="15"/>
  <c r="AJ154" i="15"/>
  <c r="AI154" i="15"/>
  <c r="AH154" i="15"/>
  <c r="AG154" i="15"/>
  <c r="AQ154" i="15" s="1"/>
  <c r="AD154" i="15"/>
  <c r="AC154" i="15"/>
  <c r="AB154" i="15"/>
  <c r="AA154" i="15"/>
  <c r="BB153" i="15"/>
  <c r="AY153" i="15"/>
  <c r="AW153" i="15"/>
  <c r="AU153" i="15"/>
  <c r="AR153" i="15"/>
  <c r="AM153" i="15"/>
  <c r="AL153" i="15"/>
  <c r="AJ153" i="15"/>
  <c r="AI153" i="15"/>
  <c r="AH153" i="15"/>
  <c r="AG153" i="15"/>
  <c r="AQ153" i="15" s="1"/>
  <c r="AD153" i="15"/>
  <c r="AC153" i="15"/>
  <c r="AB153" i="15"/>
  <c r="AA153" i="15"/>
  <c r="BZ152" i="15"/>
  <c r="BY152" i="15"/>
  <c r="AY152" i="15"/>
  <c r="BB152" i="15" s="1"/>
  <c r="AW152" i="15"/>
  <c r="AU152" i="15"/>
  <c r="AR152" i="15"/>
  <c r="AQ152" i="15"/>
  <c r="AM152" i="15"/>
  <c r="AL152" i="15"/>
  <c r="AJ152" i="15"/>
  <c r="AI152" i="15"/>
  <c r="AH152" i="15"/>
  <c r="AG152" i="15"/>
  <c r="AD152" i="15"/>
  <c r="AC152" i="15"/>
  <c r="AB152" i="15"/>
  <c r="AA152" i="15"/>
  <c r="BZ151" i="15"/>
  <c r="BY151" i="15"/>
  <c r="BB151" i="15"/>
  <c r="AY151" i="15"/>
  <c r="AW151" i="15"/>
  <c r="AU151" i="15"/>
  <c r="AM151" i="15"/>
  <c r="AL151" i="15"/>
  <c r="AJ151" i="15"/>
  <c r="AI151" i="15"/>
  <c r="AH151" i="15"/>
  <c r="AG151" i="15"/>
  <c r="AD151" i="15"/>
  <c r="AC151" i="15"/>
  <c r="AB151" i="15"/>
  <c r="AA151" i="15"/>
  <c r="BY150" i="15"/>
  <c r="AY150" i="15"/>
  <c r="BB150" i="15" s="1"/>
  <c r="AW150" i="15"/>
  <c r="AU150" i="15"/>
  <c r="AM150" i="15"/>
  <c r="AL150" i="15"/>
  <c r="AJ150" i="15"/>
  <c r="AI150" i="15"/>
  <c r="AH150" i="15"/>
  <c r="AG150" i="15"/>
  <c r="AR150" i="15" s="1"/>
  <c r="AD150" i="15"/>
  <c r="AC150" i="15"/>
  <c r="AB150" i="15"/>
  <c r="AA150" i="15"/>
  <c r="BZ149" i="15"/>
  <c r="BY149" i="15"/>
  <c r="BB149" i="15"/>
  <c r="AY149" i="15"/>
  <c r="AW149" i="15"/>
  <c r="AU149" i="15"/>
  <c r="AR149" i="15"/>
  <c r="AQ149" i="15"/>
  <c r="AM149" i="15"/>
  <c r="AL149" i="15"/>
  <c r="AJ149" i="15"/>
  <c r="AI149" i="15"/>
  <c r="AH149" i="15"/>
  <c r="AG149" i="15"/>
  <c r="AD149" i="15"/>
  <c r="AC149" i="15"/>
  <c r="AB149" i="15"/>
  <c r="AA149" i="15"/>
  <c r="BZ148" i="15"/>
  <c r="BY148" i="15"/>
  <c r="AU148" i="15"/>
  <c r="AL148" i="15"/>
  <c r="AJ148" i="15"/>
  <c r="AI148" i="15"/>
  <c r="AH148" i="15"/>
  <c r="AG148" i="15"/>
  <c r="AQ148" i="15" s="1"/>
  <c r="AD148" i="15"/>
  <c r="AC148" i="15"/>
  <c r="AB148" i="15"/>
  <c r="AA148" i="15"/>
  <c r="BZ147" i="15"/>
  <c r="BY147" i="15"/>
  <c r="AU147" i="15"/>
  <c r="AQ147" i="15"/>
  <c r="AL147" i="15"/>
  <c r="AJ147" i="15"/>
  <c r="AI147" i="15"/>
  <c r="AH147" i="15"/>
  <c r="AG147" i="15"/>
  <c r="AD147" i="15"/>
  <c r="AC147" i="15"/>
  <c r="AB147" i="15"/>
  <c r="AA147" i="15"/>
  <c r="BZ146" i="15"/>
  <c r="BY146" i="15"/>
  <c r="AY146" i="15"/>
  <c r="BB146" i="15" s="1"/>
  <c r="AW146" i="15"/>
  <c r="AU146" i="15"/>
  <c r="AR146" i="15"/>
  <c r="AQ146" i="15"/>
  <c r="AM146" i="15"/>
  <c r="AL146" i="15"/>
  <c r="AJ146" i="15"/>
  <c r="AI146" i="15"/>
  <c r="AH146" i="15"/>
  <c r="AG146" i="15"/>
  <c r="AD146" i="15"/>
  <c r="AC146" i="15"/>
  <c r="AB146" i="15"/>
  <c r="AA146" i="15"/>
  <c r="BZ145" i="15"/>
  <c r="AY145" i="15"/>
  <c r="AM145" i="15"/>
  <c r="AL145" i="15"/>
  <c r="AJ145" i="15"/>
  <c r="AI145" i="15"/>
  <c r="AH145" i="15"/>
  <c r="AG145" i="15"/>
  <c r="AR145" i="15" s="1"/>
  <c r="AD145" i="15"/>
  <c r="AC145" i="15"/>
  <c r="AB145" i="15"/>
  <c r="AA145" i="15"/>
  <c r="BZ144" i="15"/>
  <c r="AY144" i="15"/>
  <c r="AM144" i="15"/>
  <c r="AL144" i="15"/>
  <c r="AJ144" i="15"/>
  <c r="AI144" i="15"/>
  <c r="AH144" i="15"/>
  <c r="AG144" i="15"/>
  <c r="AR144" i="15" s="1"/>
  <c r="AD144" i="15"/>
  <c r="AC144" i="15"/>
  <c r="AB144" i="15"/>
  <c r="AA144" i="15"/>
  <c r="BZ143" i="15"/>
  <c r="AY143" i="15"/>
  <c r="AR143" i="15"/>
  <c r="AM143" i="15"/>
  <c r="AL143" i="15"/>
  <c r="AJ143" i="15"/>
  <c r="AI143" i="15"/>
  <c r="AH143" i="15"/>
  <c r="AG143" i="15"/>
  <c r="AD143" i="15"/>
  <c r="AC143" i="15"/>
  <c r="AB143" i="15"/>
  <c r="AA143" i="15"/>
  <c r="BZ142" i="15"/>
  <c r="AY142" i="15"/>
  <c r="AR142" i="15"/>
  <c r="AM142" i="15"/>
  <c r="AL142" i="15"/>
  <c r="AJ142" i="15"/>
  <c r="AI142" i="15"/>
  <c r="AH142" i="15"/>
  <c r="AG142" i="15"/>
  <c r="AD142" i="15"/>
  <c r="AC142" i="15"/>
  <c r="AB142" i="15"/>
  <c r="AA142" i="15"/>
  <c r="BZ141" i="15"/>
  <c r="AY141" i="15"/>
  <c r="AM141" i="15"/>
  <c r="AL141" i="15"/>
  <c r="AJ141" i="15"/>
  <c r="AI141" i="15"/>
  <c r="AH141" i="15"/>
  <c r="AG141" i="15"/>
  <c r="AR141" i="15" s="1"/>
  <c r="AD141" i="15"/>
  <c r="AC141" i="15"/>
  <c r="AB141" i="15"/>
  <c r="AA141" i="15"/>
  <c r="BZ140" i="15"/>
  <c r="AY140" i="15"/>
  <c r="AM140" i="15"/>
  <c r="AL140" i="15"/>
  <c r="AJ140" i="15"/>
  <c r="AI140" i="15"/>
  <c r="AH140" i="15"/>
  <c r="AG140" i="15"/>
  <c r="AR140" i="15" s="1"/>
  <c r="AD140" i="15"/>
  <c r="AC140" i="15"/>
  <c r="AB140" i="15"/>
  <c r="AA140" i="15"/>
  <c r="AY139" i="15"/>
  <c r="AM139" i="15"/>
  <c r="AL139" i="15"/>
  <c r="AJ139" i="15"/>
  <c r="AI139" i="15"/>
  <c r="AH139" i="15"/>
  <c r="AG139" i="15"/>
  <c r="AR139" i="15" s="1"/>
  <c r="AD139" i="15"/>
  <c r="AC139" i="15"/>
  <c r="AB139" i="15"/>
  <c r="AA139" i="15"/>
  <c r="BZ138" i="15"/>
  <c r="BY138" i="15"/>
  <c r="AW138" i="15"/>
  <c r="AM138" i="15"/>
  <c r="AL138" i="15"/>
  <c r="AJ138" i="15"/>
  <c r="AI138" i="15"/>
  <c r="AH138" i="15"/>
  <c r="AG138" i="15"/>
  <c r="AD138" i="15"/>
  <c r="AC138" i="15"/>
  <c r="AB138" i="15"/>
  <c r="AA138" i="15"/>
  <c r="BZ137" i="15"/>
  <c r="BY137" i="15"/>
  <c r="AW137" i="15"/>
  <c r="AM137" i="15"/>
  <c r="AL137" i="15"/>
  <c r="AJ137" i="15"/>
  <c r="AI137" i="15"/>
  <c r="AH137" i="15"/>
  <c r="AG137" i="15"/>
  <c r="AD137" i="15"/>
  <c r="AC137" i="15"/>
  <c r="AB137" i="15"/>
  <c r="AA137" i="15"/>
  <c r="CS136" i="15"/>
  <c r="CM136" i="15"/>
  <c r="BA136" i="15"/>
  <c r="AZ136" i="15"/>
  <c r="AY136" i="15"/>
  <c r="AX136" i="15"/>
  <c r="AV136" i="15"/>
  <c r="AN136" i="15"/>
  <c r="AK136" i="15"/>
  <c r="AJ136" i="15"/>
  <c r="AI136" i="15"/>
  <c r="AH136" i="15"/>
  <c r="AL136" i="15" s="1"/>
  <c r="AG136" i="15"/>
  <c r="AP136" i="15" s="1"/>
  <c r="BB136" i="15" s="1"/>
  <c r="CS135" i="15"/>
  <c r="CM135" i="15"/>
  <c r="BA135" i="15"/>
  <c r="AZ135" i="15"/>
  <c r="AY135" i="15"/>
  <c r="AX135" i="15"/>
  <c r="AV135" i="15"/>
  <c r="AN135" i="15"/>
  <c r="AK135" i="15"/>
  <c r="AJ135" i="15"/>
  <c r="AI135" i="15"/>
  <c r="AH135" i="15"/>
  <c r="AO135" i="15" s="1"/>
  <c r="AG135" i="15"/>
  <c r="AP135" i="15" s="1"/>
  <c r="BB135" i="15" s="1"/>
  <c r="CM134" i="15"/>
  <c r="BA134" i="15"/>
  <c r="AZ134" i="15"/>
  <c r="AY134" i="15"/>
  <c r="AX134" i="15"/>
  <c r="AV134" i="15"/>
  <c r="AP134" i="15"/>
  <c r="BB134" i="15" s="1"/>
  <c r="AN134" i="15"/>
  <c r="AK134" i="15"/>
  <c r="AJ134" i="15"/>
  <c r="AI134" i="15"/>
  <c r="AL134" i="15" s="1"/>
  <c r="AH134" i="15"/>
  <c r="AO134" i="15" s="1"/>
  <c r="AG134" i="15"/>
  <c r="CS133" i="15"/>
  <c r="CM133" i="15"/>
  <c r="BA133" i="15"/>
  <c r="AZ133" i="15"/>
  <c r="AY133" i="15"/>
  <c r="BB133" i="15" s="1"/>
  <c r="AX133" i="15"/>
  <c r="AV133" i="15"/>
  <c r="AN133" i="15"/>
  <c r="AL133" i="15"/>
  <c r="AK133" i="15"/>
  <c r="AJ133" i="15"/>
  <c r="AI133" i="15"/>
  <c r="AH133" i="15"/>
  <c r="AO133" i="15" s="1"/>
  <c r="AG133" i="15"/>
  <c r="AP133" i="15" s="1"/>
  <c r="CM132" i="15"/>
  <c r="BB132" i="15"/>
  <c r="BA132" i="15"/>
  <c r="AZ132" i="15"/>
  <c r="AY132" i="15"/>
  <c r="AX132" i="15"/>
  <c r="AV132" i="15"/>
  <c r="AN132" i="15"/>
  <c r="AK132" i="15"/>
  <c r="AJ132" i="15"/>
  <c r="AL132" i="15" s="1"/>
  <c r="AI132" i="15"/>
  <c r="AH132" i="15"/>
  <c r="AO132" i="15" s="1"/>
  <c r="AG132" i="15"/>
  <c r="AP132" i="15" s="1"/>
  <c r="AW131" i="15"/>
  <c r="AM131" i="15"/>
  <c r="AL131" i="15"/>
  <c r="AJ131" i="15"/>
  <c r="AI131" i="15"/>
  <c r="AH131" i="15"/>
  <c r="AG131" i="15"/>
  <c r="AD131" i="15"/>
  <c r="AC131" i="15"/>
  <c r="AB131" i="15"/>
  <c r="AA131" i="15"/>
  <c r="CS130" i="15"/>
  <c r="CM130" i="15"/>
  <c r="CG130" i="15"/>
  <c r="BB130" i="15"/>
  <c r="AY130" i="15"/>
  <c r="AW130" i="15"/>
  <c r="AR130" i="15"/>
  <c r="AQ130" i="15"/>
  <c r="AM130" i="15"/>
  <c r="AL130" i="15"/>
  <c r="AJ130" i="15"/>
  <c r="AI130" i="15"/>
  <c r="AH130" i="15"/>
  <c r="AG130" i="15"/>
  <c r="AD130" i="15"/>
  <c r="AC130" i="15"/>
  <c r="AB130" i="15"/>
  <c r="AA130" i="15"/>
  <c r="CS129" i="15"/>
  <c r="CM129" i="15"/>
  <c r="CG129" i="15"/>
  <c r="AW129" i="15"/>
  <c r="AR129" i="15"/>
  <c r="AX129" i="15" s="1"/>
  <c r="AQ129" i="15"/>
  <c r="AM129" i="15"/>
  <c r="AL129" i="15"/>
  <c r="AJ129" i="15"/>
  <c r="AI129" i="15"/>
  <c r="AH129" i="15"/>
  <c r="AG129" i="15"/>
  <c r="AD129" i="15"/>
  <c r="AC129" i="15"/>
  <c r="AB129" i="15"/>
  <c r="AA129" i="15"/>
  <c r="CS128" i="15"/>
  <c r="CM128" i="15"/>
  <c r="CG128" i="15"/>
  <c r="AW128" i="15"/>
  <c r="AM128" i="15"/>
  <c r="AL128" i="15"/>
  <c r="AJ128" i="15"/>
  <c r="AI128" i="15"/>
  <c r="AH128" i="15"/>
  <c r="AG128" i="15"/>
  <c r="AD128" i="15"/>
  <c r="AC128" i="15"/>
  <c r="AB128" i="15"/>
  <c r="AA128" i="15"/>
  <c r="AW127" i="15"/>
  <c r="AQ127" i="15"/>
  <c r="AM127" i="15"/>
  <c r="AL127" i="15"/>
  <c r="AJ127" i="15"/>
  <c r="AI127" i="15"/>
  <c r="AH127" i="15"/>
  <c r="AG127" i="15"/>
  <c r="AD127" i="15"/>
  <c r="AC127" i="15"/>
  <c r="AB127" i="15"/>
  <c r="AA127" i="15"/>
  <c r="AW126" i="15"/>
  <c r="AM126" i="15"/>
  <c r="AL126" i="15"/>
  <c r="AJ126" i="15"/>
  <c r="AI126" i="15"/>
  <c r="AH126" i="15"/>
  <c r="AG126" i="15"/>
  <c r="AQ126" i="15" s="1"/>
  <c r="AD126" i="15"/>
  <c r="AC126" i="15"/>
  <c r="AB126" i="15"/>
  <c r="AA126" i="15"/>
  <c r="AW125" i="15"/>
  <c r="AM125" i="15"/>
  <c r="AL125" i="15"/>
  <c r="AJ125" i="15"/>
  <c r="AI125" i="15"/>
  <c r="AH125" i="15"/>
  <c r="AG125" i="15"/>
  <c r="AQ125" i="15" s="1"/>
  <c r="AD125" i="15"/>
  <c r="AC125" i="15"/>
  <c r="AB125" i="15"/>
  <c r="AA125" i="15"/>
  <c r="AW124" i="15"/>
  <c r="AM124" i="15"/>
  <c r="AL124" i="15"/>
  <c r="AJ124" i="15"/>
  <c r="AI124" i="15"/>
  <c r="AH124" i="15"/>
  <c r="AG124" i="15"/>
  <c r="AQ124" i="15" s="1"/>
  <c r="AD124" i="15"/>
  <c r="AC124" i="15"/>
  <c r="AB124" i="15"/>
  <c r="AA124" i="15"/>
  <c r="AW123" i="15"/>
  <c r="AM123" i="15"/>
  <c r="AL123" i="15"/>
  <c r="AJ123" i="15"/>
  <c r="AI123" i="15"/>
  <c r="AH123" i="15"/>
  <c r="AG123" i="15"/>
  <c r="AQ123" i="15" s="1"/>
  <c r="AD123" i="15"/>
  <c r="AC123" i="15"/>
  <c r="AB123" i="15"/>
  <c r="AA123" i="15"/>
  <c r="AW122" i="15"/>
  <c r="AM122" i="15"/>
  <c r="AL122" i="15"/>
  <c r="AJ122" i="15"/>
  <c r="AI122" i="15"/>
  <c r="AH122" i="15"/>
  <c r="AG122" i="15"/>
  <c r="AQ122" i="15" s="1"/>
  <c r="AD122" i="15"/>
  <c r="AC122" i="15"/>
  <c r="AB122" i="15"/>
  <c r="AA122" i="15"/>
  <c r="CM121" i="15"/>
  <c r="CK121" i="15"/>
  <c r="AW121" i="15"/>
  <c r="AM121" i="15"/>
  <c r="AL121" i="15"/>
  <c r="AJ121" i="15"/>
  <c r="AI121" i="15"/>
  <c r="AH121" i="15"/>
  <c r="AG121" i="15"/>
  <c r="CM120" i="15"/>
  <c r="CK120" i="15"/>
  <c r="AW120" i="15"/>
  <c r="AM120" i="15"/>
  <c r="AL120" i="15"/>
  <c r="AJ120" i="15"/>
  <c r="AI120" i="15"/>
  <c r="AH120" i="15"/>
  <c r="AG120" i="15"/>
  <c r="CM119" i="15"/>
  <c r="CK119" i="15"/>
  <c r="AW119" i="15"/>
  <c r="AM119" i="15"/>
  <c r="AL119" i="15"/>
  <c r="AJ119" i="15"/>
  <c r="AI119" i="15"/>
  <c r="AH119" i="15"/>
  <c r="AG119" i="15"/>
  <c r="AY118" i="15"/>
  <c r="BB118" i="15" s="1"/>
  <c r="AW118" i="15"/>
  <c r="AM118" i="15"/>
  <c r="AL118" i="15"/>
  <c r="AJ118" i="15"/>
  <c r="AI118" i="15"/>
  <c r="AH118" i="15"/>
  <c r="AG118" i="15"/>
  <c r="AR118" i="15" s="1"/>
  <c r="AD118" i="15"/>
  <c r="AC118" i="15"/>
  <c r="AB118" i="15"/>
  <c r="AA118" i="15"/>
  <c r="AY117" i="15"/>
  <c r="BB117" i="15" s="1"/>
  <c r="AW117" i="15"/>
  <c r="AR117" i="15"/>
  <c r="AM117" i="15"/>
  <c r="AL117" i="15"/>
  <c r="AJ117" i="15"/>
  <c r="AI117" i="15"/>
  <c r="AH117" i="15"/>
  <c r="AG117" i="15"/>
  <c r="AQ117" i="15" s="1"/>
  <c r="AD117" i="15"/>
  <c r="AC117" i="15"/>
  <c r="AB117" i="15"/>
  <c r="AA117" i="15"/>
  <c r="BB116" i="15"/>
  <c r="AY116" i="15"/>
  <c r="AW116" i="15"/>
  <c r="AR116" i="15"/>
  <c r="AQ116" i="15"/>
  <c r="AM116" i="15"/>
  <c r="AL116" i="15"/>
  <c r="AJ116" i="15"/>
  <c r="AI116" i="15"/>
  <c r="AH116" i="15"/>
  <c r="AG116" i="15"/>
  <c r="AD116" i="15"/>
  <c r="AC116" i="15"/>
  <c r="AB116" i="15"/>
  <c r="AA116" i="15"/>
  <c r="BB115" i="15"/>
  <c r="AY115" i="15"/>
  <c r="AW115" i="15"/>
  <c r="AR115" i="15"/>
  <c r="AQ115" i="15"/>
  <c r="AM115" i="15"/>
  <c r="AL115" i="15"/>
  <c r="AJ115" i="15"/>
  <c r="AI115" i="15"/>
  <c r="AH115" i="15"/>
  <c r="AG115" i="15"/>
  <c r="AD115" i="15"/>
  <c r="AC115" i="15"/>
  <c r="AB115" i="15"/>
  <c r="AA115" i="15"/>
  <c r="AW114" i="15"/>
  <c r="AM114" i="15"/>
  <c r="AL114" i="15"/>
  <c r="AJ114" i="15"/>
  <c r="AI114" i="15"/>
  <c r="AH114" i="15"/>
  <c r="AG114" i="15"/>
  <c r="AD114" i="15"/>
  <c r="AC114" i="15"/>
  <c r="AB114" i="15"/>
  <c r="AA114" i="15"/>
  <c r="AW113" i="15"/>
  <c r="AM113" i="15"/>
  <c r="AL113" i="15"/>
  <c r="AJ113" i="15"/>
  <c r="AI113" i="15"/>
  <c r="AH113" i="15"/>
  <c r="AG113" i="15"/>
  <c r="AD113" i="15"/>
  <c r="AC113" i="15"/>
  <c r="AB113" i="15"/>
  <c r="AA113" i="15"/>
  <c r="AW112" i="15"/>
  <c r="AM112" i="15"/>
  <c r="AL112" i="15"/>
  <c r="AJ112" i="15"/>
  <c r="AI112" i="15"/>
  <c r="AH112" i="15"/>
  <c r="AG112" i="15"/>
  <c r="AD112" i="15"/>
  <c r="AC112" i="15"/>
  <c r="AB112" i="15"/>
  <c r="AA112" i="15"/>
  <c r="AW111" i="15"/>
  <c r="AM111" i="15"/>
  <c r="AL111" i="15"/>
  <c r="AJ111" i="15"/>
  <c r="AI111" i="15"/>
  <c r="AH111" i="15"/>
  <c r="AG111" i="15"/>
  <c r="AD111" i="15"/>
  <c r="AC111" i="15"/>
  <c r="AB111" i="15"/>
  <c r="AA111" i="15"/>
  <c r="AW110" i="15"/>
  <c r="AM110" i="15"/>
  <c r="AL110" i="15"/>
  <c r="AJ110" i="15"/>
  <c r="AI110" i="15"/>
  <c r="AH110" i="15"/>
  <c r="AG110" i="15"/>
  <c r="AD110" i="15"/>
  <c r="AC110" i="15"/>
  <c r="AB110" i="15"/>
  <c r="AA110" i="15"/>
  <c r="AW109" i="15"/>
  <c r="AM109" i="15"/>
  <c r="AL109" i="15"/>
  <c r="AJ109" i="15"/>
  <c r="AI109" i="15"/>
  <c r="AH109" i="15"/>
  <c r="AG109" i="15"/>
  <c r="AD109" i="15"/>
  <c r="AC109" i="15"/>
  <c r="AB109" i="15"/>
  <c r="AA109" i="15"/>
  <c r="CS108" i="15"/>
  <c r="BA108" i="15"/>
  <c r="AZ108" i="15"/>
  <c r="AV108" i="15"/>
  <c r="AN108" i="15"/>
  <c r="AK108" i="15"/>
  <c r="AJ108" i="15"/>
  <c r="AI108" i="15"/>
  <c r="AY108" i="15" s="1"/>
  <c r="AH108" i="15"/>
  <c r="AO108" i="15" s="1"/>
  <c r="AG108" i="15"/>
  <c r="AP108" i="15" s="1"/>
  <c r="CS107" i="15"/>
  <c r="BA107" i="15"/>
  <c r="AZ107" i="15"/>
  <c r="AV107" i="15"/>
  <c r="AN107" i="15"/>
  <c r="AK107" i="15"/>
  <c r="AJ107" i="15"/>
  <c r="AI107" i="15"/>
  <c r="AY107" i="15" s="1"/>
  <c r="AH107" i="15"/>
  <c r="AO107" i="15" s="1"/>
  <c r="AG107" i="15"/>
  <c r="AP107" i="15" s="1"/>
  <c r="CS106" i="15"/>
  <c r="BA106" i="15"/>
  <c r="AZ106" i="15"/>
  <c r="AV106" i="15"/>
  <c r="AN106" i="15"/>
  <c r="AK106" i="15"/>
  <c r="AJ106" i="15"/>
  <c r="AI106" i="15"/>
  <c r="AY106" i="15" s="1"/>
  <c r="AH106" i="15"/>
  <c r="AO106" i="15" s="1"/>
  <c r="AG106" i="15"/>
  <c r="AP106" i="15" s="1"/>
  <c r="CS105" i="15"/>
  <c r="BA105" i="15"/>
  <c r="AZ105" i="15"/>
  <c r="AV105" i="15"/>
  <c r="AN105" i="15"/>
  <c r="AK105" i="15"/>
  <c r="AJ105" i="15"/>
  <c r="AI105" i="15"/>
  <c r="AY105" i="15" s="1"/>
  <c r="AH105" i="15"/>
  <c r="AO105" i="15" s="1"/>
  <c r="AG105" i="15"/>
  <c r="AP105" i="15" s="1"/>
  <c r="CS104" i="15"/>
  <c r="BA104" i="15"/>
  <c r="AZ104" i="15"/>
  <c r="AV104" i="15"/>
  <c r="AN104" i="15"/>
  <c r="AK104" i="15"/>
  <c r="AJ104" i="15"/>
  <c r="AI104" i="15"/>
  <c r="AY104" i="15" s="1"/>
  <c r="AH104" i="15"/>
  <c r="AO104" i="15" s="1"/>
  <c r="AG104" i="15"/>
  <c r="AP104" i="15" s="1"/>
  <c r="CS103" i="15"/>
  <c r="BA103" i="15"/>
  <c r="AZ103" i="15"/>
  <c r="AV103" i="15"/>
  <c r="AN103" i="15"/>
  <c r="AK103" i="15"/>
  <c r="AJ103" i="15"/>
  <c r="AI103" i="15"/>
  <c r="AY103" i="15" s="1"/>
  <c r="AH103" i="15"/>
  <c r="AO103" i="15" s="1"/>
  <c r="AG103" i="15"/>
  <c r="AP103" i="15" s="1"/>
  <c r="CS102" i="15"/>
  <c r="BA102" i="15"/>
  <c r="AZ102" i="15"/>
  <c r="AV102" i="15"/>
  <c r="AN102" i="15"/>
  <c r="AK102" i="15"/>
  <c r="AJ102" i="15"/>
  <c r="AI102" i="15"/>
  <c r="AY102" i="15" s="1"/>
  <c r="AH102" i="15"/>
  <c r="AO102" i="15" s="1"/>
  <c r="AG102" i="15"/>
  <c r="AP102" i="15" s="1"/>
  <c r="CS101" i="15"/>
  <c r="BA101" i="15"/>
  <c r="AZ101" i="15"/>
  <c r="AV101" i="15"/>
  <c r="AN101" i="15"/>
  <c r="AK101" i="15"/>
  <c r="AJ101" i="15"/>
  <c r="AI101" i="15"/>
  <c r="AY101" i="15" s="1"/>
  <c r="AH101" i="15"/>
  <c r="AO101" i="15" s="1"/>
  <c r="AG101" i="15"/>
  <c r="AP101" i="15" s="1"/>
  <c r="BA100" i="15"/>
  <c r="AZ100" i="15"/>
  <c r="AV100" i="15"/>
  <c r="AO100" i="15"/>
  <c r="AN100" i="15"/>
  <c r="AK100" i="15"/>
  <c r="AJ100" i="15"/>
  <c r="AI100" i="15"/>
  <c r="AY100" i="15" s="1"/>
  <c r="AH100" i="15"/>
  <c r="AL100" i="15" s="1"/>
  <c r="AG100" i="15"/>
  <c r="AP100" i="15" s="1"/>
  <c r="BA99" i="15"/>
  <c r="AZ99" i="15"/>
  <c r="AV99" i="15"/>
  <c r="AO99" i="15"/>
  <c r="AN99" i="15"/>
  <c r="AK99" i="15"/>
  <c r="AJ99" i="15"/>
  <c r="AI99" i="15"/>
  <c r="AY99" i="15" s="1"/>
  <c r="AH99" i="15"/>
  <c r="AL99" i="15" s="1"/>
  <c r="AG99" i="15"/>
  <c r="AP99" i="15" s="1"/>
  <c r="BA98" i="15"/>
  <c r="AZ98" i="15"/>
  <c r="AV98" i="15"/>
  <c r="AO98" i="15"/>
  <c r="AN98" i="15"/>
  <c r="AL98" i="15"/>
  <c r="AK98" i="15"/>
  <c r="AJ98" i="15"/>
  <c r="AI98" i="15"/>
  <c r="AY98" i="15" s="1"/>
  <c r="AH98" i="15"/>
  <c r="AG98" i="15"/>
  <c r="AP98" i="15" s="1"/>
  <c r="BA97" i="15"/>
  <c r="AZ97" i="15"/>
  <c r="AY97" i="15"/>
  <c r="AV97" i="15"/>
  <c r="AO97" i="15"/>
  <c r="AN97" i="15"/>
  <c r="AL97" i="15"/>
  <c r="AK97" i="15"/>
  <c r="AJ97" i="15"/>
  <c r="AI97" i="15"/>
  <c r="AX97" i="15" s="1"/>
  <c r="AH97" i="15"/>
  <c r="AG97" i="15"/>
  <c r="AP97" i="15" s="1"/>
  <c r="BB97" i="15" s="1"/>
  <c r="BA96" i="15"/>
  <c r="AZ96" i="15"/>
  <c r="AY96" i="15"/>
  <c r="AV96" i="15"/>
  <c r="AO96" i="15"/>
  <c r="AN96" i="15"/>
  <c r="AK96" i="15"/>
  <c r="AJ96" i="15"/>
  <c r="AL96" i="15" s="1"/>
  <c r="AI96" i="15"/>
  <c r="AX96" i="15" s="1"/>
  <c r="AH96" i="15"/>
  <c r="AG96" i="15"/>
  <c r="AP96" i="15" s="1"/>
  <c r="BB96" i="15" s="1"/>
  <c r="BA95" i="15"/>
  <c r="AZ95" i="15"/>
  <c r="AV95" i="15"/>
  <c r="AN95" i="15"/>
  <c r="AK95" i="15"/>
  <c r="AJ95" i="15"/>
  <c r="AL95" i="15" s="1"/>
  <c r="AI95" i="15"/>
  <c r="AY95" i="15" s="1"/>
  <c r="AH95" i="15"/>
  <c r="AO95" i="15" s="1"/>
  <c r="AG95" i="15"/>
  <c r="AP95" i="15" s="1"/>
  <c r="BA94" i="15"/>
  <c r="AV94" i="15"/>
  <c r="AN94" i="15"/>
  <c r="AK94" i="15"/>
  <c r="AJ94" i="15"/>
  <c r="AI94" i="15"/>
  <c r="AY94" i="15" s="1"/>
  <c r="AH94" i="15"/>
  <c r="AO94" i="15" s="1"/>
  <c r="AG94" i="15"/>
  <c r="AP94" i="15" s="1"/>
  <c r="BA93" i="15"/>
  <c r="AV93" i="15"/>
  <c r="AO93" i="15"/>
  <c r="AN93" i="15"/>
  <c r="AK93" i="15"/>
  <c r="AJ93" i="15"/>
  <c r="AI93" i="15"/>
  <c r="AY93" i="15" s="1"/>
  <c r="AH93" i="15"/>
  <c r="AL93" i="15" s="1"/>
  <c r="AG93" i="15"/>
  <c r="AP93" i="15" s="1"/>
  <c r="BA92" i="15"/>
  <c r="AY92" i="15"/>
  <c r="AV92" i="15"/>
  <c r="AO92" i="15"/>
  <c r="AN92" i="15"/>
  <c r="AL92" i="15"/>
  <c r="AK92" i="15"/>
  <c r="AJ92" i="15"/>
  <c r="AI92" i="15"/>
  <c r="AX92" i="15" s="1"/>
  <c r="AH92" i="15"/>
  <c r="AG92" i="15"/>
  <c r="AP92" i="15" s="1"/>
  <c r="BB92" i="15" s="1"/>
  <c r="BA91" i="15"/>
  <c r="AV91" i="15"/>
  <c r="AN91" i="15"/>
  <c r="AK91" i="15"/>
  <c r="AJ91" i="15"/>
  <c r="AL91" i="15" s="1"/>
  <c r="AI91" i="15"/>
  <c r="AY91" i="15" s="1"/>
  <c r="AH91" i="15"/>
  <c r="AO91" i="15" s="1"/>
  <c r="AG91" i="15"/>
  <c r="AP91" i="15" s="1"/>
  <c r="BA90" i="15"/>
  <c r="AV90" i="15"/>
  <c r="AN90" i="15"/>
  <c r="AK90" i="15"/>
  <c r="AJ90" i="15"/>
  <c r="AI90" i="15"/>
  <c r="AY90" i="15" s="1"/>
  <c r="AH90" i="15"/>
  <c r="AO90" i="15" s="1"/>
  <c r="AG90" i="15"/>
  <c r="AP90" i="15" s="1"/>
  <c r="BA89" i="15"/>
  <c r="AV89" i="15"/>
  <c r="AO89" i="15"/>
  <c r="AN89" i="15"/>
  <c r="AK89" i="15"/>
  <c r="AJ89" i="15"/>
  <c r="AI89" i="15"/>
  <c r="AY89" i="15" s="1"/>
  <c r="AH89" i="15"/>
  <c r="AL89" i="15" s="1"/>
  <c r="AG89" i="15"/>
  <c r="AP89" i="15" s="1"/>
  <c r="BA88" i="15"/>
  <c r="AY88" i="15"/>
  <c r="AV88" i="15"/>
  <c r="AO88" i="15"/>
  <c r="AN88" i="15"/>
  <c r="AL88" i="15"/>
  <c r="AK88" i="15"/>
  <c r="AJ88" i="15"/>
  <c r="AI88" i="15"/>
  <c r="AX88" i="15" s="1"/>
  <c r="AH88" i="15"/>
  <c r="AG88" i="15"/>
  <c r="AP88" i="15" s="1"/>
  <c r="BB88" i="15" s="1"/>
  <c r="BA87" i="15"/>
  <c r="AV87" i="15"/>
  <c r="AN87" i="15"/>
  <c r="AK87" i="15"/>
  <c r="AJ87" i="15"/>
  <c r="AL87" i="15" s="1"/>
  <c r="AI87" i="15"/>
  <c r="AY87" i="15" s="1"/>
  <c r="AH87" i="15"/>
  <c r="AO87" i="15" s="1"/>
  <c r="AG87" i="15"/>
  <c r="AP87" i="15" s="1"/>
  <c r="AW86" i="15"/>
  <c r="AM86" i="15"/>
  <c r="AL86" i="15"/>
  <c r="AJ86" i="15"/>
  <c r="AI86" i="15"/>
  <c r="AH86" i="15"/>
  <c r="AG86" i="15"/>
  <c r="AD86" i="15"/>
  <c r="AC86" i="15"/>
  <c r="AB86" i="15"/>
  <c r="AA86" i="15"/>
  <c r="AW85" i="15"/>
  <c r="AM85" i="15"/>
  <c r="AL85" i="15"/>
  <c r="AJ85" i="15"/>
  <c r="AI85" i="15"/>
  <c r="AH85" i="15"/>
  <c r="AG85" i="15"/>
  <c r="AD85" i="15"/>
  <c r="AC85" i="15"/>
  <c r="AB85" i="15"/>
  <c r="AA85" i="15"/>
  <c r="AW84" i="15"/>
  <c r="AM84" i="15"/>
  <c r="AL84" i="15"/>
  <c r="AJ84" i="15"/>
  <c r="AI84" i="15"/>
  <c r="AH84" i="15"/>
  <c r="AG84" i="15"/>
  <c r="AD84" i="15"/>
  <c r="AC84" i="15"/>
  <c r="AB84" i="15"/>
  <c r="AA84" i="15"/>
  <c r="AW83" i="15"/>
  <c r="AM83" i="15"/>
  <c r="AL83" i="15"/>
  <c r="AJ83" i="15"/>
  <c r="AI83" i="15"/>
  <c r="AH83" i="15"/>
  <c r="AG83" i="15"/>
  <c r="AD83" i="15"/>
  <c r="AC83" i="15"/>
  <c r="AB83" i="15"/>
  <c r="AA83" i="15"/>
  <c r="AW82" i="15"/>
  <c r="AM82" i="15"/>
  <c r="AL82" i="15"/>
  <c r="AJ82" i="15"/>
  <c r="AI82" i="15"/>
  <c r="AH82" i="15"/>
  <c r="AG82" i="15"/>
  <c r="AD82" i="15"/>
  <c r="AC82" i="15"/>
  <c r="AB82" i="15"/>
  <c r="AA82" i="15"/>
  <c r="AW81" i="15"/>
  <c r="AM81" i="15"/>
  <c r="AL81" i="15"/>
  <c r="AJ81" i="15"/>
  <c r="AI81" i="15"/>
  <c r="AH81" i="15"/>
  <c r="AG81" i="15"/>
  <c r="AD81" i="15"/>
  <c r="AC81" i="15"/>
  <c r="AB81" i="15"/>
  <c r="AA81" i="15"/>
  <c r="BB80" i="15"/>
  <c r="AW80" i="15"/>
  <c r="AO80" i="15"/>
  <c r="AM80" i="15"/>
  <c r="AL80" i="15"/>
  <c r="AJ80" i="15"/>
  <c r="AI80" i="15"/>
  <c r="AH80" i="15"/>
  <c r="AG80" i="15"/>
  <c r="AQ80" i="15" s="1"/>
  <c r="AD80" i="15"/>
  <c r="AC80" i="15"/>
  <c r="AB80" i="15"/>
  <c r="AA80" i="15"/>
  <c r="BB79" i="15"/>
  <c r="AW79" i="15"/>
  <c r="AM79" i="15"/>
  <c r="AL79" i="15"/>
  <c r="AJ79" i="15"/>
  <c r="AI79" i="15"/>
  <c r="AH79" i="15"/>
  <c r="AG79" i="15"/>
  <c r="AQ79" i="15" s="1"/>
  <c r="AD79" i="15"/>
  <c r="AC79" i="15"/>
  <c r="AB79" i="15"/>
  <c r="AO79" i="15" s="1"/>
  <c r="AA79" i="15"/>
  <c r="BB78" i="15"/>
  <c r="AW78" i="15"/>
  <c r="AQ78" i="15"/>
  <c r="AM78" i="15"/>
  <c r="AL78" i="15"/>
  <c r="AJ78" i="15"/>
  <c r="AI78" i="15"/>
  <c r="AH78" i="15"/>
  <c r="AG78" i="15"/>
  <c r="AD78" i="15"/>
  <c r="AC78" i="15"/>
  <c r="AB78" i="15"/>
  <c r="AO78" i="15" s="1"/>
  <c r="AA78" i="15"/>
  <c r="BB77" i="15"/>
  <c r="AW77" i="15"/>
  <c r="AM77" i="15"/>
  <c r="AL77" i="15"/>
  <c r="AJ77" i="15"/>
  <c r="AI77" i="15"/>
  <c r="AH77" i="15"/>
  <c r="AG77" i="15"/>
  <c r="AQ77" i="15" s="1"/>
  <c r="AD77" i="15"/>
  <c r="AC77" i="15"/>
  <c r="AB77" i="15"/>
  <c r="AO77" i="15" s="1"/>
  <c r="AA77" i="15"/>
  <c r="AW76" i="15"/>
  <c r="AM76" i="15"/>
  <c r="AL76" i="15"/>
  <c r="AJ76" i="15"/>
  <c r="AI76" i="15"/>
  <c r="AH76" i="15"/>
  <c r="AG76" i="15"/>
  <c r="AQ76" i="15" s="1"/>
  <c r="AD76" i="15"/>
  <c r="AC76" i="15"/>
  <c r="AB76" i="15"/>
  <c r="AA76" i="15"/>
  <c r="AW75" i="15"/>
  <c r="AM75" i="15"/>
  <c r="AL75" i="15"/>
  <c r="AJ75" i="15"/>
  <c r="AI75" i="15"/>
  <c r="AH75" i="15"/>
  <c r="AG75" i="15"/>
  <c r="AQ75" i="15" s="1"/>
  <c r="AD75" i="15"/>
  <c r="AC75" i="15"/>
  <c r="AB75" i="15"/>
  <c r="AA75" i="15"/>
  <c r="AW74" i="15"/>
  <c r="AM74" i="15"/>
  <c r="AL74" i="15"/>
  <c r="AJ74" i="15"/>
  <c r="AI74" i="15"/>
  <c r="AH74" i="15"/>
  <c r="AG74" i="15"/>
  <c r="AQ74" i="15" s="1"/>
  <c r="AD74" i="15"/>
  <c r="AC74" i="15"/>
  <c r="AB74" i="15"/>
  <c r="AA74" i="15"/>
  <c r="AW73" i="15"/>
  <c r="AM73" i="15"/>
  <c r="AL73" i="15"/>
  <c r="AJ73" i="15"/>
  <c r="AI73" i="15"/>
  <c r="AH73" i="15"/>
  <c r="AG73" i="15"/>
  <c r="AQ73" i="15" s="1"/>
  <c r="AD73" i="15"/>
  <c r="AC73" i="15"/>
  <c r="AB73" i="15"/>
  <c r="AA73" i="15"/>
  <c r="AW72" i="15"/>
  <c r="AM72" i="15"/>
  <c r="AL72" i="15"/>
  <c r="AJ72" i="15"/>
  <c r="AI72" i="15"/>
  <c r="AH72" i="15"/>
  <c r="AG72" i="15"/>
  <c r="AQ72" i="15" s="1"/>
  <c r="AD72" i="15"/>
  <c r="AC72" i="15"/>
  <c r="AB72" i="15"/>
  <c r="AA72" i="15"/>
  <c r="AW71" i="15"/>
  <c r="AM71" i="15"/>
  <c r="AL71" i="15"/>
  <c r="AJ71" i="15"/>
  <c r="AI71" i="15"/>
  <c r="AH71" i="15"/>
  <c r="AG71" i="15"/>
  <c r="AQ71" i="15" s="1"/>
  <c r="AD71" i="15"/>
  <c r="AC71" i="15"/>
  <c r="AB71" i="15"/>
  <c r="AA71" i="15"/>
  <c r="AW70" i="15"/>
  <c r="AM70" i="15"/>
  <c r="AL70" i="15"/>
  <c r="AJ70" i="15"/>
  <c r="AI70" i="15"/>
  <c r="AH70" i="15"/>
  <c r="AG70" i="15"/>
  <c r="AQ70" i="15" s="1"/>
  <c r="AD70" i="15"/>
  <c r="AC70" i="15"/>
  <c r="AB70" i="15"/>
  <c r="AA70" i="15"/>
  <c r="AW69" i="15"/>
  <c r="AM69" i="15"/>
  <c r="AL69" i="15"/>
  <c r="AJ69" i="15"/>
  <c r="AI69" i="15"/>
  <c r="AH69" i="15"/>
  <c r="AG69" i="15"/>
  <c r="AQ69" i="15" s="1"/>
  <c r="AD69" i="15"/>
  <c r="AC69" i="15"/>
  <c r="AB69" i="15"/>
  <c r="AA69" i="15"/>
  <c r="AW68" i="15"/>
  <c r="AM68" i="15"/>
  <c r="AL68" i="15"/>
  <c r="AJ68" i="15"/>
  <c r="AI68" i="15"/>
  <c r="AH68" i="15"/>
  <c r="AG68" i="15"/>
  <c r="AQ68" i="15" s="1"/>
  <c r="AD68" i="15"/>
  <c r="AC68" i="15"/>
  <c r="AB68" i="15"/>
  <c r="AA68" i="15"/>
  <c r="AW67" i="15"/>
  <c r="AM67" i="15"/>
  <c r="AL67" i="15"/>
  <c r="AJ67" i="15"/>
  <c r="AI67" i="15"/>
  <c r="AH67" i="15"/>
  <c r="AG67" i="15"/>
  <c r="AQ67" i="15" s="1"/>
  <c r="AD67" i="15"/>
  <c r="AC67" i="15"/>
  <c r="AB67" i="15"/>
  <c r="AA67" i="15"/>
  <c r="AW66" i="15"/>
  <c r="AM66" i="15"/>
  <c r="AL66" i="15"/>
  <c r="AJ66" i="15"/>
  <c r="AI66" i="15"/>
  <c r="AH66" i="15"/>
  <c r="AG66" i="15"/>
  <c r="AQ66" i="15" s="1"/>
  <c r="AD66" i="15"/>
  <c r="AC66" i="15"/>
  <c r="AB66" i="15"/>
  <c r="AA66" i="15"/>
  <c r="AW65" i="15"/>
  <c r="AM65" i="15"/>
  <c r="AL65" i="15"/>
  <c r="AJ65" i="15"/>
  <c r="AI65" i="15"/>
  <c r="AH65" i="15"/>
  <c r="AG65" i="15"/>
  <c r="AQ65" i="15" s="1"/>
  <c r="AD65" i="15"/>
  <c r="AC65" i="15"/>
  <c r="AB65" i="15"/>
  <c r="AA65" i="15"/>
  <c r="AW64" i="15"/>
  <c r="AM64" i="15"/>
  <c r="AL64" i="15"/>
  <c r="AJ64" i="15"/>
  <c r="AI64" i="15"/>
  <c r="AH64" i="15"/>
  <c r="AG64" i="15"/>
  <c r="AQ64" i="15" s="1"/>
  <c r="AD64" i="15"/>
  <c r="AC64" i="15"/>
  <c r="AB64" i="15"/>
  <c r="AA64" i="15"/>
  <c r="AW63" i="15"/>
  <c r="AM63" i="15"/>
  <c r="AL63" i="15"/>
  <c r="AJ63" i="15"/>
  <c r="AI63" i="15"/>
  <c r="AH63" i="15"/>
  <c r="AG63" i="15"/>
  <c r="AQ63" i="15" s="1"/>
  <c r="AD63" i="15"/>
  <c r="AC63" i="15"/>
  <c r="AB63" i="15"/>
  <c r="AA63" i="15"/>
  <c r="AW62" i="15"/>
  <c r="AM62" i="15"/>
  <c r="AL62" i="15"/>
  <c r="AJ62" i="15"/>
  <c r="AI62" i="15"/>
  <c r="AH62" i="15"/>
  <c r="AG62" i="15"/>
  <c r="AQ62" i="15" s="1"/>
  <c r="AD62" i="15"/>
  <c r="AC62" i="15"/>
  <c r="AB62" i="15"/>
  <c r="AA62" i="15"/>
  <c r="AW61" i="15"/>
  <c r="AM61" i="15"/>
  <c r="AL61" i="15"/>
  <c r="AJ61" i="15"/>
  <c r="AI61" i="15"/>
  <c r="AH61" i="15"/>
  <c r="AG61" i="15"/>
  <c r="AQ61" i="15" s="1"/>
  <c r="AD61" i="15"/>
  <c r="AC61" i="15"/>
  <c r="AB61" i="15"/>
  <c r="AA61" i="15"/>
  <c r="AW60" i="15"/>
  <c r="AM60" i="15"/>
  <c r="AL60" i="15"/>
  <c r="AJ60" i="15"/>
  <c r="AI60" i="15"/>
  <c r="AH60" i="15"/>
  <c r="AG60" i="15"/>
  <c r="AQ60" i="15" s="1"/>
  <c r="AD60" i="15"/>
  <c r="AC60" i="15"/>
  <c r="AB60" i="15"/>
  <c r="AA60" i="15"/>
  <c r="AW59" i="15"/>
  <c r="AM59" i="15"/>
  <c r="AL59" i="15"/>
  <c r="AJ59" i="15"/>
  <c r="AI59" i="15"/>
  <c r="AH59" i="15"/>
  <c r="AG59" i="15"/>
  <c r="AQ59" i="15" s="1"/>
  <c r="AD59" i="15"/>
  <c r="AC59" i="15"/>
  <c r="AB59" i="15"/>
  <c r="AA59" i="15"/>
  <c r="AW58" i="15"/>
  <c r="AM58" i="15"/>
  <c r="AL58" i="15"/>
  <c r="AJ58" i="15"/>
  <c r="AI58" i="15"/>
  <c r="AH58" i="15"/>
  <c r="AG58" i="15"/>
  <c r="AQ58" i="15" s="1"/>
  <c r="AD58" i="15"/>
  <c r="AC58" i="15"/>
  <c r="AB58" i="15"/>
  <c r="AA58" i="15"/>
  <c r="AW57" i="15"/>
  <c r="AM57" i="15"/>
  <c r="AL57" i="15"/>
  <c r="AJ57" i="15"/>
  <c r="AI57" i="15"/>
  <c r="AH57" i="15"/>
  <c r="AG57" i="15"/>
  <c r="AQ57" i="15" s="1"/>
  <c r="AD57" i="15"/>
  <c r="AC57" i="15"/>
  <c r="AB57" i="15"/>
  <c r="AA57" i="15"/>
  <c r="AW56" i="15"/>
  <c r="AM56" i="15"/>
  <c r="AL56" i="15"/>
  <c r="AJ56" i="15"/>
  <c r="AI56" i="15"/>
  <c r="AH56" i="15"/>
  <c r="AG56" i="15"/>
  <c r="AQ56" i="15" s="1"/>
  <c r="AD56" i="15"/>
  <c r="AC56" i="15"/>
  <c r="AB56" i="15"/>
  <c r="AA56" i="15"/>
  <c r="AW55" i="15"/>
  <c r="AM55" i="15"/>
  <c r="AL55" i="15"/>
  <c r="AJ55" i="15"/>
  <c r="AI55" i="15"/>
  <c r="AH55" i="15"/>
  <c r="AG55" i="15"/>
  <c r="AQ55" i="15" s="1"/>
  <c r="AD55" i="15"/>
  <c r="AC55" i="15"/>
  <c r="AB55" i="15"/>
  <c r="AA55" i="15"/>
  <c r="AW54" i="15"/>
  <c r="AM54" i="15"/>
  <c r="AL54" i="15"/>
  <c r="AJ54" i="15"/>
  <c r="AI54" i="15"/>
  <c r="AH54" i="15"/>
  <c r="AG54" i="15"/>
  <c r="AQ54" i="15" s="1"/>
  <c r="AD54" i="15"/>
  <c r="AC54" i="15"/>
  <c r="AB54" i="15"/>
  <c r="AA54" i="15"/>
  <c r="AY53" i="15"/>
  <c r="AW53" i="15"/>
  <c r="AM53" i="15"/>
  <c r="AL53" i="15"/>
  <c r="AJ53" i="15"/>
  <c r="AI53" i="15"/>
  <c r="AH53" i="15"/>
  <c r="AG53" i="15"/>
  <c r="AD53" i="15"/>
  <c r="AC53" i="15"/>
  <c r="AB53" i="15"/>
  <c r="AA53" i="15"/>
  <c r="CS52" i="15"/>
  <c r="CM52" i="15"/>
  <c r="CG52" i="15"/>
  <c r="CE52" i="15"/>
  <c r="AY52" i="15"/>
  <c r="AW52" i="15"/>
  <c r="AR52" i="15"/>
  <c r="AQ52" i="15"/>
  <c r="AM52" i="15"/>
  <c r="AL52" i="15"/>
  <c r="AJ52" i="15"/>
  <c r="AI52" i="15"/>
  <c r="AH52" i="15"/>
  <c r="AG52" i="15"/>
  <c r="AD52" i="15"/>
  <c r="AC52" i="15"/>
  <c r="AB52" i="15"/>
  <c r="AA52" i="15"/>
  <c r="CS51" i="15"/>
  <c r="CM51" i="15"/>
  <c r="CG51" i="15"/>
  <c r="CE51" i="15"/>
  <c r="AY51" i="15"/>
  <c r="AW51" i="15"/>
  <c r="AM51" i="15"/>
  <c r="AL51" i="15"/>
  <c r="AJ51" i="15"/>
  <c r="AI51" i="15"/>
  <c r="AH51" i="15"/>
  <c r="AG51" i="15"/>
  <c r="AR51" i="15" s="1"/>
  <c r="AD51" i="15"/>
  <c r="AC51" i="15"/>
  <c r="AB51" i="15"/>
  <c r="AA51" i="15"/>
  <c r="CS50" i="15"/>
  <c r="CM50" i="15"/>
  <c r="CG50" i="15"/>
  <c r="CE50" i="15"/>
  <c r="AY50" i="15"/>
  <c r="AW50" i="15"/>
  <c r="AR50" i="15"/>
  <c r="AQ50" i="15"/>
  <c r="AM50" i="15"/>
  <c r="AL50" i="15"/>
  <c r="AJ50" i="15"/>
  <c r="AI50" i="15"/>
  <c r="AH50" i="15"/>
  <c r="AG50" i="15"/>
  <c r="AD50" i="15"/>
  <c r="AC50" i="15"/>
  <c r="AB50" i="15"/>
  <c r="AA50" i="15"/>
  <c r="CS49" i="15"/>
  <c r="CM49" i="15"/>
  <c r="CG49" i="15"/>
  <c r="CE49" i="15"/>
  <c r="AY49" i="15"/>
  <c r="AW49" i="15"/>
  <c r="AM49" i="15"/>
  <c r="AL49" i="15"/>
  <c r="AJ49" i="15"/>
  <c r="AI49" i="15"/>
  <c r="AH49" i="15"/>
  <c r="AG49" i="15"/>
  <c r="AR49" i="15" s="1"/>
  <c r="AD49" i="15"/>
  <c r="AC49" i="15"/>
  <c r="AB49" i="15"/>
  <c r="AA49" i="15"/>
  <c r="CS48" i="15"/>
  <c r="CM48" i="15"/>
  <c r="CG48" i="15"/>
  <c r="CE48" i="15"/>
  <c r="AY48" i="15"/>
  <c r="AW48" i="15"/>
  <c r="AR48" i="15"/>
  <c r="AQ48" i="15"/>
  <c r="AM48" i="15"/>
  <c r="AL48" i="15"/>
  <c r="AJ48" i="15"/>
  <c r="AI48" i="15"/>
  <c r="AH48" i="15"/>
  <c r="AG48" i="15"/>
  <c r="AD48" i="15"/>
  <c r="AC48" i="15"/>
  <c r="AB48" i="15"/>
  <c r="AA48" i="15"/>
  <c r="AW47" i="15"/>
  <c r="AQ47" i="15"/>
  <c r="AM47" i="15"/>
  <c r="AL47" i="15"/>
  <c r="AJ47" i="15"/>
  <c r="AI47" i="15"/>
  <c r="AH47" i="15"/>
  <c r="AG47" i="15"/>
  <c r="AD47" i="15"/>
  <c r="AC47" i="15"/>
  <c r="AB47" i="15"/>
  <c r="AA47" i="15"/>
  <c r="AW46" i="15"/>
  <c r="AQ46" i="15"/>
  <c r="AM46" i="15"/>
  <c r="AL46" i="15"/>
  <c r="AJ46" i="15"/>
  <c r="AI46" i="15"/>
  <c r="AH46" i="15"/>
  <c r="AG46" i="15"/>
  <c r="AD46" i="15"/>
  <c r="AC46" i="15"/>
  <c r="AB46" i="15"/>
  <c r="AA46" i="15"/>
  <c r="AW45" i="15"/>
  <c r="AQ45" i="15"/>
  <c r="AM45" i="15"/>
  <c r="AL45" i="15"/>
  <c r="AJ45" i="15"/>
  <c r="AI45" i="15"/>
  <c r="AH45" i="15"/>
  <c r="AG45" i="15"/>
  <c r="AD45" i="15"/>
  <c r="AC45" i="15"/>
  <c r="AB45" i="15"/>
  <c r="AA45" i="15"/>
  <c r="AW44" i="15"/>
  <c r="AQ44" i="15"/>
  <c r="AM44" i="15"/>
  <c r="AL44" i="15"/>
  <c r="AJ44" i="15"/>
  <c r="AI44" i="15"/>
  <c r="AH44" i="15"/>
  <c r="AG44" i="15"/>
  <c r="AD44" i="15"/>
  <c r="AC44" i="15"/>
  <c r="AB44" i="15"/>
  <c r="AA44" i="15"/>
  <c r="AW43" i="15"/>
  <c r="AQ43" i="15"/>
  <c r="AM43" i="15"/>
  <c r="AL43" i="15"/>
  <c r="AJ43" i="15"/>
  <c r="AI43" i="15"/>
  <c r="AH43" i="15"/>
  <c r="AG43" i="15"/>
  <c r="AD43" i="15"/>
  <c r="AC43" i="15"/>
  <c r="AB43" i="15"/>
  <c r="AA43" i="15"/>
  <c r="AY42" i="15"/>
  <c r="AW42" i="15"/>
  <c r="AM42" i="15"/>
  <c r="AL42" i="15"/>
  <c r="AJ42" i="15"/>
  <c r="AI42" i="15"/>
  <c r="AH42" i="15"/>
  <c r="AG42" i="15"/>
  <c r="AQ42" i="15" s="1"/>
  <c r="AD42" i="15"/>
  <c r="AC42" i="15"/>
  <c r="AB42" i="15"/>
  <c r="AA42" i="15"/>
  <c r="AY41" i="15"/>
  <c r="AW41" i="15"/>
  <c r="AM41" i="15"/>
  <c r="AL41" i="15"/>
  <c r="AJ41" i="15"/>
  <c r="AI41" i="15"/>
  <c r="AH41" i="15"/>
  <c r="AG41" i="15"/>
  <c r="AQ41" i="15" s="1"/>
  <c r="AD41" i="15"/>
  <c r="AC41" i="15"/>
  <c r="AB41" i="15"/>
  <c r="AA41" i="15"/>
  <c r="AW40" i="15"/>
  <c r="AM40" i="15"/>
  <c r="AL40" i="15"/>
  <c r="AJ40" i="15"/>
  <c r="AI40" i="15"/>
  <c r="AH40" i="15"/>
  <c r="AG40" i="15"/>
  <c r="AQ40" i="15" s="1"/>
  <c r="AD40" i="15"/>
  <c r="AC40" i="15"/>
  <c r="AB40" i="15"/>
  <c r="AA40" i="15"/>
  <c r="AY39" i="15"/>
  <c r="AW39" i="15"/>
  <c r="AQ39" i="15"/>
  <c r="AM39" i="15"/>
  <c r="AL39" i="15"/>
  <c r="AJ39" i="15"/>
  <c r="AI39" i="15"/>
  <c r="AH39" i="15"/>
  <c r="AG39" i="15"/>
  <c r="AD39" i="15"/>
  <c r="AC39" i="15"/>
  <c r="AB39" i="15"/>
  <c r="AA39" i="15"/>
  <c r="AY38" i="15"/>
  <c r="AW38" i="15"/>
  <c r="AQ38" i="15"/>
  <c r="AM38" i="15"/>
  <c r="AL38" i="15"/>
  <c r="AJ38" i="15"/>
  <c r="AI38" i="15"/>
  <c r="AH38" i="15"/>
  <c r="AG38" i="15"/>
  <c r="AD38" i="15"/>
  <c r="AC38" i="15"/>
  <c r="AB38" i="15"/>
  <c r="AA38" i="15"/>
  <c r="AW37" i="15"/>
  <c r="AQ37" i="15"/>
  <c r="AM37" i="15"/>
  <c r="AL37" i="15"/>
  <c r="AJ37" i="15"/>
  <c r="AI37" i="15"/>
  <c r="AH37" i="15"/>
  <c r="AG37" i="15"/>
  <c r="AD37" i="15"/>
  <c r="AC37" i="15"/>
  <c r="AB37" i="15"/>
  <c r="AA37" i="15"/>
  <c r="AY36" i="15"/>
  <c r="AW36" i="15"/>
  <c r="AM36" i="15"/>
  <c r="AL36" i="15"/>
  <c r="AJ36" i="15"/>
  <c r="AI36" i="15"/>
  <c r="AH36" i="15"/>
  <c r="AG36" i="15"/>
  <c r="AR36" i="15" s="1"/>
  <c r="AD36" i="15"/>
  <c r="AC36" i="15"/>
  <c r="AB36" i="15"/>
  <c r="AA36" i="15"/>
  <c r="CM35" i="15"/>
  <c r="CK35" i="15"/>
  <c r="BB35" i="15"/>
  <c r="AW35" i="15"/>
  <c r="AM35" i="15"/>
  <c r="AL35" i="15"/>
  <c r="AJ35" i="15"/>
  <c r="AI35" i="15"/>
  <c r="AH35" i="15"/>
  <c r="AG35" i="15"/>
  <c r="AQ35" i="15" s="1"/>
  <c r="AD35" i="15"/>
  <c r="AC35" i="15"/>
  <c r="AB35" i="15"/>
  <c r="AA35" i="15"/>
  <c r="CM34" i="15"/>
  <c r="CK34" i="15"/>
  <c r="BB34" i="15"/>
  <c r="AW34" i="15"/>
  <c r="AQ34" i="15"/>
  <c r="AM34" i="15"/>
  <c r="AL34" i="15"/>
  <c r="AJ34" i="15"/>
  <c r="AI34" i="15"/>
  <c r="AH34" i="15"/>
  <c r="AG34" i="15"/>
  <c r="AD34" i="15"/>
  <c r="AC34" i="15"/>
  <c r="AB34" i="15"/>
  <c r="AA34" i="15"/>
  <c r="CM33" i="15"/>
  <c r="CK33" i="15"/>
  <c r="BB33" i="15"/>
  <c r="AW33" i="15"/>
  <c r="AQ33" i="15"/>
  <c r="AM33" i="15"/>
  <c r="AL33" i="15"/>
  <c r="AJ33" i="15"/>
  <c r="AI33" i="15"/>
  <c r="AH33" i="15"/>
  <c r="AG33" i="15"/>
  <c r="AD33" i="15"/>
  <c r="AC33" i="15"/>
  <c r="AB33" i="15"/>
  <c r="AA33" i="15"/>
  <c r="CM32" i="15"/>
  <c r="CK32" i="15"/>
  <c r="BB32" i="15"/>
  <c r="AW32" i="15"/>
  <c r="AM32" i="15"/>
  <c r="AL32" i="15"/>
  <c r="AJ32" i="15"/>
  <c r="AI32" i="15"/>
  <c r="AH32" i="15"/>
  <c r="AG32" i="15"/>
  <c r="AQ32" i="15" s="1"/>
  <c r="AD32" i="15"/>
  <c r="AC32" i="15"/>
  <c r="AB32" i="15"/>
  <c r="AA32" i="15"/>
  <c r="CM31" i="15"/>
  <c r="CK31" i="15"/>
  <c r="CG31" i="15"/>
  <c r="CE31" i="15"/>
  <c r="AW31" i="15"/>
  <c r="AM31" i="15"/>
  <c r="AL31" i="15"/>
  <c r="AJ31" i="15"/>
  <c r="AI31" i="15"/>
  <c r="AH31" i="15"/>
  <c r="AG31" i="15"/>
  <c r="AR31" i="15" s="1"/>
  <c r="AD31" i="15"/>
  <c r="AC31" i="15"/>
  <c r="AB31" i="15"/>
  <c r="AA31" i="15"/>
  <c r="CM30" i="15"/>
  <c r="CK30" i="15"/>
  <c r="CG30" i="15"/>
  <c r="CE30" i="15"/>
  <c r="AW30" i="15"/>
  <c r="AM30" i="15"/>
  <c r="AL30" i="15"/>
  <c r="AJ30" i="15"/>
  <c r="AI30" i="15"/>
  <c r="AH30" i="15"/>
  <c r="AG30" i="15"/>
  <c r="AR30" i="15" s="1"/>
  <c r="AD30" i="15"/>
  <c r="AC30" i="15"/>
  <c r="AB30" i="15"/>
  <c r="AA30" i="15"/>
  <c r="BA29" i="15"/>
  <c r="AX29" i="15"/>
  <c r="AP29" i="15"/>
  <c r="AO29" i="15"/>
  <c r="AM29" i="15"/>
  <c r="AL29" i="15"/>
  <c r="AJ29" i="15"/>
  <c r="AI29" i="15"/>
  <c r="AH29" i="15"/>
  <c r="AG29" i="15"/>
  <c r="AD29" i="15"/>
  <c r="AC29" i="15"/>
  <c r="AB29" i="15"/>
  <c r="AA29" i="15"/>
  <c r="BA28" i="15"/>
  <c r="AX28" i="15"/>
  <c r="AP28" i="15"/>
  <c r="AO28" i="15"/>
  <c r="AM28" i="15"/>
  <c r="AL28" i="15"/>
  <c r="AJ28" i="15"/>
  <c r="AI28" i="15"/>
  <c r="AH28" i="15"/>
  <c r="AG28" i="15"/>
  <c r="AD28" i="15"/>
  <c r="AC28" i="15"/>
  <c r="AB28" i="15"/>
  <c r="AA28" i="15"/>
  <c r="BA27" i="15"/>
  <c r="AX27" i="15"/>
  <c r="AP27" i="15"/>
  <c r="AO27" i="15"/>
  <c r="AM27" i="15"/>
  <c r="AL27" i="15"/>
  <c r="AJ27" i="15"/>
  <c r="AI27" i="15"/>
  <c r="AH27" i="15"/>
  <c r="AG27" i="15"/>
  <c r="AD27" i="15"/>
  <c r="AC27" i="15"/>
  <c r="AB27" i="15"/>
  <c r="AA27" i="15"/>
  <c r="BA26" i="15"/>
  <c r="AX26" i="15"/>
  <c r="AP26" i="15"/>
  <c r="AO26" i="15"/>
  <c r="AM26" i="15"/>
  <c r="AL26" i="15"/>
  <c r="AJ26" i="15"/>
  <c r="AI26" i="15"/>
  <c r="AH26" i="15"/>
  <c r="AG26" i="15"/>
  <c r="AD26" i="15"/>
  <c r="AC26" i="15"/>
  <c r="AB26" i="15"/>
  <c r="AA26" i="15"/>
  <c r="BA25" i="15"/>
  <c r="AX25" i="15"/>
  <c r="AP25" i="15"/>
  <c r="AO25" i="15"/>
  <c r="AM25" i="15"/>
  <c r="AL25" i="15"/>
  <c r="AJ25" i="15"/>
  <c r="AI25" i="15"/>
  <c r="AH25" i="15"/>
  <c r="AG25" i="15"/>
  <c r="AD25" i="15"/>
  <c r="AC25" i="15"/>
  <c r="AB25" i="15"/>
  <c r="AA25" i="15"/>
  <c r="BA24" i="15"/>
  <c r="AX24" i="15"/>
  <c r="AP24" i="15"/>
  <c r="AO24" i="15"/>
  <c r="AM24" i="15"/>
  <c r="AL24" i="15"/>
  <c r="AJ24" i="15"/>
  <c r="AI24" i="15"/>
  <c r="AH24" i="15"/>
  <c r="AG24" i="15"/>
  <c r="AD24" i="15"/>
  <c r="AC24" i="15"/>
  <c r="AB24" i="15"/>
  <c r="AA24" i="15"/>
  <c r="BA23" i="15"/>
  <c r="AX23" i="15"/>
  <c r="AP23" i="15"/>
  <c r="AO23" i="15"/>
  <c r="AM23" i="15"/>
  <c r="AL23" i="15"/>
  <c r="AJ23" i="15"/>
  <c r="AI23" i="15"/>
  <c r="AH23" i="15"/>
  <c r="AG23" i="15"/>
  <c r="AD23" i="15"/>
  <c r="AC23" i="15"/>
  <c r="AB23" i="15"/>
  <c r="AA23" i="15"/>
  <c r="BA22" i="15"/>
  <c r="AX22" i="15"/>
  <c r="AP22" i="15"/>
  <c r="AO22" i="15"/>
  <c r="AM22" i="15"/>
  <c r="AL22" i="15"/>
  <c r="AJ22" i="15"/>
  <c r="AI22" i="15"/>
  <c r="AH22" i="15"/>
  <c r="AG22" i="15"/>
  <c r="AD22" i="15"/>
  <c r="AC22" i="15"/>
  <c r="AB22" i="15"/>
  <c r="AA22" i="15"/>
  <c r="BA21" i="15"/>
  <c r="AX21" i="15"/>
  <c r="AP21" i="15"/>
  <c r="AO21" i="15"/>
  <c r="AM21" i="15"/>
  <c r="AL21" i="15"/>
  <c r="AJ21" i="15"/>
  <c r="AI21" i="15"/>
  <c r="AH21" i="15"/>
  <c r="AG21" i="15"/>
  <c r="AD21" i="15"/>
  <c r="AC21" i="15"/>
  <c r="AB21" i="15"/>
  <c r="AA21" i="15"/>
  <c r="BA20" i="15"/>
  <c r="AX20" i="15"/>
  <c r="AP20" i="15"/>
  <c r="AO20" i="15"/>
  <c r="AM20" i="15"/>
  <c r="AL20" i="15"/>
  <c r="AJ20" i="15"/>
  <c r="AI20" i="15"/>
  <c r="AH20" i="15"/>
  <c r="AG20" i="15"/>
  <c r="AD20" i="15"/>
  <c r="AC20" i="15"/>
  <c r="AB20" i="15"/>
  <c r="AA20" i="15"/>
  <c r="BA19" i="15"/>
  <c r="AX19" i="15"/>
  <c r="AP19" i="15"/>
  <c r="AO19" i="15"/>
  <c r="AM19" i="15"/>
  <c r="AL19" i="15"/>
  <c r="AJ19" i="15"/>
  <c r="AI19" i="15"/>
  <c r="AH19" i="15"/>
  <c r="AG19" i="15"/>
  <c r="AD19" i="15"/>
  <c r="AC19" i="15"/>
  <c r="AB19" i="15"/>
  <c r="AA19" i="15"/>
  <c r="BA18" i="15"/>
  <c r="AX18" i="15"/>
  <c r="AP18" i="15"/>
  <c r="AO18" i="15"/>
  <c r="AM18" i="15"/>
  <c r="AL18" i="15"/>
  <c r="AJ18" i="15"/>
  <c r="AI18" i="15"/>
  <c r="AH18" i="15"/>
  <c r="AG18" i="15"/>
  <c r="AD18" i="15"/>
  <c r="AC18" i="15"/>
  <c r="AB18" i="15"/>
  <c r="AA18" i="15"/>
  <c r="BA17" i="15"/>
  <c r="AX17" i="15"/>
  <c r="AP17" i="15"/>
  <c r="AO17" i="15"/>
  <c r="AM17" i="15"/>
  <c r="AL17" i="15"/>
  <c r="AJ17" i="15"/>
  <c r="AI17" i="15"/>
  <c r="AH17" i="15"/>
  <c r="AG17" i="15"/>
  <c r="AD17" i="15"/>
  <c r="AC17" i="15"/>
  <c r="AB17" i="15"/>
  <c r="AA17" i="15"/>
  <c r="BA16" i="15"/>
  <c r="AX16" i="15"/>
  <c r="AP16" i="15"/>
  <c r="AO16" i="15"/>
  <c r="AM16" i="15"/>
  <c r="AL16" i="15"/>
  <c r="AJ16" i="15"/>
  <c r="AI16" i="15"/>
  <c r="AH16" i="15"/>
  <c r="AG16" i="15"/>
  <c r="AD16" i="15"/>
  <c r="AC16" i="15"/>
  <c r="AB16" i="15"/>
  <c r="AA16" i="15"/>
  <c r="BA15" i="15"/>
  <c r="AX15" i="15"/>
  <c r="AY15" i="15" s="1"/>
  <c r="AP15" i="15"/>
  <c r="BB15" i="15" s="1"/>
  <c r="AO15" i="15"/>
  <c r="AM15" i="15"/>
  <c r="AL15" i="15"/>
  <c r="AJ15" i="15"/>
  <c r="AI15" i="15"/>
  <c r="AH15" i="15"/>
  <c r="AG15" i="15"/>
  <c r="AD15" i="15"/>
  <c r="AC15" i="15"/>
  <c r="AB15" i="15"/>
  <c r="AA15" i="15"/>
  <c r="BA14" i="15"/>
  <c r="AY14" i="15"/>
  <c r="AX14" i="15"/>
  <c r="AP14" i="15"/>
  <c r="BB14" i="15" s="1"/>
  <c r="AO14" i="15"/>
  <c r="AM14" i="15"/>
  <c r="AL14" i="15"/>
  <c r="AJ14" i="15"/>
  <c r="AI14" i="15"/>
  <c r="AH14" i="15"/>
  <c r="AG14" i="15"/>
  <c r="AR14" i="15" s="1"/>
  <c r="AD14" i="15"/>
  <c r="AC14" i="15"/>
  <c r="AB14" i="15"/>
  <c r="AA14" i="15"/>
  <c r="BA13" i="15"/>
  <c r="AX13" i="15"/>
  <c r="AY13" i="15" s="1"/>
  <c r="AR13" i="15"/>
  <c r="AP13" i="15"/>
  <c r="AQ13" i="15" s="1"/>
  <c r="AO13" i="15"/>
  <c r="AM13" i="15"/>
  <c r="AL13" i="15"/>
  <c r="AJ13" i="15"/>
  <c r="AI13" i="15"/>
  <c r="AH13" i="15"/>
  <c r="AG13" i="15"/>
  <c r="AD13" i="15"/>
  <c r="AC13" i="15"/>
  <c r="AB13" i="15"/>
  <c r="AA13" i="15"/>
  <c r="BB12" i="15"/>
  <c r="BA12" i="15"/>
  <c r="AY12" i="15"/>
  <c r="AX12" i="15"/>
  <c r="AP12" i="15"/>
  <c r="AR12" i="15" s="1"/>
  <c r="AO12" i="15"/>
  <c r="AM12" i="15"/>
  <c r="AL12" i="15"/>
  <c r="AJ12" i="15"/>
  <c r="AI12" i="15"/>
  <c r="AH12" i="15"/>
  <c r="AG12" i="15"/>
  <c r="AQ12" i="15" s="1"/>
  <c r="AD12" i="15"/>
  <c r="AC12" i="15"/>
  <c r="AB12" i="15"/>
  <c r="AA12" i="15"/>
  <c r="BA11" i="15"/>
  <c r="AX11" i="15"/>
  <c r="AY11" i="15" s="1"/>
  <c r="AP11" i="15"/>
  <c r="AO11" i="15"/>
  <c r="AM11" i="15"/>
  <c r="AL11" i="15"/>
  <c r="AJ11" i="15"/>
  <c r="AI11" i="15"/>
  <c r="AH11" i="15"/>
  <c r="AG11" i="15"/>
  <c r="AD11" i="15"/>
  <c r="AC11" i="15"/>
  <c r="AB11" i="15"/>
  <c r="AA11" i="15"/>
  <c r="BA10" i="15"/>
  <c r="AY10" i="15"/>
  <c r="AX10" i="15"/>
  <c r="AP10" i="15"/>
  <c r="BB10" i="15" s="1"/>
  <c r="AO10" i="15"/>
  <c r="AM10" i="15"/>
  <c r="AL10" i="15"/>
  <c r="AJ10" i="15"/>
  <c r="AI10" i="15"/>
  <c r="AH10" i="15"/>
  <c r="AG10" i="15"/>
  <c r="AR10" i="15" s="1"/>
  <c r="AD10" i="15"/>
  <c r="AC10" i="15"/>
  <c r="AB10" i="15"/>
  <c r="AA10" i="15"/>
  <c r="BA9" i="15"/>
  <c r="AX9" i="15"/>
  <c r="AY9" i="15" s="1"/>
  <c r="AR9" i="15"/>
  <c r="AP9" i="15"/>
  <c r="AQ9" i="15" s="1"/>
  <c r="AO9" i="15"/>
  <c r="AM9" i="15"/>
  <c r="AL9" i="15"/>
  <c r="AJ9" i="15"/>
  <c r="AI9" i="15"/>
  <c r="AH9" i="15"/>
  <c r="AG9" i="15"/>
  <c r="AD9" i="15"/>
  <c r="AC9" i="15"/>
  <c r="AB9" i="15"/>
  <c r="AA9" i="15"/>
  <c r="BB8" i="15"/>
  <c r="BA8" i="15"/>
  <c r="AY8" i="15"/>
  <c r="AX8" i="15"/>
  <c r="AP8" i="15"/>
  <c r="AR8" i="15" s="1"/>
  <c r="AO8" i="15"/>
  <c r="AM8" i="15"/>
  <c r="AL8" i="15"/>
  <c r="AJ8" i="15"/>
  <c r="AI8" i="15"/>
  <c r="AH8" i="15"/>
  <c r="AG8" i="15"/>
  <c r="AQ8" i="15" s="1"/>
  <c r="AD8" i="15"/>
  <c r="AC8" i="15"/>
  <c r="AB8" i="15"/>
  <c r="AA8" i="15"/>
  <c r="BA7" i="15"/>
  <c r="AX7" i="15"/>
  <c r="AY7" i="15" s="1"/>
  <c r="AP7" i="15"/>
  <c r="BB7" i="15" s="1"/>
  <c r="AO7" i="15"/>
  <c r="AM7" i="15"/>
  <c r="AL7" i="15"/>
  <c r="AJ7" i="15"/>
  <c r="AI7" i="15"/>
  <c r="AH7" i="15"/>
  <c r="AG7" i="15"/>
  <c r="AD7" i="15"/>
  <c r="AC7" i="15"/>
  <c r="AB7" i="15"/>
  <c r="AA7" i="15"/>
  <c r="BA6" i="15"/>
  <c r="AY6" i="15"/>
  <c r="AX6" i="15"/>
  <c r="AP6" i="15"/>
  <c r="BB6" i="15" s="1"/>
  <c r="AO6" i="15"/>
  <c r="AM6" i="15"/>
  <c r="AL6" i="15"/>
  <c r="AJ6" i="15"/>
  <c r="AI6" i="15"/>
  <c r="AH6" i="15"/>
  <c r="AG6" i="15"/>
  <c r="AQ6" i="15" s="1"/>
  <c r="AD6" i="15"/>
  <c r="AC6" i="15"/>
  <c r="AB6" i="15"/>
  <c r="AA6" i="15"/>
  <c r="BB91" i="15" l="1"/>
  <c r="BB23" i="15"/>
  <c r="BB101" i="15"/>
  <c r="BB105" i="15"/>
  <c r="BB129" i="15"/>
  <c r="AY129" i="15"/>
  <c r="BB27" i="15"/>
  <c r="BB22" i="15"/>
  <c r="BB87" i="15"/>
  <c r="BB94" i="15"/>
  <c r="BB11" i="15"/>
  <c r="BB102" i="15"/>
  <c r="BB17" i="15"/>
  <c r="BB29" i="15"/>
  <c r="BB90" i="15"/>
  <c r="BB26" i="15"/>
  <c r="BB89" i="15"/>
  <c r="AQ14" i="15"/>
  <c r="AX87" i="15"/>
  <c r="AX91" i="15"/>
  <c r="AX95" i="15"/>
  <c r="BB95" i="15" s="1"/>
  <c r="AY238" i="15"/>
  <c r="BB238" i="15" s="1"/>
  <c r="AX321" i="15"/>
  <c r="AY321" i="15" s="1"/>
  <c r="AQ118" i="15"/>
  <c r="AX239" i="15"/>
  <c r="AQ239" i="15"/>
  <c r="AQ7" i="15"/>
  <c r="AQ11" i="15"/>
  <c r="AQ51" i="15"/>
  <c r="AX90" i="15"/>
  <c r="AX94" i="15"/>
  <c r="AX101" i="15"/>
  <c r="AX102" i="15"/>
  <c r="AX103" i="15"/>
  <c r="BB103" i="15" s="1"/>
  <c r="AX104" i="15"/>
  <c r="BB104" i="15" s="1"/>
  <c r="AX105" i="15"/>
  <c r="AX106" i="15"/>
  <c r="BB106" i="15" s="1"/>
  <c r="AX107" i="15"/>
  <c r="BB107" i="15" s="1"/>
  <c r="AX108" i="15"/>
  <c r="BB108" i="15" s="1"/>
  <c r="AR128" i="15"/>
  <c r="AX128" i="15" s="1"/>
  <c r="AQ128" i="15"/>
  <c r="AY237" i="15"/>
  <c r="BB237" i="15" s="1"/>
  <c r="AR6" i="15"/>
  <c r="AR7" i="15"/>
  <c r="BB9" i="15"/>
  <c r="AR11" i="15"/>
  <c r="BB13" i="15"/>
  <c r="AR15" i="15"/>
  <c r="AQ15" i="15" s="1"/>
  <c r="AX100" i="15"/>
  <c r="BB100" i="15" s="1"/>
  <c r="BB204" i="15"/>
  <c r="AQ10" i="15"/>
  <c r="AX89" i="15"/>
  <c r="AX93" i="15"/>
  <c r="BB93" i="15" s="1"/>
  <c r="AX99" i="15"/>
  <c r="BB99" i="15" s="1"/>
  <c r="AR151" i="15"/>
  <c r="AQ151" i="15"/>
  <c r="AY16" i="15"/>
  <c r="BB16" i="15" s="1"/>
  <c r="AY18" i="15"/>
  <c r="BB18" i="15" s="1"/>
  <c r="AY20" i="15"/>
  <c r="BB20" i="15" s="1"/>
  <c r="AY22" i="15"/>
  <c r="AY24" i="15"/>
  <c r="BB24" i="15" s="1"/>
  <c r="AY26" i="15"/>
  <c r="AL90" i="15"/>
  <c r="AL94" i="15"/>
  <c r="AX98" i="15"/>
  <c r="BB98" i="15" s="1"/>
  <c r="AL101" i="15"/>
  <c r="AL102" i="15"/>
  <c r="AL103" i="15"/>
  <c r="AL104" i="15"/>
  <c r="AL105" i="15"/>
  <c r="AL106" i="15"/>
  <c r="AL107" i="15"/>
  <c r="AL108" i="15"/>
  <c r="AY235" i="15"/>
  <c r="BB235" i="15" s="1"/>
  <c r="AY243" i="15"/>
  <c r="BB243" i="15"/>
  <c r="AY17" i="15"/>
  <c r="AY19" i="15"/>
  <c r="BB19" i="15" s="1"/>
  <c r="AY21" i="15"/>
  <c r="BB21" i="15" s="1"/>
  <c r="AY23" i="15"/>
  <c r="AY25" i="15"/>
  <c r="BB25" i="15" s="1"/>
  <c r="AY27" i="15"/>
  <c r="AY28" i="15"/>
  <c r="BB28" i="15" s="1"/>
  <c r="AY29" i="15"/>
  <c r="AQ36" i="15"/>
  <c r="AQ49" i="15"/>
  <c r="AL135" i="15"/>
  <c r="AO136" i="15"/>
  <c r="BB234" i="15"/>
  <c r="AY234" i="15"/>
  <c r="AQ244" i="15"/>
  <c r="AX244" i="15"/>
  <c r="AQ245" i="15"/>
  <c r="AX245" i="15"/>
  <c r="BB201" i="15"/>
  <c r="AQ236" i="15"/>
  <c r="AX236" i="15"/>
  <c r="AY240" i="15"/>
  <c r="BB240" i="15" s="1"/>
  <c r="AY242" i="15"/>
  <c r="BB242" i="15" s="1"/>
  <c r="AY246" i="15"/>
  <c r="BB246" i="15"/>
  <c r="AX247" i="15"/>
  <c r="AQ247" i="15"/>
  <c r="AQ170" i="15"/>
  <c r="AL194" i="15"/>
  <c r="AL195" i="15"/>
  <c r="CQ234" i="15"/>
  <c r="CE238" i="15"/>
  <c r="CH242" i="15"/>
  <c r="AL193" i="15"/>
  <c r="AX201" i="15"/>
  <c r="AL203" i="15"/>
  <c r="AX206" i="15"/>
  <c r="BB206" i="15" s="1"/>
  <c r="CS234" i="15"/>
  <c r="CE237" i="15"/>
  <c r="AQ238" i="15"/>
  <c r="CM240" i="15"/>
  <c r="AQ243" i="15"/>
  <c r="AQ246" i="15"/>
  <c r="AQ301" i="15"/>
  <c r="AQ314" i="15"/>
  <c r="AQ321" i="15"/>
  <c r="AQ335" i="15"/>
  <c r="AQ341" i="15"/>
  <c r="AQ345" i="15"/>
  <c r="AQ347" i="15"/>
  <c r="AL192" i="15"/>
  <c r="AX233" i="15"/>
  <c r="CE236" i="15"/>
  <c r="AX241" i="15"/>
  <c r="CH243" i="15"/>
  <c r="AX248" i="15"/>
  <c r="AQ322" i="15"/>
  <c r="AX322" i="15" s="1"/>
  <c r="AY322" i="15" s="1"/>
  <c r="AQ336" i="15"/>
  <c r="AQ340" i="15"/>
  <c r="AL191" i="15"/>
  <c r="AL201" i="15"/>
  <c r="AL206" i="15"/>
  <c r="AQ300" i="15"/>
  <c r="AQ313" i="15"/>
  <c r="AQ323" i="15"/>
  <c r="AX323" i="15" s="1"/>
  <c r="AY323" i="15" s="1"/>
  <c r="AQ329" i="15"/>
  <c r="AQ330" i="15"/>
  <c r="AQ331" i="15"/>
  <c r="AQ150" i="15"/>
  <c r="AQ174" i="15"/>
  <c r="AQ175" i="15"/>
  <c r="AQ176" i="15"/>
  <c r="AQ177" i="15"/>
  <c r="AQ178" i="15"/>
  <c r="AQ179" i="15"/>
  <c r="AL189" i="15"/>
  <c r="AL190" i="15"/>
  <c r="AL199" i="15"/>
  <c r="AL200" i="15"/>
  <c r="AM201" i="15"/>
  <c r="AX202" i="15"/>
  <c r="BB202" i="15" s="1"/>
  <c r="AL204" i="15"/>
  <c r="AM206" i="15"/>
  <c r="AQ208" i="15"/>
  <c r="AQ220" i="15"/>
  <c r="AQ228" i="15"/>
  <c r="AQ235" i="15"/>
  <c r="CM243" i="15"/>
  <c r="AQ263" i="15"/>
  <c r="AQ265" i="15"/>
  <c r="AQ267" i="15"/>
  <c r="AQ269" i="15"/>
  <c r="AQ278" i="15"/>
  <c r="AQ296" i="15"/>
  <c r="AQ324" i="15"/>
  <c r="AX324" i="15" s="1"/>
  <c r="AY324" i="15" s="1"/>
  <c r="AQ357" i="15"/>
  <c r="AQ173" i="15"/>
  <c r="AQ219" i="15"/>
  <c r="AQ234" i="15"/>
  <c r="AQ249" i="15"/>
  <c r="AQ295" i="15"/>
  <c r="AQ299" i="15"/>
  <c r="AQ325" i="15"/>
  <c r="AX325" i="15" s="1"/>
  <c r="AY325" i="15" s="1"/>
  <c r="AQ343" i="15"/>
  <c r="AQ346" i="15"/>
  <c r="AQ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Y248" i="15" l="1"/>
  <c r="BB248" i="15" s="1"/>
  <c r="AY245" i="15"/>
  <c r="BB245" i="15" s="1"/>
  <c r="AY241" i="15"/>
  <c r="BB241" i="15" s="1"/>
  <c r="AY244" i="15"/>
  <c r="BB244" i="15" s="1"/>
  <c r="AY128" i="15"/>
  <c r="BB128" i="15" s="1"/>
  <c r="BB239" i="15"/>
  <c r="AY239" i="15"/>
  <c r="AY233" i="15"/>
  <c r="BB233" i="15" s="1"/>
  <c r="AY236" i="15"/>
  <c r="BB236" i="15" s="1"/>
  <c r="AY247" i="15"/>
  <c r="BB247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<sst xmlns="http://schemas.openxmlformats.org/spreadsheetml/2006/main" count="25772" uniqueCount="6348">
  <si>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</si>
  <si>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</si>
  <si>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</si>
  <si>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</si>
  <si>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</si>
  <si>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</si>
  <si>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</si>
  <si>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</si>
  <si>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</si>
  <si>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</si>
  <si>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</si>
  <si>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</si>
  <si>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</si>
  <si>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</si>
  <si>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</si>
  <si>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</si>
  <si>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</si>
  <si>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</si>
  <si>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</si>
  <si>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</si>
  <si>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</si>
  <si>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</si>
  <si>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</si>
  <si>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</si>
  <si>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</si>
  <si>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</si>
  <si>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</si>
  <si>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</si>
  <si>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</si>
  <si>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</si>
  <si>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</si>
  <si>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</si>
  <si>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</si>
  <si>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</si>
  <si>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</si>
  <si>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</si>
  <si>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</si>
  <si>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</si>
  <si>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</si>
  <si>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</si>
  <si>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</si>
  <si>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</si>
  <si>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</si>
  <si>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</si>
  <si>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</si>
  <si>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</si>
  <si>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</si>
  <si>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</si>
  <si>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</si>
  <si>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</si>
  <si>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</si>
  <si>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</si>
  <si>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</si>
  <si>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</si>
  <si>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</si>
  <si>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</si>
  <si>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</si>
  <si>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</si>
  <si>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</si>
  <si>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</si>
  <si>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</si>
  <si>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</si>
  <si>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</si>
  <si>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</si>
  <si>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</si>
  <si>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</si>
  <si>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</si>
  <si>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</si>
  <si>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</si>
  <si>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</si>
  <si>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</si>
  <si>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</si>
  <si>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</si>
  <si>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</si>
  <si>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</si>
  <si>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</si>
  <si>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</si>
  <si>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</si>
  <si>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</si>
  <si>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</si>
  <si>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</si>
  <si>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</si>
  <si>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</si>
  <si>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</si>
  <si>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</si>
  <si>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</si>
  <si>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</si>
  <si>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</si>
  <si>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</si>
  <si>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</si>
  <si>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</si>
  <si>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</si>
  <si>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</si>
  <si>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</si>
  <si>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</si>
  <si>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</si>
  <si>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</si>
  <si>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</si>
  <si>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</si>
  <si>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</si>
  <si>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</si>
  <si>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</si>
  <si>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</si>
  <si>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</si>
  <si>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</si>
  <si>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</si>
  <si>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</si>
  <si>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</si>
  <si>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</si>
  <si>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</si>
  <si>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</si>
  <si>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</si>
  <si>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</si>
  <si>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</si>
  <si>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</si>
  <si>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</si>
  <si>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</si>
  <si>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</si>
  <si>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</si>
  <si>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</si>
  <si>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</si>
  <si>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</si>
  <si>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</si>
  <si>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</si>
  <si>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</si>
  <si>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</si>
  <si>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</si>
  <si>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</si>
  <si>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</si>
  <si>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</si>
  <si>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</si>
  <si>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</si>
  <si>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</si>
  <si>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</si>
  <si>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</si>
  <si>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</si>
  <si>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</si>
  <si>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</si>
  <si>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</si>
  <si>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</si>
  <si>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</si>
  <si>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</si>
  <si>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</si>
  <si>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</si>
  <si>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</si>
  <si>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</si>
  <si>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</si>
  <si>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</si>
  <si>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</si>
  <si>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</si>
  <si>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</si>
  <si>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</si>
  <si>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</si>
  <si>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</si>
  <si>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</si>
  <si>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</si>
  <si>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</si>
  <si>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</si>
  <si>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</si>
  <si>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</si>
  <si>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</si>
  <si>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</si>
  <si>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</si>
  <si>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</si>
  <si>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</si>
  <si>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</si>
  <si>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</si>
  <si>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</si>
  <si>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</si>
  <si>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</si>
  <si>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</si>
  <si>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</si>
  <si>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</si>
  <si>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</si>
  <si>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</si>
  <si>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</si>
  <si>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</si>
  <si>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</si>
  <si>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</si>
  <si>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</si>
  <si>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</si>
  <si>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</si>
  <si>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</si>
  <si>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</si>
  <si>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</si>
  <si>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</si>
  <si>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</si>
  <si>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</si>
  <si>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</si>
  <si>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</si>
  <si>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</si>
  <si>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</si>
  <si>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</si>
  <si>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</si>
  <si>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</si>
  <si>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</si>
  <si>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</si>
  <si>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</si>
  <si>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</si>
  <si>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</si>
  <si>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</si>
  <si>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</si>
  <si>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</si>
  <si>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</si>
  <si>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</si>
  <si>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</si>
  <si>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</si>
  <si>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</si>
  <si>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</si>
  <si>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</si>
  <si>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</si>
  <si>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</si>
  <si>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</si>
  <si>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</si>
  <si>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</si>
  <si>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</si>
  <si>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</si>
  <si>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</si>
  <si>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</si>
  <si>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</si>
  <si>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</si>
  <si>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</si>
  <si>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</si>
  <si>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</si>
  <si>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</si>
  <si>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</si>
  <si>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</si>
  <si>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</si>
  <si>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</si>
  <si>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</si>
  <si>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</si>
  <si>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</si>
  <si>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</si>
  <si>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</si>
  <si>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</si>
  <si>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</si>
  <si>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</si>
  <si>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</si>
  <si>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</si>
  <si>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</si>
  <si>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</si>
  <si>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</si>
  <si>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</si>
  <si>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</si>
  <si>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</si>
  <si>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</si>
  <si>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</si>
  <si>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</si>
  <si>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</si>
  <si>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</si>
  <si>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</si>
  <si>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</si>
  <si>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</si>
  <si>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</si>
  <si>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</si>
  <si>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</si>
  <si>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</si>
  <si>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</si>
  <si>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</si>
  <si>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</si>
  <si>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</si>
  <si>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</si>
  <si>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</si>
  <si>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</si>
  <si>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</si>
  <si>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</si>
  <si>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</si>
  <si>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</si>
  <si>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</si>
  <si>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</si>
  <si>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</si>
  <si>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</si>
  <si>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</si>
  <si>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</si>
  <si>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</si>
  <si>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</si>
  <si>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</si>
  <si>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</si>
  <si>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</si>
  <si>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</si>
  <si>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</si>
  <si>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</si>
  <si>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</si>
  <si>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</si>
  <si>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</si>
  <si>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</si>
  <si>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</si>
  <si>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</si>
  <si>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</si>
  <si>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</si>
  <si>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</si>
  <si>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</si>
  <si>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</si>
  <si>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</si>
  <si>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</si>
  <si>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</si>
  <si>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</si>
  <si>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</si>
  <si>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</si>
  <si>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</si>
  <si>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</si>
  <si>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</si>
  <si>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</si>
  <si>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</si>
  <si>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</si>
  <si>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</si>
  <si>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</si>
  <si>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</si>
  <si>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</si>
  <si>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</si>
  <si>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</si>
  <si>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</si>
  <si>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</si>
  <si>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</si>
  <si>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</si>
  <si>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</si>
  <si>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</si>
  <si>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</si>
  <si>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</si>
  <si>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</si>
  <si>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</si>
  <si>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</si>
  <si>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</si>
  <si>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</si>
  <si>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</si>
  <si>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</si>
  <si>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</si>
  <si>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</si>
  <si>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</si>
  <si>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</si>
  <si>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</si>
  <si>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</si>
  <si>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</si>
  <si>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</si>
  <si>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</si>
  <si>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</si>
  <si>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</si>
  <si>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</si>
  <si>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</si>
  <si>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</si>
  <si>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</si>
  <si>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</si>
  <si>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</si>
  <si>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</si>
  <si>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</si>
  <si>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</si>
  <si>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</si>
  <si>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</si>
  <si>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</si>
  <si>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</si>
  <si>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</si>
  <si>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</si>
  <si>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</si>
  <si>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</si>
  <si>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</si>
  <si>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</si>
  <si>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</si>
  <si>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</si>
  <si>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</si>
  <si>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</si>
  <si>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</si>
  <si>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</si>
  <si>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</si>
  <si>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</si>
  <si>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</si>
  <si>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</si>
  <si>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</si>
  <si>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</si>
  <si>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</si>
  <si>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</si>
  <si>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</si>
  <si>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</si>
  <si>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</si>
  <si>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</si>
  <si>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</si>
  <si>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</si>
  <si>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</si>
  <si>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</si>
  <si>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</si>
  <si>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</si>
  <si>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</si>
  <si>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</si>
  <si>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</si>
  <si>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</si>
  <si>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</si>
  <si>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</si>
  <si>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</si>
  <si>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</si>
  <si>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</si>
  <si>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</si>
  <si>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</si>
  <si>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</si>
  <si>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</si>
  <si>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</si>
  <si>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</si>
  <si>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</si>
  <si>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</si>
  <si>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</si>
  <si>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</si>
  <si>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</si>
  <si>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</si>
  <si>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</si>
  <si>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</si>
  <si>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</si>
  <si>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</si>
  <si>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</si>
  <si>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</si>
  <si>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</si>
  <si>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</si>
  <si>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</si>
  <si>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</si>
  <si>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</si>
  <si>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</si>
  <si>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</si>
  <si>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</si>
  <si>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</si>
  <si>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</si>
  <si>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</si>
  <si>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</si>
  <si>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</si>
  <si>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</si>
  <si>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</si>
  <si>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</si>
  <si>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</si>
  <si>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</si>
  <si>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</si>
  <si>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</si>
  <si>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</si>
  <si>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</si>
  <si>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</si>
  <si>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</si>
  <si>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</si>
  <si>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</si>
  <si>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</si>
  <si>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</si>
  <si>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</si>
  <si>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</si>
  <si>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</si>
  <si>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</si>
  <si>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</si>
  <si>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</si>
  <si>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</si>
  <si>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</si>
  <si>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</si>
  <si>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</si>
  <si>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</si>
  <si>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</si>
  <si>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</si>
  <si>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</si>
  <si>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</si>
  <si>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</si>
  <si>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</si>
  <si>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</si>
  <si>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</si>
  <si>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</si>
  <si>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</si>
  <si>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</si>
  <si>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</si>
  <si>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</si>
  <si>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</si>
  <si>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</si>
  <si>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</si>
  <si>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</si>
  <si>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</si>
  <si>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</si>
  <si>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</si>
  <si>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</si>
  <si>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</si>
  <si>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</si>
  <si>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</si>
  <si>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</si>
  <si>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</si>
  <si>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</si>
  <si>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</si>
  <si>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</si>
  <si>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</si>
  <si>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</si>
  <si>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</si>
  <si>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</si>
  <si>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</si>
  <si>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</si>
  <si>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</si>
  <si>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</si>
  <si>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</si>
  <si>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</si>
  <si>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</si>
  <si>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</si>
  <si>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</si>
  <si>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</si>
  <si>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</si>
  <si>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</si>
  <si>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</si>
  <si>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</si>
  <si>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</si>
  <si>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</si>
  <si>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</si>
  <si>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</si>
  <si>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</si>
  <si>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</si>
  <si>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</si>
  <si>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</si>
  <si>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</si>
  <si>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</si>
  <si>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</si>
  <si>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</si>
  <si>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</si>
  <si>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</si>
  <si>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</si>
  <si>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</si>
  <si>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</si>
  <si>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</si>
  <si>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</si>
  <si>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</si>
  <si>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</si>
  <si>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</si>
  <si>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</si>
  <si>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</si>
  <si>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</si>
  <si>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</si>
  <si>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</si>
  <si>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</si>
  <si>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</si>
  <si>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</si>
  <si>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</si>
  <si>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</si>
  <si>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</si>
  <si>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</si>
  <si>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</si>
  <si>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</si>
  <si>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</si>
  <si>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</si>
  <si>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</si>
  <si>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</si>
  <si>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</si>
  <si>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</si>
  <si>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</si>
  <si>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</si>
  <si>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</si>
  <si>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</si>
  <si>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</si>
  <si>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</si>
  <si>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</si>
  <si>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</si>
  <si>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</si>
  <si>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</si>
  <si>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</si>
  <si>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</si>
  <si>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</si>
  <si>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</si>
  <si>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</si>
  <si>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</si>
  <si>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</si>
  <si>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</si>
  <si>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</si>
  <si>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</si>
  <si>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</si>
  <si>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</si>
  <si>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</si>
  <si>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</si>
  <si>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</si>
  <si>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</si>
  <si>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</si>
  <si>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</si>
  <si>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</si>
  <si>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</si>
  <si>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</si>
  <si>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</si>
  <si>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</si>
  <si>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</si>
  <si>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</si>
  <si>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</si>
  <si>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</si>
  <si>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</si>
  <si>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</si>
  <si>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</si>
  <si>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</si>
  <si>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</si>
  <si>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</si>
  <si>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</si>
  <si>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</si>
  <si>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</si>
  <si>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</si>
  <si>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</si>
  <si>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</si>
  <si>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</si>
  <si>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</si>
  <si>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</si>
  <si>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</si>
  <si>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</si>
  <si>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</si>
  <si>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</si>
  <si>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</si>
  <si>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</si>
  <si>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</si>
  <si>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</si>
  <si>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</si>
  <si>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</si>
  <si>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</si>
  <si>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</si>
  <si>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</si>
  <si>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</si>
  <si>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</si>
  <si>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</si>
  <si>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</si>
  <si>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</si>
  <si>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</si>
  <si>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</si>
  <si>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</si>
  <si>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</si>
  <si>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</si>
  <si>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</si>
  <si>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</si>
  <si>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</si>
  <si>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</si>
  <si>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</si>
  <si>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</si>
  <si>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</si>
  <si>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</si>
  <si>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</si>
  <si>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</si>
  <si>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</si>
  <si>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</si>
  <si>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</si>
  <si>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</si>
  <si>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</si>
  <si>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</si>
  <si>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</si>
  <si>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</si>
  <si>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</si>
  <si>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</si>
  <si>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</si>
  <si>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</si>
  <si>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</si>
  <si>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</si>
  <si>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</si>
  <si>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</si>
  <si>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</si>
  <si>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</si>
  <si>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</si>
  <si>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</si>
  <si>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</si>
  <si>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</si>
  <si>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</si>
  <si>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</si>
  <si>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</si>
  <si>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</si>
  <si>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</si>
  <si>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</si>
  <si>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</si>
  <si>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</si>
  <si>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</si>
  <si>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</si>
  <si>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</si>
  <si>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</si>
  <si>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</si>
  <si>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</si>
  <si>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</si>
  <si>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</si>
  <si>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</si>
  <si>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</si>
  <si>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</si>
  <si>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</si>
  <si>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</si>
  <si>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</si>
  <si>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</si>
  <si>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</si>
  <si>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</si>
  <si>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</si>
  <si>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</si>
  <si>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</si>
  <si>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</si>
  <si>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</si>
  <si>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</si>
  <si>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</si>
  <si>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</si>
  <si>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</si>
  <si>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</si>
  <si>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</si>
  <si>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</si>
  <si>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</si>
  <si>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</si>
  <si>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</si>
  <si>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</si>
  <si>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</si>
  <si>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</si>
  <si>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</si>
  <si>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</si>
  <si>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</si>
  <si>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</si>
  <si>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</si>
  <si>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</si>
  <si>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</si>
  <si>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</si>
  <si>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</si>
  <si>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</si>
  <si>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</si>
  <si>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</si>
  <si>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</si>
  <si>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</si>
  <si>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</si>
  <si>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</si>
  <si>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</si>
  <si>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</si>
  <si>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</si>
  <si>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</si>
  <si>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</si>
  <si>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</si>
  <si>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</si>
  <si>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</si>
  <si>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</si>
  <si>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</si>
  <si>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</si>
  <si>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</si>
  <si>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</si>
  <si>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</si>
  <si>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</si>
  <si>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</si>
  <si>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</si>
  <si>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</si>
  <si>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</si>
  <si>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</si>
  <si>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</si>
  <si>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</si>
  <si>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</si>
  <si>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</si>
  <si>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</si>
  <si>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</si>
  <si>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</si>
  <si>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</si>
  <si>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</si>
  <si>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</si>
  <si>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</si>
  <si>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</si>
  <si>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</si>
  <si>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</si>
  <si>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</si>
  <si>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</si>
  <si>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</si>
  <si>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</si>
  <si>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</si>
  <si>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</si>
  <si>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</si>
  <si>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</si>
  <si>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</si>
  <si>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</si>
  <si>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</si>
  <si>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</si>
  <si>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</si>
  <si>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</si>
  <si>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</si>
  <si>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</si>
  <si>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</si>
  <si>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</si>
  <si>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</si>
  <si>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</si>
  <si>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</si>
  <si>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</si>
  <si>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</si>
  <si>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</si>
  <si>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</si>
  <si>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</si>
  <si>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</si>
  <si>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</si>
  <si>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</si>
  <si>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</si>
  <si>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</si>
  <si>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</si>
  <si>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</si>
  <si>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</si>
  <si>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</si>
  <si>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</si>
  <si>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</si>
  <si>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</si>
  <si>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</si>
  <si>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</si>
  <si>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</si>
  <si>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</si>
  <si>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</si>
  <si>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</si>
  <si>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</si>
  <si>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</si>
  <si>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</si>
  <si>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</si>
  <si>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</si>
  <si>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</si>
  <si>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</si>
  <si>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</si>
  <si>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</si>
  <si>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</si>
  <si>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</si>
  <si>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</si>
  <si>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</si>
  <si>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</si>
  <si>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</si>
  <si>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</si>
  <si>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</si>
  <si>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</si>
  <si>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</si>
  <si>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</si>
  <si>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</si>
  <si>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</si>
  <si>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</si>
  <si>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</si>
  <si>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</si>
  <si>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</si>
  <si>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</si>
  <si>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</si>
  <si>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</si>
  <si>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</si>
  <si>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</si>
  <si>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</si>
  <si>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</si>
  <si>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</si>
  <si>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</si>
  <si>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</si>
  <si>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</si>
  <si>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</si>
  <si>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</si>
  <si>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</si>
  <si>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</si>
  <si>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</si>
  <si>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</si>
  <si>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</si>
  <si>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</si>
  <si>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</si>
  <si>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</si>
  <si>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</si>
  <si>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</si>
  <si>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</si>
  <si>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</si>
  <si>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</si>
  <si>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</si>
  <si>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</si>
  <si>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</si>
  <si>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</si>
  <si>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</si>
  <si>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</si>
  <si>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</si>
  <si>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</si>
  <si>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</si>
  <si>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</si>
  <si>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</si>
  <si>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</si>
  <si>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</si>
  <si>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</si>
  <si>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</si>
  <si>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</si>
  <si>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</si>
  <si>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</si>
  <si>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</si>
  <si>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</si>
  <si>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</si>
  <si>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</si>
  <si>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</si>
  <si>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</si>
  <si>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</si>
  <si>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</si>
  <si>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</si>
  <si>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</si>
  <si>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</si>
  <si>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</si>
  <si>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</si>
  <si>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</si>
  <si>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</si>
  <si>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</si>
  <si>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</si>
  <si>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</si>
  <si>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</si>
  <si>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</si>
  <si>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</si>
  <si>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</si>
  <si>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</si>
  <si>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</si>
  <si>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</si>
  <si>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</si>
  <si>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</si>
  <si>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</si>
  <si>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</si>
  <si>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</si>
  <si>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</si>
  <si>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</si>
  <si>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</si>
  <si>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</si>
  <si>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</si>
  <si>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</si>
  <si>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</si>
  <si>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</si>
  <si>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</si>
  <si>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</si>
  <si>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</si>
  <si>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</si>
  <si>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</si>
  <si>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</si>
  <si>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</si>
  <si>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</si>
  <si>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</si>
  <si>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</si>
  <si>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</si>
  <si>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</si>
  <si>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</si>
  <si>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</si>
  <si>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</si>
  <si>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</si>
  <si>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</si>
  <si>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</si>
  <si>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</si>
  <si>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</si>
  <si>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</si>
  <si>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</si>
  <si>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</si>
  <si>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</si>
  <si>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</si>
  <si>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</si>
  <si>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</si>
  <si>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</si>
  <si>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</si>
  <si>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</si>
  <si>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</si>
  <si>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</si>
  <si>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</si>
  <si>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</si>
  <si>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</si>
  <si>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</si>
  <si>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</si>
  <si>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</si>
  <si>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</si>
  <si>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</si>
  <si>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</si>
  <si>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</si>
  <si>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</si>
  <si>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</si>
  <si>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</si>
  <si>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</si>
  <si>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</si>
  <si>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</si>
  <si>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</si>
  <si>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</si>
  <si>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</si>
  <si>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</si>
  <si>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</si>
  <si>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</si>
  <si>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</si>
  <si>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</si>
  <si>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</si>
  <si>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</si>
  <si>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</si>
  <si>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</si>
  <si>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</si>
  <si>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</si>
  <si>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</si>
  <si>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</si>
  <si>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</si>
  <si>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</si>
  <si>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</si>
  <si>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</si>
  <si>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</si>
  <si>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</si>
  <si>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</si>
  <si>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</si>
  <si>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</si>
  <si>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</si>
  <si>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</si>
  <si>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</si>
  <si>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</si>
  <si>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</si>
  <si>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</si>
  <si>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</si>
  <si>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</si>
  <si>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</si>
  <si>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</si>
  <si>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</si>
  <si>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</si>
  <si>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</si>
  <si>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</si>
  <si>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</si>
  <si>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</si>
  <si>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</si>
  <si>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</si>
  <si>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</si>
  <si>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</si>
  <si>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</si>
  <si>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</si>
  <si>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</si>
  <si>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</si>
  <si>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</si>
  <si>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</si>
  <si>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</si>
  <si>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</si>
  <si>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</si>
  <si>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</si>
  <si>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</si>
  <si>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</si>
  <si>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</si>
  <si>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</si>
  <si>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</si>
  <si>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</si>
  <si>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</si>
  <si>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</si>
  <si>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</si>
  <si>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</si>
  <si>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</si>
  <si>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</si>
  <si>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</si>
  <si>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</si>
  <si>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</si>
  <si>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</si>
  <si>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</si>
  <si>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</si>
  <si>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</si>
  <si>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</si>
  <si>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</si>
  <si>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</si>
  <si>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</si>
  <si>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</si>
  <si>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</si>
  <si>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</si>
  <si>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</si>
  <si>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</si>
  <si>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</si>
  <si>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</si>
  <si>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</si>
  <si>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</si>
  <si>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</si>
  <si>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</si>
  <si>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</si>
  <si>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</si>
  <si>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</si>
  <si>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</si>
  <si>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</si>
  <si>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</si>
  <si>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</si>
  <si>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</si>
  <si>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</si>
  <si>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</si>
  <si>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</si>
  <si>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</si>
  <si>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</si>
  <si>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</si>
  <si>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</si>
  <si>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</si>
  <si>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</si>
  <si>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</si>
  <si>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</si>
  <si>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</si>
  <si>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</si>
  <si>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</si>
  <si>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</si>
  <si>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</si>
  <si>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</si>
  <si>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</si>
  <si>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</si>
  <si>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</si>
  <si>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</si>
  <si>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</si>
  <si>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</si>
  <si>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</si>
  <si>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</si>
  <si>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</si>
  <si>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</si>
  <si>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</si>
  <si>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</si>
  <si>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</si>
  <si>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</si>
  <si>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</si>
  <si>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</si>
  <si>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</si>
  <si>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</si>
  <si>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</si>
  <si>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</si>
  <si>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</si>
  <si>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</si>
  <si>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</si>
  <si>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</si>
  <si>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</si>
  <si>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</si>
  <si>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</si>
  <si>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</si>
  <si>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</si>
  <si>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</si>
  <si>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</si>
  <si>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</si>
  <si>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</si>
  <si>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</si>
  <si>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</si>
  <si>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</si>
  <si>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</si>
  <si>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</si>
  <si>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</si>
  <si>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</si>
  <si>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</si>
  <si>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</si>
  <si>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</si>
  <si>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</si>
  <si>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</si>
  <si>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</si>
  <si>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</si>
  <si>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</si>
  <si>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</si>
  <si>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</si>
  <si>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</si>
  <si>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</si>
  <si>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</si>
  <si>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</si>
  <si>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</si>
  <si>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</si>
  <si>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</si>
  <si>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</si>
  <si>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</si>
  <si>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</si>
  <si>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</si>
  <si>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</si>
  <si>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</si>
  <si>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</si>
  <si>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</si>
  <si>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</si>
  <si>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</si>
  <si>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</si>
  <si>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</si>
  <si>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</si>
  <si>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</si>
  <si>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</si>
  <si>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</si>
  <si>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</si>
  <si>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</si>
  <si>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</si>
  <si>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</si>
  <si>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</si>
  <si>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</si>
  <si>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</si>
  <si>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</si>
  <si>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</si>
  <si>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</si>
  <si>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</si>
  <si>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</si>
  <si>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</si>
  <si>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</si>
  <si>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</si>
  <si>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</si>
  <si>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</si>
  <si>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</si>
  <si>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</si>
  <si>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</si>
  <si>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</si>
  <si>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</si>
  <si>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</si>
  <si>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</si>
  <si>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</si>
  <si>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</si>
  <si>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</si>
  <si>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</si>
  <si>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</si>
  <si>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</si>
  <si>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</si>
  <si>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</si>
  <si>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</si>
  <si>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</si>
  <si>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</si>
  <si>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</si>
  <si>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</si>
  <si>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</si>
  <si>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</si>
  <si>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</si>
  <si>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</si>
  <si>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</si>
  <si>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</si>
  <si>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</si>
  <si>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</si>
  <si>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</si>
  <si>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</si>
  <si>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</si>
  <si>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</si>
  <si>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</si>
  <si>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</si>
  <si>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</si>
  <si>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</si>
  <si>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</si>
  <si>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</si>
  <si>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</si>
  <si>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</si>
  <si>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</si>
  <si>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</si>
  <si>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</si>
  <si>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</si>
  <si>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</si>
  <si>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</si>
  <si>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</si>
  <si>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</si>
  <si>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</si>
  <si>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</si>
  <si>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</si>
  <si>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</si>
  <si>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</si>
  <si>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</si>
  <si>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</si>
  <si>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</si>
  <si>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</si>
  <si>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</si>
  <si>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</si>
  <si>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</si>
  <si>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</si>
  <si>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</si>
  <si>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</si>
  <si>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</si>
  <si>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</si>
  <si>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</si>
  <si>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</si>
  <si>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</si>
  <si>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</si>
  <si>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</si>
  <si>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</si>
  <si>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</si>
  <si>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</si>
  <si>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</si>
  <si>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</si>
  <si>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</si>
  <si>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</si>
  <si>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</si>
  <si>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</si>
  <si>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</si>
  <si>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</si>
  <si>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</si>
  <si>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</si>
  <si>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</si>
  <si>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</si>
  <si>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</si>
  <si>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</si>
  <si>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</si>
  <si>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</si>
  <si>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</si>
  <si>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</si>
  <si>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</si>
  <si>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</si>
  <si>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</si>
  <si>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</si>
  <si>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</si>
  <si>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</si>
  <si>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</si>
  <si>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</si>
  <si>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</si>
  <si>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</si>
  <si>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</si>
  <si>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</si>
  <si>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</si>
  <si>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</si>
  <si>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</si>
  <si>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</si>
  <si>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</si>
  <si>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</si>
  <si>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</si>
  <si>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</si>
  <si>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</si>
  <si>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</si>
  <si>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</si>
  <si>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</si>
  <si>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</si>
  <si>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</si>
  <si>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</si>
  <si>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</si>
  <si>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</si>
  <si>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</si>
  <si>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</si>
  <si>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</si>
  <si>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</si>
  <si>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</si>
  <si>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</si>
  <si>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</si>
  <si>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</si>
  <si>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</si>
  <si>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</si>
  <si>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</si>
  <si>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</si>
  <si>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</si>
  <si>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</si>
  <si>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</si>
  <si>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</si>
  <si>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</si>
  <si>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</si>
  <si>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</si>
  <si>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</si>
  <si>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</si>
  <si>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</si>
  <si>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</si>
  <si>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</si>
  <si>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</si>
  <si>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</si>
  <si>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</si>
  <si>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</si>
  <si>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</si>
  <si>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</si>
  <si>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</si>
  <si>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</si>
  <si>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</si>
  <si>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</si>
  <si>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</si>
  <si>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</si>
  <si>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</si>
  <si>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</si>
  <si>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</si>
  <si>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</si>
  <si>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</si>
  <si>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</si>
  <si>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</si>
  <si>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</si>
  <si>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</si>
  <si>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</si>
  <si>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</si>
  <si>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</si>
  <si>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</si>
  <si>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</si>
  <si>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</si>
  <si>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</si>
  <si>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</si>
  <si>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</si>
  <si>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</si>
  <si>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</si>
  <si>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</si>
  <si>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</si>
  <si>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</si>
  <si>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</si>
  <si>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</si>
  <si>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</si>
  <si>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</si>
  <si>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</si>
  <si>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</si>
  <si>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</si>
  <si>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</si>
  <si>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</si>
  <si>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</si>
  <si>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</si>
  <si>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</si>
  <si>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</si>
  <si>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</si>
  <si>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</si>
  <si>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</si>
  <si>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</si>
  <si>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</si>
  <si>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</si>
  <si>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</si>
  <si>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</si>
  <si>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</si>
  <si>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</si>
  <si>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</si>
  <si>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</si>
  <si>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</si>
  <si>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</si>
  <si>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</si>
  <si>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</si>
  <si>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</si>
  <si>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</si>
  <si>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</si>
  <si>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</si>
  <si>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</si>
  <si>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</si>
  <si>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</si>
  <si>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</si>
  <si>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</si>
  <si>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</si>
  <si>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</si>
  <si>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</si>
  <si>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</si>
  <si>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</si>
  <si>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</si>
  <si>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</si>
  <si>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</si>
  <si>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</si>
  <si>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</si>
  <si>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</si>
  <si>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</si>
  <si>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</si>
  <si>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</si>
  <si>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</si>
  <si>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</si>
  <si>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</si>
  <si>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</si>
  <si>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</si>
  <si>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</si>
  <si>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</si>
  <si>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</si>
  <si>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</si>
  <si>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</si>
  <si>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</si>
  <si>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</si>
  <si>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</si>
  <si>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</si>
  <si>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</si>
  <si>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</si>
  <si>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</si>
  <si>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</si>
  <si>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</si>
  <si>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</si>
  <si>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</si>
  <si>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</si>
  <si>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</si>
  <si>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</si>
  <si>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</si>
  <si>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</si>
  <si>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</si>
  <si>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</si>
  <si>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</si>
  <si>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</si>
  <si>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</si>
  <si>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</si>
  <si>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</si>
  <si>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</si>
  <si>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</si>
  <si>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</si>
  <si>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</si>
  <si>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</si>
  <si>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</si>
  <si>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</si>
  <si>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</si>
  <si>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</si>
  <si>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</si>
  <si>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</si>
  <si>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</si>
  <si>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</si>
  <si>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</si>
  <si>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</si>
  <si>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</si>
  <si>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</si>
  <si>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</si>
  <si>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</si>
  <si>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</si>
  <si>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</si>
  <si>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</si>
  <si>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</si>
  <si>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</si>
  <si>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</si>
  <si>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</si>
  <si>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</si>
  <si>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</si>
  <si>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</si>
  <si>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</si>
  <si>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</si>
  <si>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</si>
  <si>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</si>
  <si>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</si>
  <si>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</si>
  <si>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</si>
  <si>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</si>
  <si>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</si>
  <si>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</si>
  <si>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</si>
  <si>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</si>
  <si>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</si>
  <si>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</si>
  <si>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</si>
  <si>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</si>
  <si>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</si>
  <si>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</si>
  <si>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</si>
  <si>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</si>
  <si>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</si>
  <si>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</si>
  <si>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</si>
  <si>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</si>
  <si>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</si>
  <si>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</si>
  <si>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</si>
  <si>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</si>
  <si>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</si>
  <si>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</si>
  <si>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</si>
  <si>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</si>
  <si>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</si>
  <si>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</si>
  <si>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</si>
  <si>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</si>
  <si>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</si>
  <si>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</si>
  <si>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</si>
  <si>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</si>
  <si>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</si>
  <si>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</si>
  <si>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</si>
  <si>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</si>
  <si>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</si>
  <si>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</si>
  <si>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</si>
  <si>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</si>
  <si>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</si>
  <si>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</si>
  <si>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</si>
  <si>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</si>
  <si>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</si>
  <si>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</si>
  <si>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</si>
  <si>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</si>
  <si>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</si>
  <si>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</si>
  <si>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</si>
  <si>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</si>
  <si>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</si>
  <si>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</si>
  <si>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</si>
  <si>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</si>
  <si>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</si>
  <si>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</si>
  <si>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</si>
  <si>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</si>
  <si>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</si>
  <si>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</si>
  <si>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</si>
  <si>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</si>
  <si>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</si>
  <si>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</si>
  <si>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</si>
  <si>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</si>
  <si>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</si>
  <si>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</si>
  <si>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</si>
  <si>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</si>
  <si>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</si>
  <si>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</si>
  <si>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</si>
  <si>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</si>
  <si>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</si>
  <si>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</si>
  <si>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</si>
  <si>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</si>
  <si>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</si>
  <si>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</si>
  <si>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</si>
  <si>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</si>
  <si>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</si>
  <si>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</si>
  <si>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</si>
  <si>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</si>
  <si>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</si>
  <si>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</si>
  <si>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</si>
  <si>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</si>
  <si>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</si>
  <si>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</si>
  <si>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</si>
  <si>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</si>
  <si>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</si>
  <si>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</si>
  <si>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</si>
  <si>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</si>
  <si>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</si>
  <si>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</si>
  <si>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</si>
  <si>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</si>
  <si>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</si>
  <si>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</si>
  <si>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</si>
  <si>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</si>
  <si>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</si>
  <si>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</si>
  <si>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</si>
  <si>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</si>
  <si>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</si>
  <si>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</si>
  <si>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</si>
  <si>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</si>
  <si>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</si>
  <si>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</si>
  <si>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</si>
  <si>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</si>
  <si>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</si>
  <si>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</si>
  <si>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</si>
  <si>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</si>
  <si>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</si>
  <si>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</si>
  <si>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</si>
  <si>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</si>
  <si>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</si>
  <si>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</si>
  <si>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</si>
  <si>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</si>
  <si>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</si>
  <si>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</si>
  <si>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</si>
  <si>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</si>
  <si>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</si>
  <si>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</si>
  <si>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</si>
  <si>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</si>
  <si>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</si>
  <si>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</si>
  <si>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</si>
  <si>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</si>
  <si>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</si>
  <si>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</si>
  <si>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</si>
  <si>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</si>
  <si>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</si>
  <si>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</si>
  <si>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</si>
  <si>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</si>
  <si>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</si>
  <si>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</si>
  <si>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</si>
  <si>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</si>
  <si>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</si>
  <si>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</si>
  <si>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</si>
  <si>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</si>
  <si>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</si>
  <si>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</si>
  <si>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</si>
  <si>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</si>
  <si>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</si>
  <si>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</si>
  <si>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</si>
  <si>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</si>
  <si>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</si>
  <si>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</si>
  <si>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</si>
  <si>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</si>
  <si>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</si>
  <si>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</si>
  <si>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</si>
  <si>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</si>
  <si>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</si>
  <si>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</si>
  <si>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</si>
  <si>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</si>
  <si>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</si>
  <si>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</si>
  <si>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</si>
  <si>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</si>
  <si>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</si>
  <si>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</si>
  <si>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</si>
  <si>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</si>
  <si>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</si>
  <si>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</si>
  <si>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</si>
  <si>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</si>
  <si>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</si>
  <si>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</si>
  <si>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</si>
  <si>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</si>
  <si>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</si>
  <si>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</si>
  <si>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</si>
  <si>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</si>
  <si>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</si>
  <si>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</si>
  <si>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</si>
  <si>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</si>
  <si>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</si>
  <si>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</si>
  <si>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</si>
  <si>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</si>
  <si>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</si>
  <si>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</si>
  <si>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</si>
  <si>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</si>
  <si>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</si>
  <si>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</si>
  <si>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</si>
  <si>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</si>
  <si>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</si>
  <si>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</si>
  <si>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</si>
  <si>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</si>
  <si>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</si>
  <si>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</si>
  <si>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</si>
  <si>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</si>
  <si>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</si>
  <si>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</si>
  <si>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</si>
  <si>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</si>
  <si>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</si>
  <si>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</si>
  <si>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</si>
  <si>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</si>
  <si>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</si>
  <si>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</si>
  <si>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</si>
  <si>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</si>
  <si>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</si>
  <si>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</si>
  <si>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</si>
  <si>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</si>
  <si>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</si>
  <si>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</si>
  <si>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</si>
  <si>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</si>
  <si>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</si>
  <si>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</si>
  <si>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</si>
  <si>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</si>
  <si>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</si>
  <si>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</si>
  <si>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</si>
  <si>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</si>
  <si>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</si>
  <si>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</si>
  <si>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</si>
  <si>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</si>
  <si>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</si>
  <si>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</si>
  <si>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</si>
  <si>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</si>
  <si>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</si>
  <si>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</si>
  <si>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</si>
  <si>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</si>
  <si>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</si>
  <si>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</si>
  <si>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</si>
  <si>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</si>
  <si>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</si>
  <si>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</si>
  <si>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</si>
  <si>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</si>
  <si>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</si>
  <si>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</si>
  <si>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</si>
  <si>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</si>
  <si>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</si>
  <si>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</si>
  <si>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</si>
  <si>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</si>
  <si>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</si>
  <si>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</si>
  <si>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</si>
  <si>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</si>
  <si>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</si>
  <si>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</si>
  <si>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</si>
  <si>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</si>
  <si>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</si>
  <si>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</si>
  <si>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</si>
  <si>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</si>
  <si>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</si>
  <si>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</si>
  <si>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</si>
  <si>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</si>
  <si>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</si>
  <si>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</si>
  <si>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</si>
  <si>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</si>
  <si>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</si>
  <si>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</si>
  <si>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</si>
  <si>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</si>
  <si>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</si>
  <si>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</si>
  <si>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</si>
  <si>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</si>
  <si>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</si>
  <si>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</si>
  <si>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</si>
  <si>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</si>
  <si>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</si>
  <si>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</si>
  <si>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</si>
  <si>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</si>
  <si>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</si>
  <si>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</si>
  <si>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</si>
  <si>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</si>
  <si>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</si>
  <si>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</si>
  <si>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</si>
  <si>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</si>
  <si>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</si>
  <si>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</si>
  <si>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</si>
  <si>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</si>
  <si>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</si>
  <si>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</si>
  <si>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</si>
  <si>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</si>
  <si>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</si>
  <si>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</si>
  <si>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</si>
  <si>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</si>
  <si>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</si>
  <si>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</si>
  <si>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</si>
  <si>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</si>
  <si>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</si>
  <si>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</si>
  <si>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</si>
  <si>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</si>
  <si>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</si>
  <si>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</si>
  <si>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</si>
  <si>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</si>
  <si>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</si>
  <si>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</si>
  <si>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</si>
  <si>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</si>
  <si>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</si>
  <si>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</si>
  <si>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</si>
  <si>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</si>
  <si>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</si>
  <si>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</si>
  <si>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</si>
  <si>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</si>
  <si>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</si>
  <si>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</si>
  <si>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</si>
  <si>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</si>
  <si>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</si>
  <si>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</si>
  <si>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</si>
  <si>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</si>
  <si>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</si>
  <si>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</si>
  <si>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</si>
  <si>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</si>
  <si>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</si>
  <si>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</si>
  <si>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</si>
  <si>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</si>
  <si>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</si>
  <si>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</si>
  <si>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</si>
  <si>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</si>
  <si>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</si>
  <si>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</si>
  <si>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</si>
  <si>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</si>
  <si>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</si>
  <si>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</si>
  <si>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</si>
  <si>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</si>
  <si>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</si>
  <si>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</si>
  <si>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</si>
  <si>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</si>
  <si>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</si>
  <si>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</si>
  <si>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</si>
  <si>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</si>
  <si>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</si>
  <si>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</si>
  <si>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</si>
  <si>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</si>
  <si>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</si>
  <si>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</si>
  <si>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</si>
  <si>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</si>
  <si>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</si>
  <si>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</si>
  <si>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</si>
  <si>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</si>
  <si>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</si>
  <si>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</si>
  <si>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</si>
  <si>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</si>
  <si>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</si>
  <si>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</si>
  <si>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</si>
  <si>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</si>
  <si>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</si>
  <si>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</si>
  <si>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</si>
  <si>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</si>
  <si>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</si>
  <si>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</si>
  <si>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</si>
  <si>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</si>
  <si>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</si>
  <si>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</si>
  <si>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</si>
  <si>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</si>
  <si>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</si>
  <si>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</si>
  <si>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</si>
  <si>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</si>
  <si>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</si>
  <si>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</si>
  <si>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</si>
  <si>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</si>
  <si>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</si>
  <si>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</si>
  <si>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</si>
  <si>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</si>
  <si>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</si>
  <si>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</si>
  <si>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</si>
  <si>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</si>
  <si>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</si>
  <si>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</si>
  <si>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</si>
  <si>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</si>
  <si>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</si>
  <si>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</si>
  <si>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</si>
  <si>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</si>
  <si>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</si>
  <si>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</si>
  <si>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</si>
  <si>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</si>
  <si>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</si>
  <si>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</si>
  <si>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</si>
  <si>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</si>
  <si>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</si>
  <si>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</si>
  <si>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</si>
  <si>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</si>
  <si>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</si>
  <si>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</si>
  <si>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</si>
  <si>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</si>
  <si>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</si>
  <si>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</si>
  <si>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</si>
  <si>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</si>
  <si>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</si>
  <si>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</si>
  <si>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</si>
  <si>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</si>
  <si>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</si>
  <si>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</si>
  <si>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</si>
  <si>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</si>
  <si>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</si>
  <si>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</si>
  <si>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</si>
  <si>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</si>
  <si>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</si>
  <si>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</si>
  <si>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</si>
  <si>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</si>
  <si>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</si>
  <si>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</si>
  <si>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</si>
  <si>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</si>
  <si>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</si>
  <si>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</si>
  <si>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</si>
  <si>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</si>
  <si>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</si>
  <si>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</si>
  <si>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</si>
  <si>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</si>
  <si>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</si>
  <si>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</si>
  <si>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</si>
  <si>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</si>
  <si>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</si>
  <si>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</si>
  <si>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</si>
  <si>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</si>
  <si>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</si>
  <si>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</si>
  <si>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</si>
  <si>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</si>
  <si>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</si>
  <si>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</si>
  <si>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</si>
  <si>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</si>
  <si>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</si>
  <si>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</si>
  <si>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</si>
  <si>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</si>
  <si>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</si>
  <si>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</si>
  <si>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</si>
  <si>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</si>
  <si>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</si>
  <si>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</si>
  <si>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</si>
  <si>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</si>
  <si>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</si>
  <si>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</si>
  <si>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</si>
  <si>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</si>
  <si>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</si>
  <si>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</si>
  <si>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</si>
  <si>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</si>
  <si>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</si>
  <si>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</si>
  <si>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</si>
  <si>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</si>
  <si>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</si>
  <si>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</si>
  <si>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</si>
  <si>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</si>
  <si>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</si>
  <si>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</si>
  <si>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</si>
  <si>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</si>
  <si>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</si>
  <si>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</si>
  <si>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</si>
  <si>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</si>
  <si>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</si>
  <si>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</si>
  <si>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</si>
  <si>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</si>
  <si>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</si>
  <si>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</si>
  <si>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</si>
  <si>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</si>
  <si>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</si>
  <si>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</si>
  <si>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</si>
  <si>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</si>
  <si>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</si>
  <si>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</si>
  <si>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</si>
  <si>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</si>
  <si>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</si>
  <si>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</si>
  <si>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</si>
  <si>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</si>
  <si>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</si>
  <si>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</si>
  <si>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</si>
  <si>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</si>
  <si>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</si>
  <si>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</si>
  <si>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</si>
  <si>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</si>
  <si>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</si>
  <si>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</si>
  <si>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</si>
  <si>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</si>
  <si>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</si>
  <si>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</si>
  <si>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</si>
  <si>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</si>
  <si>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</si>
  <si>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</si>
  <si>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</si>
  <si>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</si>
  <si>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</si>
  <si>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</si>
  <si>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</si>
  <si>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</si>
  <si>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</si>
  <si>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</si>
  <si>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</si>
  <si>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</si>
  <si>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</si>
  <si>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</si>
  <si>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</si>
  <si>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</si>
  <si>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</si>
  <si>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</si>
  <si>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</si>
  <si>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</si>
  <si>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</si>
  <si>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</si>
  <si>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</si>
  <si>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</si>
  <si>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</si>
  <si>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</si>
  <si>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</si>
  <si>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</si>
  <si>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</si>
  <si>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</si>
  <si>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</si>
  <si>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</si>
  <si>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</si>
  <si>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</si>
  <si>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</si>
  <si>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</si>
  <si>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</si>
  <si>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</si>
  <si>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</si>
  <si>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</si>
  <si>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</si>
  <si>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</si>
  <si>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</si>
  <si>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</si>
  <si>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</si>
  <si>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</si>
  <si>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</si>
  <si>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</si>
  <si>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</si>
  <si>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</si>
  <si>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</si>
  <si>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</si>
  <si>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</si>
  <si>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</si>
  <si>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</si>
  <si>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</si>
  <si>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</si>
  <si>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</si>
  <si>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</si>
  <si>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</si>
  <si>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</si>
  <si>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</si>
  <si>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</si>
  <si>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</si>
  <si>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</si>
  <si>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</si>
  <si>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</si>
  <si>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</si>
  <si>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</si>
  <si>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</si>
  <si>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</si>
  <si>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</si>
  <si>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</si>
  <si>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</si>
  <si>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</si>
  <si>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</si>
  <si>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</si>
  <si>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</si>
  <si>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</si>
  <si>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</si>
  <si>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</si>
  <si>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</si>
  <si>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</si>
  <si>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</si>
  <si>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</si>
  <si>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</si>
  <si>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</si>
  <si>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</si>
  <si>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</si>
  <si>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</si>
  <si>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</si>
  <si>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</si>
  <si>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</si>
  <si>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</si>
  <si>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</si>
  <si>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</si>
  <si>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</si>
  <si>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</si>
  <si>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</si>
  <si>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</si>
  <si>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</si>
  <si>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</si>
  <si>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</si>
  <si>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</si>
  <si>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</si>
  <si>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</si>
  <si>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</si>
  <si>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</si>
  <si>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</si>
  <si>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</si>
  <si>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</si>
  <si>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</si>
  <si>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</si>
  <si>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</si>
  <si>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</si>
  <si>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</si>
  <si>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</si>
  <si>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</si>
  <si>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</si>
  <si>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</si>
  <si>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</si>
  <si>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</si>
  <si>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</si>
  <si>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</si>
  <si>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</si>
  <si>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</si>
  <si>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</si>
  <si>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</si>
  <si>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</si>
  <si>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</si>
  <si>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</si>
  <si>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</si>
  <si>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</si>
  <si>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</si>
  <si>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</si>
  <si>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</si>
  <si>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</si>
  <si>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</si>
  <si>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</si>
  <si>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</si>
  <si>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</si>
  <si>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</si>
  <si>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</si>
  <si>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</si>
  <si>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</si>
  <si>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</si>
  <si>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</si>
  <si>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</si>
  <si>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</si>
  <si>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</si>
  <si>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</si>
  <si>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</si>
  <si>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</si>
  <si>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</si>
  <si>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</si>
  <si>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</si>
  <si>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</si>
  <si>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</si>
  <si>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</si>
  <si>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</si>
  <si>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</si>
  <si>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</si>
  <si>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</si>
  <si>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</si>
  <si>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</si>
  <si>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</si>
  <si>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</si>
  <si>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</si>
  <si>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</si>
  <si>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</si>
  <si>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</si>
  <si>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</si>
  <si>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</si>
  <si>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</si>
  <si>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</si>
  <si>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</si>
  <si>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</si>
  <si>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</si>
  <si>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</si>
  <si>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</si>
  <si>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</si>
  <si>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</si>
  <si>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</si>
  <si>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</si>
  <si>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</si>
  <si>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</si>
  <si>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</si>
  <si>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</si>
  <si>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</si>
  <si>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</si>
  <si>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</si>
  <si>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</si>
  <si>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</si>
  <si>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</si>
  <si>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</si>
  <si>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</si>
  <si>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</si>
  <si>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</si>
  <si>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</si>
  <si>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</si>
  <si>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</si>
  <si>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</si>
  <si>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</si>
  <si>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</si>
  <si>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</si>
  <si>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</si>
  <si>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</si>
  <si>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</si>
  <si>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</si>
  <si>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</si>
  <si>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</si>
  <si>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</si>
  <si>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</si>
  <si>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</si>
  <si>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</si>
  <si>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</si>
  <si>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</si>
  <si>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</si>
  <si>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</si>
  <si>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</si>
  <si>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</si>
  <si>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</si>
  <si>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</si>
  <si>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</si>
  <si>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</si>
  <si>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</si>
  <si>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</si>
  <si>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</si>
  <si>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</si>
  <si>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</si>
  <si>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</si>
  <si>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</si>
  <si>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</si>
  <si>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</si>
  <si>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</si>
  <si>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</si>
  <si>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</si>
  <si>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</si>
  <si>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</si>
  <si>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</si>
  <si>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</si>
  <si>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</si>
  <si>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</si>
  <si>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</si>
  <si>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</si>
  <si>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</si>
  <si>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</si>
  <si>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</si>
  <si>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</si>
  <si>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</si>
  <si>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</si>
  <si>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</si>
  <si>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</si>
  <si>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</si>
  <si>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</si>
  <si>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</si>
  <si>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</si>
  <si>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</si>
  <si>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</si>
  <si>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</si>
  <si>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</si>
  <si>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</si>
  <si>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</si>
  <si>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</si>
  <si>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</si>
  <si>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</si>
  <si>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</si>
  <si>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</si>
  <si>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</si>
  <si>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</si>
  <si>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</si>
  <si>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</si>
  <si>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</si>
  <si>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</si>
  <si>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</si>
  <si>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</si>
  <si>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</si>
  <si>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</si>
  <si>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</si>
  <si>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</si>
  <si>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</si>
  <si>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</si>
  <si>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</si>
  <si>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</si>
  <si>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</si>
  <si>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</si>
  <si>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</si>
  <si>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</si>
  <si>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</si>
  <si>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</si>
  <si>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</si>
  <si>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</si>
  <si>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</si>
  <si>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</si>
  <si>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</si>
  <si>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</si>
  <si>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</si>
  <si>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</si>
  <si>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</si>
  <si>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</si>
  <si>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</si>
  <si>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</si>
  <si>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</si>
  <si>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</si>
  <si>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</si>
  <si>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</si>
  <si>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</si>
  <si>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</si>
  <si>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</si>
  <si>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</si>
  <si>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</si>
  <si>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</si>
  <si>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</si>
  <si>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</si>
  <si>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</si>
  <si>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</si>
  <si>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</si>
  <si>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</si>
  <si>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</si>
  <si>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</si>
  <si>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</si>
  <si>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</si>
  <si>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</si>
  <si>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</si>
  <si>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</si>
  <si>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</si>
  <si>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</si>
  <si>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</si>
  <si>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</si>
  <si>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</si>
  <si>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</si>
  <si>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</si>
  <si>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</si>
  <si>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</si>
  <si>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</si>
  <si>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</si>
  <si>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</si>
  <si>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</si>
  <si>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</si>
  <si>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</si>
  <si>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</si>
  <si>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</si>
  <si>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</si>
  <si>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</si>
  <si>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</si>
  <si>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</si>
  <si>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</si>
  <si>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</si>
  <si>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</si>
  <si>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</si>
  <si>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</si>
  <si>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</si>
  <si>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</si>
  <si>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</si>
  <si>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</si>
  <si>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</si>
  <si>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</si>
  <si>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</si>
  <si>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</si>
  <si>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</si>
  <si>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</si>
  <si>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</si>
  <si>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</si>
  <si>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</si>
  <si>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</si>
  <si>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</si>
  <si>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</si>
  <si>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</si>
  <si>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</si>
  <si>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</si>
  <si>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</si>
  <si>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</si>
  <si>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</si>
  <si>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</si>
  <si>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</si>
  <si>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</si>
  <si>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</si>
  <si>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</si>
  <si>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</si>
  <si>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</si>
  <si>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</si>
  <si>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</si>
  <si>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</si>
  <si>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</si>
  <si>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</si>
  <si>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</si>
  <si>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</si>
  <si>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</si>
  <si>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</si>
  <si>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</si>
  <si>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</si>
  <si>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</si>
  <si>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</si>
  <si>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</si>
  <si>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</si>
  <si>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</si>
  <si>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</si>
  <si>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</si>
  <si>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</si>
  <si>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</si>
  <si>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</si>
  <si>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</si>
  <si>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</si>
  <si>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</si>
  <si>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</si>
  <si>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</si>
  <si>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</si>
  <si>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</si>
  <si>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</si>
  <si>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</si>
  <si>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</si>
  <si>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</si>
  <si>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</si>
  <si>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</si>
  <si>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</si>
  <si>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</si>
  <si>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</si>
  <si>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</si>
  <si>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</si>
  <si>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</si>
  <si>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</si>
  <si>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</si>
  <si>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</si>
  <si>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</si>
  <si>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</si>
  <si>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</si>
  <si>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</si>
  <si>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</si>
  <si>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</si>
  <si>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</si>
  <si>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</si>
  <si>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</si>
  <si>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</si>
  <si>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</si>
  <si>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</si>
  <si>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</si>
  <si>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</si>
  <si>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</si>
  <si>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</si>
  <si>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</si>
  <si>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</si>
  <si>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</si>
  <si>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</si>
  <si>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</si>
  <si>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</si>
  <si>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</si>
  <si>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</si>
  <si>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</si>
  <si>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</si>
  <si>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</si>
  <si>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</si>
  <si>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</si>
  <si>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</si>
  <si>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</si>
  <si>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</si>
  <si>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</si>
  <si>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</si>
  <si>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</si>
  <si>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</si>
  <si>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</si>
  <si>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</si>
  <si>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</si>
  <si>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</si>
  <si>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</si>
  <si>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</si>
  <si>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</si>
  <si>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</si>
  <si>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</si>
  <si>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</si>
  <si>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</si>
  <si>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</si>
  <si>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</si>
  <si>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</si>
  <si>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</si>
  <si>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</si>
  <si>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</si>
  <si>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</si>
  <si>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</si>
  <si>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</si>
  <si>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</si>
  <si>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</si>
  <si>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</si>
  <si>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</si>
  <si>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</si>
  <si>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</si>
  <si>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</si>
  <si>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</si>
  <si>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</si>
  <si>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</si>
  <si>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</si>
  <si>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</si>
  <si>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</si>
  <si>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</si>
  <si>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</si>
  <si>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</si>
  <si>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</si>
  <si>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</si>
  <si>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</si>
  <si>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</si>
  <si>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</si>
  <si>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</si>
  <si>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</si>
  <si>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</si>
  <si>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</si>
  <si>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</si>
  <si>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</si>
  <si>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</si>
  <si>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</si>
  <si>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</si>
  <si>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</si>
  <si>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</si>
  <si>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</si>
  <si>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</si>
  <si>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</si>
  <si>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</si>
  <si>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</si>
  <si>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</si>
  <si>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</si>
  <si>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</si>
  <si>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</si>
  <si>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</si>
  <si>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</si>
  <si>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</si>
  <si>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</si>
  <si>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</si>
  <si>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</si>
  <si>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</si>
  <si>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</si>
  <si>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</si>
  <si>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</si>
  <si>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</si>
  <si>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</si>
  <si>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</si>
  <si>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</si>
  <si>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</si>
  <si>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</si>
  <si>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</si>
  <si>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</si>
  <si>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</si>
  <si>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</si>
  <si>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</si>
  <si>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</si>
  <si>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</si>
  <si>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</si>
  <si>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</si>
  <si>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</si>
  <si>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</si>
  <si>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</si>
  <si>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</si>
  <si>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</si>
  <si>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</si>
  <si>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</si>
  <si>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</si>
  <si>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</si>
  <si>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</si>
  <si>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</si>
  <si>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</si>
  <si>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</si>
  <si>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</si>
  <si>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</si>
  <si>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</si>
  <si>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</si>
  <si>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</si>
  <si>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</si>
  <si>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</si>
  <si>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</si>
  <si>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</si>
  <si>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</si>
  <si>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</si>
  <si>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</si>
  <si>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</si>
  <si>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</si>
  <si>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</si>
  <si>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</si>
  <si>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</si>
  <si>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</si>
  <si>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</si>
  <si>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</si>
  <si>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</si>
  <si>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</si>
  <si>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</si>
  <si>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</si>
  <si>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</si>
  <si>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</si>
  <si>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</si>
  <si>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</si>
  <si>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</si>
  <si>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</si>
  <si>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</si>
  <si>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</si>
  <si>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</si>
  <si>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</si>
  <si>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</si>
  <si>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</si>
  <si>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</si>
  <si>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</si>
  <si>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</si>
  <si>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</si>
  <si>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</si>
  <si>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</si>
  <si>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</si>
  <si>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</si>
  <si>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</si>
  <si>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</si>
  <si>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</si>
  <si>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</si>
  <si>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</si>
  <si>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</si>
  <si>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</si>
  <si>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</si>
  <si>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</si>
  <si>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</si>
  <si>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</si>
  <si>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</si>
  <si>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</si>
  <si>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</si>
  <si>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</si>
  <si>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</si>
  <si>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</si>
  <si>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</si>
  <si>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</si>
  <si>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</si>
  <si>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</si>
  <si>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</si>
  <si>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</si>
  <si>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</si>
  <si>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</si>
  <si>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</si>
  <si>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</si>
  <si>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</si>
  <si>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</si>
  <si>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</si>
  <si>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</si>
  <si>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</si>
  <si>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</si>
  <si>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</si>
  <si>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</si>
  <si>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</si>
  <si>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</si>
  <si>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</si>
  <si>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</si>
  <si>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</si>
  <si>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</si>
  <si>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</si>
  <si>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</si>
  <si>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</si>
  <si>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</si>
  <si>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</si>
  <si>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</si>
  <si>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</si>
  <si>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</si>
  <si>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</si>
  <si>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</si>
  <si>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</si>
  <si>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</si>
  <si>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</si>
  <si>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</si>
  <si>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</si>
  <si>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</si>
  <si>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</si>
  <si>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</si>
  <si>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</si>
  <si>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</si>
  <si>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</si>
  <si>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</si>
  <si>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</si>
  <si>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</si>
  <si>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</si>
  <si>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</si>
  <si>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</si>
  <si>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</si>
  <si>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</si>
  <si>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</si>
  <si>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</si>
  <si>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</si>
  <si>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</si>
  <si>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</si>
  <si>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</si>
  <si>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</si>
  <si>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</si>
  <si>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</si>
  <si>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</si>
  <si>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</si>
  <si>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</si>
  <si>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</si>
  <si>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</si>
  <si>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</si>
  <si>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</si>
  <si>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</si>
  <si>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</si>
  <si>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</si>
  <si>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</si>
  <si>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</si>
  <si>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</si>
  <si>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</si>
  <si>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</si>
  <si>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</si>
  <si>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</si>
  <si>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</si>
  <si>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</si>
  <si>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</si>
  <si>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</si>
  <si>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</si>
  <si>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</si>
  <si>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</si>
  <si>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</si>
  <si>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</si>
  <si>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</si>
  <si>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</si>
  <si>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</si>
  <si>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</si>
  <si>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</si>
  <si>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</si>
  <si>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</si>
  <si>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</si>
  <si>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</si>
  <si>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</si>
  <si>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</si>
  <si>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</si>
  <si>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</si>
  <si>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</si>
  <si>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</si>
  <si>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</si>
  <si>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</si>
  <si>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</si>
  <si>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</si>
  <si>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</si>
  <si>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</si>
  <si>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</si>
  <si>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</si>
  <si>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</si>
  <si>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</si>
  <si>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</si>
  <si>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</si>
  <si>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</si>
  <si>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</si>
  <si>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</si>
  <si>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</si>
  <si>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</si>
  <si>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</si>
  <si>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</si>
  <si>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</si>
  <si>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</si>
  <si>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</si>
  <si>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</si>
  <si>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</si>
  <si>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</si>
  <si>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</si>
  <si>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</si>
  <si>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</si>
  <si>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</si>
  <si>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</si>
  <si>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</si>
  <si>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</si>
  <si>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</si>
  <si>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</si>
  <si>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</si>
  <si>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</si>
  <si>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</si>
  <si>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</si>
  <si>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</si>
  <si>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</si>
  <si>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</si>
  <si>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</si>
  <si>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</si>
  <si>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</si>
  <si>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</si>
  <si>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</si>
  <si>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</si>
  <si>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</si>
  <si>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</si>
  <si>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</si>
  <si>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</si>
  <si>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</si>
  <si>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</si>
  <si>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</si>
  <si>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</si>
  <si>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</si>
  <si>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</si>
  <si>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</si>
  <si>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</si>
  <si>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</si>
  <si>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</si>
  <si>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</si>
  <si>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</si>
  <si>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</si>
  <si>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</si>
  <si>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</si>
  <si>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</si>
  <si>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</si>
  <si>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</si>
  <si>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</si>
  <si>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</si>
  <si>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</si>
  <si>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</si>
  <si>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</si>
  <si>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</si>
  <si>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</si>
  <si>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</si>
  <si>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</si>
  <si>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</si>
  <si>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</si>
  <si>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</si>
  <si>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</si>
  <si>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</si>
  <si>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</si>
  <si>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</si>
  <si>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</si>
  <si>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</si>
  <si>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</si>
  <si>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</si>
  <si>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</si>
  <si>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</si>
  <si>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</si>
  <si>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</si>
  <si>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</si>
  <si>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</si>
  <si>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</si>
  <si>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</si>
  <si>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</si>
  <si>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</si>
  <si>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</si>
  <si>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</si>
  <si>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</si>
  <si>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</si>
  <si>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</si>
  <si>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</si>
  <si>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</si>
  <si>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</si>
  <si>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</si>
  <si>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</si>
  <si>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</si>
  <si>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</si>
  <si>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</si>
  <si>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</si>
  <si>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</si>
  <si>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</si>
  <si>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</si>
  <si>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</si>
  <si>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</si>
  <si>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</si>
  <si>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</si>
  <si>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</si>
  <si>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</si>
  <si>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</si>
  <si>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</si>
  <si>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</si>
  <si>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</si>
  <si>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</si>
  <si>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</si>
  <si>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</si>
  <si>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</si>
  <si>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</si>
  <si>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</si>
  <si>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</si>
  <si>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</si>
  <si>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</si>
  <si>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</si>
  <si>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</si>
  <si>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</si>
  <si>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</si>
  <si>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</si>
  <si>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</si>
  <si>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</si>
  <si>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</si>
  <si>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</si>
  <si>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</si>
  <si>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</si>
  <si>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</si>
  <si>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</si>
  <si>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</si>
  <si>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</si>
  <si>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</si>
  <si>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</si>
  <si>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</si>
  <si>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</si>
  <si>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</si>
  <si>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</si>
  <si>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</si>
  <si>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</si>
  <si>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</si>
  <si>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</si>
  <si>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</si>
  <si>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</si>
  <si>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</si>
  <si>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</si>
  <si>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</si>
  <si>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</si>
  <si>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</si>
  <si>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</si>
  <si>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</si>
  <si>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</si>
  <si>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</si>
  <si>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</si>
  <si>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</si>
  <si>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</si>
  <si>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</si>
  <si>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</si>
  <si>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</si>
  <si>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</si>
  <si>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</si>
  <si>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</si>
  <si>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</si>
  <si>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</si>
  <si>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</si>
  <si>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</si>
  <si>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</si>
  <si>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</si>
  <si>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</si>
  <si>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</si>
  <si>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</si>
  <si>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</si>
  <si>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</si>
  <si>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</si>
  <si>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</si>
  <si>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</si>
  <si>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</si>
  <si>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</si>
  <si>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</si>
  <si>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</si>
  <si>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</si>
  <si>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</si>
  <si>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</si>
  <si>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</si>
  <si>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</si>
  <si>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</si>
  <si>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</si>
  <si>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</si>
  <si>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</si>
  <si>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</si>
  <si>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</si>
  <si>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</si>
  <si>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</si>
  <si>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</si>
  <si>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</si>
  <si>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</si>
  <si>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</si>
  <si>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</si>
  <si>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</si>
  <si>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</si>
  <si>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</si>
  <si>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</si>
  <si>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</si>
  <si>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</si>
  <si>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</si>
  <si>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</si>
  <si>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</si>
  <si>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</si>
  <si>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</si>
  <si>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</si>
  <si>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</si>
  <si>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</si>
  <si>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</si>
  <si>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</si>
  <si>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</si>
  <si>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</si>
  <si>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</si>
  <si>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</si>
  <si>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</si>
  <si>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</si>
  <si>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</si>
  <si>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</si>
  <si>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</si>
  <si>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</si>
  <si>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</si>
  <si>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</si>
  <si>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</si>
  <si>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</si>
  <si>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</si>
  <si>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</si>
  <si>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</si>
  <si>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</si>
  <si>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</si>
  <si>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</si>
  <si>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</si>
  <si>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</si>
  <si>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</si>
  <si>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</si>
  <si>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</si>
  <si>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</si>
  <si>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</si>
  <si>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</si>
  <si>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</si>
  <si>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</si>
  <si>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</si>
  <si>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</si>
  <si>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</si>
  <si>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</si>
  <si>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</si>
  <si>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</si>
  <si>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</si>
  <si>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</si>
  <si>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</si>
  <si>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</si>
  <si>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</si>
  <si>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</si>
  <si>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</si>
  <si>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</si>
  <si>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</si>
  <si>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</si>
  <si>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</si>
  <si>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</si>
  <si>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</si>
  <si>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</si>
  <si>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</si>
  <si>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</si>
  <si>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</si>
  <si>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</si>
  <si>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</si>
  <si>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</si>
  <si>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</si>
  <si>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</si>
  <si>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</si>
  <si>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</si>
  <si>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</si>
  <si>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</si>
  <si>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</si>
  <si>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</si>
  <si>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</si>
  <si>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</si>
  <si>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</si>
  <si>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</si>
  <si>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</si>
  <si>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</si>
  <si>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</si>
  <si>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</si>
  <si>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</si>
  <si>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</si>
  <si>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</si>
  <si>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</si>
  <si>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</si>
  <si>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</si>
  <si>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</si>
  <si>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</si>
  <si>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</si>
  <si>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</si>
  <si>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</si>
  <si>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</si>
  <si>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</si>
  <si>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</si>
  <si>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</si>
  <si>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</si>
  <si>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</si>
  <si>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</si>
  <si>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</si>
  <si>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</si>
  <si>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</si>
  <si>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</si>
  <si>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</si>
  <si>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</si>
  <si>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</si>
  <si>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</si>
  <si>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</si>
  <si>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</si>
  <si>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</si>
  <si>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</si>
  <si>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</si>
  <si>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</si>
  <si>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</si>
  <si>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</si>
  <si>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</si>
  <si>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</si>
  <si>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</si>
  <si>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</si>
  <si>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</si>
  <si>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</si>
  <si>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</si>
  <si>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</si>
  <si>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</si>
  <si>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</si>
  <si>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</si>
  <si>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</si>
  <si>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</si>
  <si>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</si>
  <si>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</si>
  <si>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</si>
  <si>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</si>
  <si>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</si>
  <si>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</si>
  <si>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</si>
  <si>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</si>
  <si>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</si>
  <si>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</si>
  <si>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</si>
  <si>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</si>
  <si>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</si>
  <si>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</si>
  <si>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</si>
  <si>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</si>
  <si>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</si>
  <si>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</si>
  <si>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</si>
  <si>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</si>
  <si>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</si>
  <si>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</si>
  <si>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</si>
  <si>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</si>
  <si>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</si>
  <si>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</si>
  <si>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</si>
  <si>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</si>
  <si>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</si>
  <si>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</si>
  <si>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</si>
  <si>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</si>
  <si>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</si>
  <si>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</si>
  <si>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</si>
  <si>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</si>
  <si>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</si>
  <si>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</si>
  <si>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</si>
  <si>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</si>
  <si>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</si>
  <si>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</si>
  <si>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</si>
  <si>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</si>
  <si>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</si>
  <si>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</si>
  <si>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</si>
  <si>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</si>
  <si>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</si>
  <si>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</si>
  <si>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</si>
  <si>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</si>
  <si>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</si>
  <si>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</si>
  <si>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</si>
  <si>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</si>
  <si>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</si>
  <si>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</si>
  <si>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</si>
  <si>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</si>
  <si>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</si>
  <si>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</si>
  <si>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</si>
  <si>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</si>
  <si>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</si>
  <si>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</si>
  <si>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</si>
  <si>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</si>
  <si>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</si>
  <si>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</si>
  <si>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</si>
  <si>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</si>
  <si>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</si>
  <si>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</si>
  <si>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</si>
  <si>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</si>
  <si>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</si>
  <si>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</si>
  <si>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</si>
  <si>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</si>
  <si>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</si>
  <si>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</si>
  <si>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</si>
  <si>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</si>
  <si>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</si>
  <si>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</si>
  <si>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</si>
  <si>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</si>
  <si>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</si>
  <si>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</si>
  <si>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</si>
  <si>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</si>
  <si>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</si>
  <si>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</si>
  <si>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</si>
  <si>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</si>
  <si>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</si>
  <si>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</si>
  <si>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</si>
  <si>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</si>
  <si>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</si>
  <si>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</si>
  <si>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</si>
  <si>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</si>
  <si>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</si>
  <si>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</si>
  <si>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</si>
  <si>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</si>
  <si>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</si>
  <si>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</si>
  <si>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</si>
  <si>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</si>
  <si>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</si>
  <si>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</si>
  <si>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</si>
  <si>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</si>
  <si>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</si>
  <si>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</si>
  <si>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</si>
  <si>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</si>
  <si>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</si>
  <si>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</si>
  <si>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</si>
  <si>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</si>
  <si>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</si>
  <si>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</si>
  <si>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</si>
  <si>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</si>
  <si>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</si>
  <si>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</si>
  <si>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</si>
  <si>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</si>
  <si>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</si>
  <si>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</si>
  <si>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</si>
  <si>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</si>
  <si>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</si>
  <si>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</si>
  <si>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</si>
  <si>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</si>
  <si>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</si>
  <si>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</si>
  <si>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</si>
  <si>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</si>
  <si>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</si>
  <si>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</si>
  <si>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</si>
  <si>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</si>
  <si>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</si>
  <si>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</si>
  <si>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</si>
  <si>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</si>
  <si>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</si>
  <si>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</si>
  <si>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</si>
  <si>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</si>
  <si>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</si>
  <si>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</si>
  <si>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</si>
  <si>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</si>
  <si>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</si>
  <si>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</si>
  <si>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</si>
  <si>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</si>
  <si>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</si>
  <si>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</si>
  <si>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</si>
  <si>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</si>
  <si>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</si>
  <si>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</si>
  <si>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</si>
  <si>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</si>
  <si>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</si>
  <si>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</si>
  <si>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</si>
  <si>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</si>
  <si>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</si>
  <si>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</si>
  <si>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</si>
  <si>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</si>
  <si>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</si>
  <si>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</si>
  <si>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</si>
  <si>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</si>
  <si>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</si>
  <si>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</si>
  <si>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</si>
  <si>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</si>
  <si>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</si>
  <si>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</si>
  <si>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</si>
  <si>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</si>
  <si>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</si>
  <si>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</si>
  <si>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</si>
  <si>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</si>
  <si>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</si>
  <si>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</si>
  <si>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</si>
  <si>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</si>
  <si>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</si>
  <si>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</si>
  <si>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</si>
  <si>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</si>
  <si>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</si>
  <si>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</si>
  <si>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</si>
  <si>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</si>
  <si>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</si>
  <si>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</si>
  <si>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</si>
  <si>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</si>
  <si>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</si>
  <si>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</si>
  <si>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</si>
  <si>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</si>
  <si>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</si>
  <si>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</si>
  <si>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</si>
  <si>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</si>
  <si>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</si>
  <si>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</si>
  <si>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</si>
  <si>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</si>
  <si>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</si>
  <si>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</si>
  <si>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</si>
  <si>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</si>
  <si>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</si>
  <si>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</si>
  <si>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</si>
  <si>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</si>
  <si>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</si>
  <si>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</si>
  <si>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</si>
  <si>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</si>
  <si>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</si>
  <si>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</si>
  <si>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</si>
  <si>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</si>
  <si>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</si>
  <si>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</si>
  <si>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</si>
  <si>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</si>
  <si>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</si>
  <si>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</si>
  <si>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</si>
  <si>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</si>
  <si>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</si>
  <si>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</si>
  <si>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</si>
  <si>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</si>
  <si>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</si>
  <si>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</si>
  <si>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</si>
  <si>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</si>
  <si>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</si>
  <si>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</si>
  <si>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</si>
  <si>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</si>
  <si>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</si>
  <si>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</si>
  <si>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</si>
  <si>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</si>
  <si>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</si>
  <si>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</si>
  <si>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</si>
  <si>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</si>
  <si>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</si>
  <si>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</si>
  <si>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</si>
  <si>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</si>
  <si>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</si>
  <si>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</si>
  <si>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</si>
  <si>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</si>
  <si>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</si>
  <si>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</si>
  <si>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</si>
  <si>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</si>
  <si>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</si>
  <si>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</si>
  <si>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</si>
  <si>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</si>
  <si>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</si>
  <si>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</si>
  <si>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</si>
  <si>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</si>
  <si>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</si>
  <si>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</si>
  <si>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</si>
  <si>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</si>
  <si>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</si>
  <si>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</si>
  <si>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</si>
  <si>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</si>
  <si>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</si>
  <si>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</si>
  <si>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</si>
  <si>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</si>
  <si>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</si>
  <si>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</si>
  <si>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</si>
  <si>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</si>
  <si>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</si>
  <si>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</si>
  <si>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</si>
  <si>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</si>
  <si>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</si>
  <si>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</si>
  <si>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</si>
  <si>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</si>
  <si>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</si>
  <si>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</si>
  <si>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</si>
  <si>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</si>
  <si>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</si>
  <si>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</si>
  <si>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</si>
  <si>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</si>
  <si>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</si>
  <si>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</si>
  <si>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</si>
  <si>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</si>
  <si>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</si>
  <si>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</si>
  <si>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</si>
  <si>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</si>
  <si>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</si>
  <si>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</si>
  <si>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</si>
  <si>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</si>
  <si>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</si>
  <si>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</si>
  <si>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</si>
  <si>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</si>
  <si>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</si>
  <si>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</si>
  <si>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</si>
  <si>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</si>
  <si>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</si>
  <si>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</si>
  <si>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</si>
  <si>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</si>
  <si>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</si>
  <si>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</si>
  <si>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</si>
  <si>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</si>
  <si>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</si>
  <si>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</si>
  <si>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</si>
  <si>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</si>
  <si>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</si>
  <si>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</si>
  <si>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</si>
  <si>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</si>
  <si>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</si>
  <si>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</si>
  <si>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</si>
  <si>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</si>
  <si>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</si>
  <si>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</si>
  <si>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</si>
  <si>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</si>
  <si>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</si>
  <si>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</si>
  <si>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</si>
  <si>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</si>
  <si>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</si>
  <si>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</si>
  <si>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</si>
  <si>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</si>
  <si>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</si>
  <si>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</si>
  <si>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</si>
  <si>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</si>
  <si>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</si>
  <si>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</si>
  <si>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</si>
  <si>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</si>
  <si>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</si>
  <si>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</si>
  <si>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</si>
  <si>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</si>
  <si>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</si>
  <si>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</si>
  <si>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</si>
  <si>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</si>
  <si>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</si>
  <si>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</si>
  <si>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</si>
  <si>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</si>
  <si>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</si>
  <si>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</si>
  <si>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</si>
  <si>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</si>
  <si>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</si>
  <si>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</si>
  <si>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</si>
  <si>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</si>
  <si>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</si>
  <si>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</si>
  <si>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</si>
  <si>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</si>
  <si>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</si>
  <si>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</si>
  <si>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</si>
  <si>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</si>
  <si>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</si>
  <si>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</si>
  <si>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</si>
  <si>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</si>
  <si>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</si>
  <si>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</si>
  <si>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</si>
  <si>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</si>
  <si>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</si>
  <si>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</si>
  <si>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</si>
  <si>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</si>
  <si>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</si>
  <si>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</si>
  <si>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</si>
  <si>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</si>
  <si>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</si>
  <si>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</si>
  <si>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</si>
  <si>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</si>
  <si>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</si>
  <si>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</si>
  <si>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</si>
  <si>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</si>
  <si>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</si>
  <si>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</si>
  <si>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</si>
  <si>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</si>
  <si>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</si>
  <si>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</si>
  <si>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</si>
  <si>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</si>
  <si>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</si>
  <si>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</si>
  <si>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</si>
  <si>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</si>
  <si>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</si>
  <si>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</si>
  <si>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</si>
  <si>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</si>
  <si>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</si>
  <si>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</si>
  <si>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</si>
  <si>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</si>
  <si>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</si>
  <si>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</si>
  <si>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</si>
  <si>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</si>
  <si>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</si>
  <si>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</si>
  <si>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</si>
  <si>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</si>
  <si>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</si>
  <si>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</si>
  <si>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</si>
  <si>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</si>
  <si>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</si>
  <si>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</si>
  <si>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</si>
  <si>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</si>
  <si>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</si>
  <si>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</si>
  <si>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</si>
  <si>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</si>
  <si>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</si>
  <si>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</si>
  <si>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</si>
  <si>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</si>
  <si>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</si>
  <si>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</si>
  <si>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</si>
  <si>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</si>
  <si>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</si>
  <si>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</si>
  <si>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</si>
  <si>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</si>
  <si>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</si>
  <si>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</si>
  <si>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</si>
  <si>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</si>
  <si>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</si>
  <si>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</si>
  <si>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</si>
  <si>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</si>
  <si>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</si>
  <si>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</si>
  <si>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</si>
  <si>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</si>
  <si>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</si>
  <si>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</si>
  <si>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</si>
  <si>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</si>
  <si>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</si>
  <si>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</si>
  <si>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</si>
  <si>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</si>
  <si>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</si>
  <si>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</si>
  <si>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</si>
  <si>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</si>
  <si>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</si>
  <si>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</si>
  <si>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</si>
  <si>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</si>
  <si>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</si>
  <si>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</si>
  <si>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</si>
  <si>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</si>
  <si>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</si>
  <si>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</si>
  <si>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</si>
  <si>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</si>
  <si>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</si>
  <si>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</si>
  <si>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</si>
  <si>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</si>
  <si>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</si>
  <si>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</si>
  <si>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</si>
  <si>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</si>
  <si>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</si>
  <si>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</si>
  <si>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</si>
  <si>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</si>
  <si>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</si>
  <si>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</si>
  <si>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</si>
  <si>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</si>
  <si>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</si>
  <si>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</si>
  <si>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</si>
  <si>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</si>
  <si>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</si>
  <si>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</si>
  <si>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</si>
  <si>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</si>
  <si>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</si>
  <si>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</si>
  <si>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</si>
  <si>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</si>
  <si>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</si>
  <si>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</si>
  <si>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</si>
  <si>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</si>
  <si>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</si>
  <si>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</si>
  <si>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</si>
  <si>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</si>
  <si>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</si>
  <si>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</si>
  <si>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</si>
  <si>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</si>
  <si>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</si>
  <si>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</si>
  <si>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</si>
  <si>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</si>
  <si>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</si>
  <si>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</si>
  <si>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</si>
  <si>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</si>
  <si>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</si>
  <si>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</si>
  <si>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</si>
  <si>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</si>
  <si>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</si>
  <si>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</si>
  <si>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</si>
  <si>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</si>
  <si>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</si>
  <si>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</si>
  <si>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</si>
  <si>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</si>
  <si>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</si>
  <si>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</si>
  <si>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</si>
  <si>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</si>
  <si>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</si>
  <si>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</si>
  <si>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</si>
  <si>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</si>
  <si>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</si>
  <si>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</si>
  <si>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</si>
  <si>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</si>
  <si>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</si>
  <si>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</si>
  <si>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</si>
  <si>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</si>
  <si>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</si>
  <si>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</si>
  <si>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</si>
  <si>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</si>
  <si>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</si>
  <si>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</si>
  <si>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</si>
  <si>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</si>
  <si>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</si>
  <si>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</si>
  <si>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</si>
  <si>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</si>
  <si>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</si>
  <si>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</si>
  <si>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</si>
  <si>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</si>
  <si>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</si>
  <si>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</si>
  <si>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</si>
  <si>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</si>
  <si>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</si>
  <si>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</si>
  <si>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</si>
  <si>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</si>
  <si>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</si>
  <si>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</si>
  <si>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</si>
  <si>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</si>
  <si>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</si>
  <si>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</si>
  <si>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</si>
  <si>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</si>
  <si>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</si>
  <si>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</si>
  <si>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</si>
  <si>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</si>
  <si>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</si>
  <si>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</si>
  <si>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</si>
  <si>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</si>
  <si>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</si>
  <si>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</si>
  <si>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</si>
  <si>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</si>
  <si>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</si>
  <si>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</si>
  <si>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</si>
  <si>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</si>
  <si>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</si>
  <si>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</si>
  <si>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</si>
  <si>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</si>
  <si>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</si>
  <si>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</si>
  <si>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</si>
  <si>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</si>
  <si>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</si>
  <si>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</si>
  <si>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</si>
  <si>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</si>
  <si>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</si>
  <si>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</si>
  <si>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</si>
  <si>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</si>
  <si>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</si>
  <si>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</si>
  <si>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</si>
  <si>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</si>
  <si>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</si>
  <si>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</si>
  <si>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</si>
  <si>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</si>
  <si>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</si>
  <si>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</si>
  <si>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</si>
  <si>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</si>
  <si>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</si>
  <si>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</si>
  <si>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</si>
  <si>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</si>
  <si>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</si>
  <si>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</si>
  <si>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</si>
  <si>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</si>
  <si>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</si>
  <si>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</si>
  <si>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</si>
  <si>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</si>
  <si>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</si>
  <si>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</si>
  <si>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</si>
  <si>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</si>
  <si>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</si>
  <si>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</si>
  <si>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</si>
  <si>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</si>
  <si>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</si>
  <si>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</si>
  <si>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</si>
  <si>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</si>
  <si>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</si>
  <si>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</si>
  <si>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</si>
  <si>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</si>
  <si>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</si>
  <si>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</si>
  <si>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</si>
  <si>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</si>
  <si>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</si>
  <si>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</si>
  <si>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</si>
  <si>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</si>
  <si>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</si>
  <si>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</si>
  <si>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</si>
  <si>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</si>
  <si>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</si>
  <si>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</si>
  <si>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</si>
  <si>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</si>
  <si>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</si>
  <si>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</si>
  <si>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</si>
  <si>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</si>
  <si>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</si>
  <si>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</si>
  <si>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</si>
  <si>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</si>
  <si>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</si>
  <si>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</si>
  <si>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</si>
  <si>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</si>
  <si>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</si>
  <si>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</si>
  <si>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</si>
  <si>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</si>
  <si>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</si>
  <si>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</si>
  <si>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</si>
  <si>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</si>
  <si>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</si>
  <si>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</si>
  <si>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</si>
  <si>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</si>
  <si>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</si>
  <si>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</si>
  <si>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</si>
  <si>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</si>
  <si>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</si>
  <si>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</si>
  <si>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</si>
  <si>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</si>
  <si>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</si>
  <si>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</si>
  <si>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</si>
  <si>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</si>
  <si>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</si>
  <si>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</si>
  <si>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</si>
  <si>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</si>
  <si>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</si>
  <si>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</si>
  <si>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</si>
  <si>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</si>
  <si>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</si>
  <si>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</si>
  <si>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</si>
  <si>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</si>
  <si>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</si>
  <si>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</si>
  <si>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</si>
  <si>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</si>
  <si>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</si>
  <si>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</si>
  <si>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</si>
  <si>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</si>
  <si>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</si>
  <si>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</si>
  <si>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</si>
  <si>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</si>
  <si>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</si>
  <si>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</si>
  <si>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</si>
  <si>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</si>
  <si>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</si>
  <si>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</si>
  <si>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</si>
  <si>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</si>
  <si>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</si>
  <si>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</si>
  <si>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</si>
  <si>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</si>
  <si>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</si>
  <si>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</si>
  <si>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</si>
  <si>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</si>
  <si>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</si>
  <si>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</si>
  <si>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</si>
  <si>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</si>
  <si>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</si>
  <si>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</si>
  <si>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</si>
  <si>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</si>
  <si>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</si>
  <si>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</si>
  <si>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</si>
  <si>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</si>
  <si>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</si>
  <si>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</si>
  <si>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</si>
  <si>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</si>
  <si>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</si>
  <si>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</si>
  <si>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</si>
  <si>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</si>
  <si>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</si>
  <si>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</si>
  <si>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</si>
  <si>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</si>
  <si>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</si>
  <si>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</si>
  <si>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</si>
  <si>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</si>
  <si>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</si>
  <si>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</si>
  <si>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</si>
  <si>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</si>
  <si>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</si>
  <si>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</si>
  <si>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</si>
  <si>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</si>
  <si>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</si>
  <si>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</si>
  <si>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</si>
  <si>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</si>
  <si>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</si>
  <si>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</si>
  <si>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</si>
  <si>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</si>
  <si>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</si>
  <si>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</si>
  <si>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</si>
  <si>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</si>
  <si>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</si>
  <si>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</si>
  <si>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</si>
  <si>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</si>
  <si>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</si>
  <si>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</si>
  <si>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</si>
  <si>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</si>
  <si>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</si>
  <si>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</si>
  <si>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</si>
  <si>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</si>
  <si>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</si>
  <si>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</si>
  <si>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</si>
  <si>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</si>
  <si>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</si>
  <si>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</si>
  <si>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</si>
  <si>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</si>
  <si>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</si>
  <si>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</si>
  <si>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</si>
  <si>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</si>
  <si>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</si>
  <si>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</si>
  <si>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</si>
  <si>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</si>
  <si>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</si>
  <si>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</si>
  <si>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</si>
  <si>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</si>
  <si>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</si>
  <si>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</si>
  <si>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</si>
  <si>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</si>
  <si>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</si>
  <si>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</si>
  <si>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</si>
  <si>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</si>
  <si>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</si>
  <si>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</si>
  <si>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</si>
  <si>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</si>
  <si>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</si>
  <si>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</si>
  <si>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</si>
  <si>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</si>
  <si>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</si>
  <si>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</si>
  <si>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</si>
  <si>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</si>
  <si>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</si>
  <si>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</si>
  <si>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</si>
  <si>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</si>
  <si>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</si>
  <si>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</si>
  <si>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</si>
  <si>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</si>
  <si>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</si>
  <si>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</si>
  <si>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</si>
  <si>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</si>
  <si>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</si>
  <si>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</si>
  <si>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</si>
  <si>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</si>
  <si>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</si>
  <si>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</si>
  <si>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</si>
  <si>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</si>
  <si>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</si>
  <si>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</si>
  <si>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</si>
  <si>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</si>
  <si>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</si>
  <si>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</si>
  <si>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</si>
  <si>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</si>
  <si>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</si>
  <si>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</si>
  <si>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</si>
  <si>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</si>
  <si>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</si>
  <si>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</si>
  <si>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</si>
  <si>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</si>
  <si>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</si>
  <si>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</si>
  <si>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</si>
  <si>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</si>
  <si>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</si>
  <si>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</si>
  <si>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</si>
  <si>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</si>
  <si>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</si>
  <si>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</si>
  <si>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</si>
  <si>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</si>
  <si>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</si>
  <si>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</si>
  <si>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</si>
  <si>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</si>
  <si>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</si>
  <si>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</si>
  <si>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</si>
  <si>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</si>
  <si>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</si>
  <si>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</si>
  <si>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</si>
  <si>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</si>
  <si>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</si>
  <si>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</si>
  <si>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</si>
  <si>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</si>
  <si>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</si>
  <si>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</si>
  <si>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</si>
  <si>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</si>
  <si>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</si>
  <si>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</si>
  <si>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</si>
  <si>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</si>
  <si>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</si>
  <si>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</si>
  <si>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</si>
  <si>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</si>
  <si>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</si>
  <si>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</si>
  <si>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</si>
  <si>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</si>
  <si>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</si>
  <si>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</si>
  <si>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</si>
  <si>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</si>
  <si>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</si>
  <si>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</si>
  <si>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</si>
  <si>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</si>
  <si>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</si>
  <si>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</si>
  <si>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</si>
  <si>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</si>
  <si>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</si>
  <si>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</si>
  <si>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</si>
  <si>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</si>
  <si>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</si>
  <si>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</si>
  <si>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</si>
  <si>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</si>
  <si>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</si>
  <si>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</si>
  <si>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</si>
  <si>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</si>
  <si>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</si>
  <si>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</si>
  <si>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</si>
  <si>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</si>
  <si>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</si>
  <si>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</si>
  <si>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</si>
  <si>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</si>
  <si>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</si>
  <si>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</si>
  <si>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</si>
  <si>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</si>
  <si>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</si>
  <si>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</si>
  <si>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</si>
  <si>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</si>
  <si>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</si>
  <si>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</si>
  <si>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</si>
  <si>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</si>
  <si>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</si>
  <si>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</si>
  <si>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</si>
  <si>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</si>
  <si>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</si>
  <si>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</si>
  <si>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</si>
  <si>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</si>
  <si>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</si>
  <si>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</si>
  <si>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</si>
  <si>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</si>
  <si>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</si>
  <si>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</si>
  <si>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</si>
  <si>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</si>
  <si>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</si>
  <si>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</si>
  <si>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</si>
  <si>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</si>
  <si>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</si>
  <si>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</si>
  <si>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</si>
  <si>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</si>
  <si>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</si>
  <si>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</si>
  <si>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</si>
  <si>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</si>
  <si>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</si>
  <si>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</si>
  <si>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</si>
  <si>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</si>
  <si>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</si>
  <si>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</si>
  <si>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</si>
  <si>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</si>
  <si>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</si>
  <si>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</si>
  <si>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</si>
  <si>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</si>
  <si>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</si>
  <si>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</si>
  <si>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</si>
  <si>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</si>
  <si>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</si>
  <si>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</si>
  <si>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</si>
  <si>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</si>
  <si>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</si>
  <si>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</si>
  <si>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</si>
  <si>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</si>
  <si>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</si>
  <si>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</si>
  <si>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</si>
  <si>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</si>
  <si>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</si>
  <si>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</si>
  <si>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</si>
  <si>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</si>
  <si>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</si>
  <si>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</si>
  <si>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</si>
  <si>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</si>
  <si>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</si>
  <si>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</si>
  <si>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</si>
  <si>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</si>
  <si>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</si>
  <si>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</si>
  <si>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</si>
  <si>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</si>
  <si>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</si>
  <si>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</si>
  <si>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</si>
  <si>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</si>
  <si>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</si>
  <si>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</si>
  <si>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</si>
  <si>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</si>
  <si>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</si>
  <si>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</si>
  <si>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</si>
  <si>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</si>
  <si>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</si>
  <si>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</si>
  <si>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</si>
  <si>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</si>
  <si>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</si>
  <si>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</si>
  <si>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</si>
  <si>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</si>
  <si>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</si>
  <si>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</si>
  <si>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</si>
  <si>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</si>
  <si>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</si>
  <si>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</si>
  <si>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</si>
  <si>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</si>
  <si>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</si>
  <si>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</si>
  <si>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</si>
  <si>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</si>
  <si>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</si>
  <si>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</si>
  <si>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</si>
  <si>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</si>
  <si>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</si>
  <si>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</si>
  <si>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</si>
  <si>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</si>
  <si>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</si>
  <si>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</si>
  <si>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</si>
  <si>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</si>
  <si>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</si>
  <si>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</si>
  <si>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</si>
  <si>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</si>
  <si>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</si>
  <si>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</si>
  <si>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</si>
  <si>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</si>
  <si>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</si>
  <si>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</si>
  <si>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</si>
  <si>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</si>
  <si>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</si>
  <si>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</si>
  <si>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</si>
  <si>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</si>
  <si>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</si>
  <si>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</si>
  <si>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</si>
  <si>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</si>
  <si>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</si>
  <si>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</si>
  <si>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</si>
  <si>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</si>
  <si>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</si>
  <si>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</si>
  <si>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</si>
  <si>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</si>
  <si>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</si>
  <si>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</si>
  <si>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</si>
  <si>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</si>
  <si>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</si>
  <si>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</si>
  <si>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</si>
  <si>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</si>
  <si>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</si>
  <si>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</si>
  <si>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</si>
  <si>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</si>
  <si>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</si>
  <si>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</si>
  <si>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</si>
  <si>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</si>
  <si>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</si>
  <si>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</si>
  <si>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</si>
  <si>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</si>
  <si>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</si>
  <si>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</si>
  <si>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</si>
  <si>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</si>
  <si>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</si>
  <si>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</si>
  <si>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</si>
  <si>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</si>
  <si>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</si>
  <si>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</si>
  <si>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</si>
  <si>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</si>
  <si>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</si>
  <si>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</si>
  <si>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</si>
  <si>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</si>
  <si>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</si>
  <si>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</si>
  <si>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</si>
  <si>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</si>
  <si>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</si>
  <si>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</si>
  <si>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</si>
  <si>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</si>
  <si>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</si>
  <si>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</si>
  <si>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</si>
  <si>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</si>
  <si>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</si>
  <si>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</si>
  <si>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</si>
  <si>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</si>
  <si>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</si>
  <si>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</si>
  <si>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</si>
  <si>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</si>
  <si>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</si>
  <si>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</si>
  <si>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</si>
  <si>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</si>
  <si>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</si>
  <si>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</si>
  <si>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</si>
  <si>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</si>
  <si>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</si>
  <si>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</si>
  <si>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</si>
  <si>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</si>
  <si>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</si>
  <si>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</si>
  <si>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</si>
  <si>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</si>
  <si>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</si>
  <si>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</si>
  <si>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</si>
  <si>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</si>
  <si>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</si>
  <si>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</si>
  <si>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</si>
  <si>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</si>
  <si>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</si>
  <si>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</si>
  <si>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</si>
  <si>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</si>
  <si>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</si>
  <si>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</si>
  <si>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</si>
  <si>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</si>
  <si>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</si>
  <si>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</si>
  <si>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</si>
  <si>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</si>
  <si>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</si>
  <si>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</si>
  <si>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</si>
  <si>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</si>
  <si>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</si>
  <si>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</si>
  <si>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</si>
  <si>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</si>
  <si>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</si>
  <si>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</si>
  <si>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</si>
  <si>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</si>
  <si>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</si>
  <si>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</si>
  <si>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</si>
  <si>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</si>
  <si>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</si>
  <si>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</si>
  <si>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</si>
  <si>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</si>
  <si>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</si>
  <si>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</si>
  <si>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</si>
  <si>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</si>
  <si>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</si>
  <si>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</si>
  <si>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</si>
  <si>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</si>
  <si>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</si>
  <si>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</si>
  <si>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</si>
  <si>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</si>
  <si>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</si>
  <si>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</si>
  <si>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</si>
  <si>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</si>
  <si>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</si>
  <si>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</si>
  <si>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</si>
  <si>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</si>
  <si>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</si>
  <si>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</si>
  <si>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</si>
  <si>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</si>
  <si>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</si>
  <si>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</si>
  <si>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</si>
  <si>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</si>
  <si>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</si>
  <si>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</si>
  <si>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</si>
  <si>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</si>
  <si>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</si>
  <si>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</si>
  <si>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</si>
  <si>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</si>
  <si>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</si>
  <si>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</si>
  <si>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</si>
  <si>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</si>
  <si>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</si>
  <si>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</si>
  <si>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</si>
  <si>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</si>
  <si>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</si>
  <si>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</si>
  <si>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</si>
  <si>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</si>
  <si>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</si>
  <si>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</si>
  <si>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</si>
  <si>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</si>
  <si>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</si>
  <si>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</si>
  <si>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</si>
  <si>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</si>
  <si>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</si>
  <si>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</si>
  <si>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</si>
  <si>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</si>
  <si>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</si>
  <si>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</si>
  <si>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</si>
  <si>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</si>
  <si>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</si>
  <si>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</si>
  <si>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</si>
  <si>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</si>
  <si>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</si>
  <si>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</si>
  <si>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</si>
  <si>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</si>
  <si>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</si>
  <si>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</si>
  <si>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</si>
  <si>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</si>
  <si>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</si>
  <si>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</si>
  <si>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</si>
  <si>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</si>
  <si>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</si>
  <si>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</si>
  <si>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</si>
  <si>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</si>
  <si>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</si>
  <si>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</si>
  <si>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</si>
  <si>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</si>
  <si>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</si>
  <si>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</si>
  <si>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</si>
  <si>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</si>
  <si>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</si>
  <si>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</si>
  <si>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</si>
  <si>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</si>
  <si>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</si>
  <si>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</si>
  <si>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</si>
  <si>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</si>
  <si>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</si>
  <si>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</si>
  <si>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</si>
  <si>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</si>
  <si>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</si>
  <si>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</si>
  <si>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</si>
  <si>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</si>
  <si>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</si>
  <si>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</si>
  <si>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</si>
  <si>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</si>
  <si>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</si>
  <si>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</si>
  <si>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</si>
  <si>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</si>
  <si>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</si>
  <si>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</si>
  <si>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</si>
  <si>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</si>
  <si>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</si>
  <si>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</si>
  <si>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</si>
  <si>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</si>
  <si>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</si>
  <si>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</si>
  <si>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</si>
  <si>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</si>
  <si>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</si>
  <si>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</si>
  <si>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</si>
  <si>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</si>
  <si>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</si>
  <si>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</si>
  <si>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</si>
  <si>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</si>
  <si>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</si>
  <si>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</si>
  <si>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</si>
  <si>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</si>
  <si>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</si>
  <si>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</si>
  <si>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</si>
  <si>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</si>
  <si>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</si>
  <si>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</si>
  <si>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</si>
  <si>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</si>
  <si>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</si>
  <si>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</si>
  <si>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</si>
  <si>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</si>
  <si>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</si>
  <si>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</si>
  <si>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</si>
  <si>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</si>
  <si>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</si>
  <si>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</si>
  <si>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</si>
  <si>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</si>
  <si>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</si>
  <si>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</si>
  <si>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</si>
  <si>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</si>
  <si>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</si>
  <si>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</si>
  <si>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</si>
  <si>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</si>
  <si>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</si>
  <si>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</si>
  <si>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</si>
  <si>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</si>
  <si>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</si>
  <si>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</si>
  <si>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</si>
  <si>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</si>
  <si>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</si>
  <si>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</si>
  <si>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</si>
  <si>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</si>
  <si>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</si>
  <si>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</si>
  <si>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</si>
  <si>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</si>
  <si>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</si>
  <si>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</si>
  <si>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</si>
  <si>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</si>
  <si>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</si>
  <si>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</si>
  <si>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</si>
  <si>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</si>
  <si>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</si>
  <si>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</si>
  <si>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</si>
  <si>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</si>
  <si>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</si>
  <si>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</si>
  <si>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</si>
  <si>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</si>
  <si>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</si>
  <si>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</si>
  <si>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</si>
  <si>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</si>
  <si>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</si>
  <si>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</si>
  <si>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</si>
  <si>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</si>
  <si>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</si>
  <si>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</si>
  <si>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</si>
  <si>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</si>
  <si>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</si>
  <si>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</si>
  <si>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</si>
  <si>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</si>
  <si>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</si>
  <si>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</si>
  <si>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</si>
  <si>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</si>
  <si>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</si>
  <si>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</si>
  <si>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</si>
  <si>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</si>
  <si>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</si>
  <si>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</si>
  <si>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</si>
  <si>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</si>
  <si>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</si>
  <si>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</si>
  <si>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</si>
  <si>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</si>
  <si>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</si>
  <si>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</si>
  <si>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</si>
  <si>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</si>
  <si>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</si>
  <si>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</si>
  <si>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</si>
  <si>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</si>
  <si>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</si>
  <si>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</si>
  <si>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</si>
  <si>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</si>
  <si>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</si>
  <si>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</si>
  <si>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</si>
  <si>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</si>
  <si>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</si>
  <si>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</si>
  <si>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</si>
  <si>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</si>
  <si>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</si>
  <si>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</si>
  <si>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</si>
  <si>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</si>
  <si>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</si>
  <si>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</si>
  <si>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</si>
  <si>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</si>
  <si>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</si>
  <si>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</si>
  <si>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</si>
  <si>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</si>
  <si>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</si>
  <si>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</si>
  <si>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</si>
  <si>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</si>
  <si>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</si>
  <si>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</si>
  <si>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</si>
  <si>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</si>
  <si>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</si>
  <si>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</si>
  <si>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</si>
  <si>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</si>
  <si>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</si>
  <si>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</si>
  <si>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</si>
  <si>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</si>
  <si>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</si>
  <si>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</si>
  <si>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</si>
  <si>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</si>
  <si>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</si>
  <si>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</si>
  <si>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</si>
  <si>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</si>
  <si>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</si>
  <si>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</si>
  <si>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</si>
  <si>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</si>
  <si>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</si>
  <si>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</si>
  <si>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</si>
  <si>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</si>
  <si>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</si>
  <si>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</si>
  <si>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</si>
  <si>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</si>
  <si>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</si>
  <si>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</si>
  <si>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</si>
  <si>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</si>
  <si>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</si>
  <si>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</si>
  <si>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</si>
  <si>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</si>
  <si>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</si>
  <si>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</si>
  <si>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</si>
  <si>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</si>
  <si>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</si>
  <si>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</si>
  <si>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</si>
  <si>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</si>
  <si>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</si>
  <si>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</si>
  <si>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</si>
  <si>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</si>
  <si>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</si>
  <si>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</si>
  <si>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</si>
  <si>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</si>
  <si>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</si>
  <si>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</si>
  <si>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</si>
  <si>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</si>
  <si>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</si>
  <si>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</si>
  <si>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</si>
  <si>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</si>
  <si>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</si>
  <si>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</si>
  <si>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</si>
  <si>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</si>
  <si>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</si>
  <si>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</si>
  <si>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</si>
  <si>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</si>
  <si>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</si>
  <si>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</si>
  <si>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</si>
  <si>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</si>
  <si>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</si>
  <si>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</si>
  <si>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</si>
  <si>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</si>
  <si>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</si>
  <si>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</si>
  <si>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</si>
  <si>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</si>
  <si>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</si>
  <si>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</si>
  <si>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</si>
  <si>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</si>
  <si>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</si>
  <si>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</si>
  <si>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</si>
  <si>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</si>
  <si>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</si>
  <si>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</si>
  <si>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</si>
  <si>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</si>
  <si>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</si>
  <si>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</si>
  <si>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</si>
  <si>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</si>
  <si>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</si>
  <si>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</si>
  <si>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</si>
  <si>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</si>
  <si>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</si>
  <si>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</si>
  <si>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</si>
  <si>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</si>
  <si>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</si>
  <si>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</si>
  <si>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</si>
  <si>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</si>
  <si>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</si>
  <si>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</si>
  <si>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</si>
  <si>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</si>
  <si>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</si>
  <si>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</si>
  <si>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</si>
  <si>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</si>
  <si>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</si>
  <si>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</si>
  <si>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</si>
  <si>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</si>
  <si>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</si>
  <si>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</si>
  <si>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</si>
  <si>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</si>
  <si>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</si>
  <si>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</si>
  <si>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</si>
  <si>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</si>
  <si>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</si>
  <si>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</si>
  <si>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</si>
  <si>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</si>
  <si>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</si>
  <si>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</si>
  <si>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</si>
  <si>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</si>
  <si>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</si>
  <si>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</si>
  <si>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</si>
  <si>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</si>
  <si>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</si>
  <si>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</si>
  <si>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</si>
  <si>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</si>
  <si>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</si>
  <si>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</si>
  <si>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</si>
  <si>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</si>
  <si>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</si>
  <si>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</si>
  <si>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</si>
  <si>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</si>
  <si>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</si>
  <si>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</si>
  <si>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</si>
  <si>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</si>
  <si>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</si>
  <si>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</si>
  <si>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</si>
  <si>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</si>
  <si>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</si>
  <si>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</si>
  <si>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</si>
  <si>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</si>
  <si>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</si>
  <si>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</si>
  <si>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</si>
  <si>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</si>
  <si>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</si>
  <si>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</si>
  <si>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</si>
  <si>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</si>
  <si>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</si>
  <si>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</si>
  <si>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</si>
  <si>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</si>
  <si>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</si>
  <si>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</si>
  <si>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</si>
  <si>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</si>
  <si>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</si>
  <si>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</si>
  <si>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</si>
  <si>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</si>
  <si>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</si>
  <si>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</si>
  <si>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</si>
  <si>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</si>
  <si>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</si>
  <si>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</si>
  <si>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</si>
  <si>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</si>
  <si>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</si>
  <si>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</si>
  <si>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</si>
  <si>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</si>
  <si>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</si>
  <si>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</si>
  <si>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</si>
  <si>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</si>
  <si>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</si>
  <si>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</si>
  <si>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</si>
  <si>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</si>
  <si>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</si>
  <si>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</si>
  <si>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</si>
  <si>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</si>
  <si>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</si>
  <si>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</si>
  <si>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</si>
  <si>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</si>
  <si>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</si>
  <si>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</si>
  <si>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</si>
  <si>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</si>
  <si>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</si>
  <si>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</si>
  <si>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</si>
  <si>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</si>
  <si>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</si>
  <si>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</si>
  <si>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</si>
  <si>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</si>
  <si>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</si>
  <si>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</si>
  <si>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</si>
  <si>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</si>
  <si>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</si>
  <si>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</si>
  <si>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</si>
  <si>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</si>
  <si>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</si>
  <si>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</si>
  <si>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</si>
  <si>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</si>
  <si>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</si>
  <si>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</si>
  <si>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</si>
  <si>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</si>
  <si>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</si>
  <si>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</si>
  <si>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</si>
  <si>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</si>
  <si>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</si>
  <si>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</si>
  <si>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</si>
  <si>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</si>
  <si>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</si>
  <si>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</si>
  <si>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</si>
  <si>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</si>
  <si>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</si>
  <si>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</si>
  <si>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</si>
  <si>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</si>
  <si>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</si>
  <si>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</si>
  <si>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</si>
  <si>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</si>
  <si>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</si>
  <si>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</si>
  <si>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</si>
  <si>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</si>
  <si>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</si>
  <si>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</si>
  <si>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</si>
  <si>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</si>
  <si>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</si>
  <si>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</si>
  <si>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</si>
  <si>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</si>
  <si>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</si>
  <si>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</si>
  <si>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</si>
  <si>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</si>
  <si>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</si>
  <si>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</si>
  <si>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</si>
  <si>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</si>
  <si>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</si>
  <si>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</si>
  <si>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</si>
  <si>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</si>
  <si>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</si>
  <si>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</si>
  <si>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</si>
  <si>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</si>
  <si>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</si>
  <si>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</si>
  <si>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</si>
  <si>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</si>
  <si>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</si>
  <si>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</si>
  <si>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</si>
  <si>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</si>
  <si>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</si>
  <si>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</si>
  <si>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</si>
  <si>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</si>
  <si>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</si>
  <si>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</si>
  <si>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</si>
  <si>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</si>
  <si>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</si>
  <si>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</si>
  <si>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</si>
  <si>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</si>
  <si>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</si>
  <si>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</si>
  <si>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</si>
  <si>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</si>
  <si>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</si>
  <si>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</si>
  <si>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</si>
  <si>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</si>
  <si>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</si>
  <si>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</si>
  <si>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</si>
  <si>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</si>
  <si>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</si>
  <si>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</si>
  <si>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</si>
  <si>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</si>
  <si>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</si>
  <si>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</si>
  <si>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</si>
  <si>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</si>
  <si>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</si>
  <si>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</si>
  <si>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</si>
  <si>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</si>
  <si>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</si>
  <si>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</si>
  <si>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</si>
  <si>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</si>
  <si>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</si>
  <si>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</si>
  <si>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</si>
  <si>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</si>
  <si>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</si>
  <si>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</si>
  <si>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</si>
  <si>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</si>
  <si>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</si>
  <si>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</si>
  <si>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</si>
  <si>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</si>
  <si>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</si>
  <si>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</si>
  <si>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</si>
  <si>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</si>
  <si>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</si>
  <si>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</si>
  <si>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</si>
  <si>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</si>
  <si>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</si>
  <si>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</si>
  <si>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</si>
  <si>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</si>
  <si>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</si>
  <si>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</si>
  <si>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</si>
  <si>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</si>
  <si>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</si>
  <si>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</si>
  <si>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</si>
  <si>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</si>
  <si>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</si>
  <si>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</si>
  <si>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</si>
  <si>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</si>
  <si>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</si>
  <si>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</si>
  <si>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</si>
  <si>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</si>
  <si>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</si>
  <si>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</si>
  <si>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</si>
  <si>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</si>
  <si>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</si>
  <si>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</si>
  <si>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</si>
  <si>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</si>
  <si>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</si>
  <si>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</si>
  <si>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</si>
  <si>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</si>
  <si>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</si>
  <si>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</si>
  <si>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</si>
  <si>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</si>
  <si>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</si>
  <si>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</si>
  <si>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</si>
  <si>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</si>
  <si>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</si>
  <si>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</si>
  <si>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</si>
  <si>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</si>
  <si>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</si>
  <si>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</si>
  <si>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</si>
  <si>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</si>
  <si>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</si>
  <si>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</si>
  <si>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</si>
  <si>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</si>
  <si>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</si>
  <si>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</si>
  <si>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</si>
  <si>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</si>
  <si>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</si>
  <si>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</si>
  <si>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</si>
  <si>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</si>
  <si>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</si>
  <si>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</si>
  <si>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</si>
  <si>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</si>
  <si>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</si>
  <si>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</si>
  <si>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</si>
  <si>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</si>
  <si>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</si>
  <si>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</si>
  <si>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</si>
  <si>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</si>
  <si>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</si>
  <si>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</si>
  <si>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</si>
  <si>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</si>
  <si>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</si>
  <si>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</si>
  <si>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</si>
  <si>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</si>
  <si>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</si>
  <si>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</si>
  <si>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</si>
  <si>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</si>
  <si>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</si>
  <si>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</si>
  <si>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</si>
  <si>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</si>
  <si>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</si>
  <si>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</si>
  <si>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</si>
  <si>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</si>
  <si>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</si>
  <si>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</si>
  <si>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</si>
  <si>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</si>
  <si>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</si>
  <si>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</si>
  <si>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</si>
  <si>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</si>
  <si>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</si>
  <si>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</si>
  <si>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</si>
  <si>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</si>
  <si>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</si>
  <si>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</si>
  <si>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</si>
  <si>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</si>
  <si>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</si>
  <si>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</si>
  <si>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</si>
  <si>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</si>
  <si>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</si>
  <si>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</si>
  <si>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</si>
  <si>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</si>
  <si>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</si>
  <si>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</si>
  <si>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</si>
  <si>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</si>
  <si>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</si>
  <si>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</si>
  <si>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</si>
  <si>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</si>
  <si>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</si>
  <si>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</si>
  <si>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</si>
  <si>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</si>
  <si>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</si>
  <si>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</si>
  <si>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</si>
  <si>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</si>
  <si>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</si>
  <si>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</si>
  <si>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</si>
  <si>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</si>
  <si>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</si>
  <si>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</si>
  <si>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</si>
  <si>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</si>
  <si>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</si>
  <si>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</si>
  <si>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</si>
  <si>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</si>
  <si>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</si>
  <si>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</si>
  <si>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</si>
  <si>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</si>
  <si>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</si>
  <si>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</si>
  <si>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</si>
  <si>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</si>
  <si>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</si>
  <si>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</si>
  <si>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</si>
  <si>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</si>
  <si>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</si>
  <si>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</si>
  <si>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</si>
  <si>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</si>
  <si>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</si>
  <si>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</si>
  <si>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</si>
  <si>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</si>
  <si>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</si>
  <si>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</si>
  <si>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</si>
  <si>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</si>
  <si>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</si>
  <si>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</si>
  <si>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</si>
  <si>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</si>
  <si>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</si>
  <si>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</si>
  <si>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</si>
  <si>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</si>
  <si>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</si>
  <si>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</si>
  <si>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</si>
  <si>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</si>
  <si>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</si>
  <si>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</si>
  <si>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</si>
  <si>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</si>
  <si>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</si>
  <si>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</si>
  <si>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</si>
  <si>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</si>
  <si>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</si>
  <si>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</si>
  <si>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</si>
  <si>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</si>
  <si>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</si>
  <si>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</si>
  <si>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</si>
  <si>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</si>
  <si>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</si>
  <si>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</si>
  <si>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</si>
  <si>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</si>
  <si>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</si>
  <si>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</si>
  <si>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</si>
  <si>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</si>
  <si>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</si>
  <si>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</si>
  <si>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</si>
  <si>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</si>
  <si>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</si>
  <si>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</si>
  <si>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</si>
  <si>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</si>
  <si>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</si>
  <si>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</si>
  <si>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</si>
  <si>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</si>
  <si>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</si>
  <si>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</si>
  <si>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</si>
  <si>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</si>
  <si>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</si>
  <si>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</si>
  <si>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</si>
  <si>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</si>
  <si>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</si>
  <si>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</si>
  <si>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</si>
  <si>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</si>
  <si>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</si>
  <si>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</si>
  <si>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</si>
  <si>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</si>
  <si>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</si>
  <si>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</si>
  <si>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</si>
  <si>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</si>
  <si>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</si>
  <si>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</si>
  <si>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</si>
  <si>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</si>
  <si>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</si>
  <si>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</si>
  <si>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</si>
  <si>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</si>
  <si>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</si>
  <si>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</si>
  <si>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</si>
  <si>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</si>
  <si>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</si>
  <si>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</si>
  <si>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</si>
  <si>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</si>
  <si>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</si>
  <si>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</si>
  <si>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</si>
  <si>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</si>
  <si>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</si>
  <si>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</si>
  <si>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</si>
  <si>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</si>
  <si>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</si>
  <si>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</si>
  <si>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</si>
  <si>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</si>
  <si>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</si>
  <si>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</si>
  <si>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</si>
  <si>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</si>
  <si>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</si>
  <si>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</si>
  <si>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</si>
  <si>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</si>
  <si>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</si>
  <si>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</si>
  <si>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</si>
  <si>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</si>
  <si>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</si>
  <si>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</si>
  <si>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</si>
  <si>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</si>
  <si>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</si>
  <si>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</si>
  <si>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</si>
  <si>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</si>
  <si>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</si>
  <si>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</si>
  <si>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</si>
  <si>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</si>
  <si>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</si>
  <si>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</si>
  <si>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</si>
  <si>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</si>
  <si>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</si>
  <si>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</si>
  <si>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</si>
  <si>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</si>
  <si>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</si>
  <si>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</si>
  <si>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</si>
  <si>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</si>
  <si>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</si>
  <si>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</si>
  <si>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</si>
  <si>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</si>
  <si>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</si>
  <si>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</si>
  <si>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</si>
  <si>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</si>
  <si>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</si>
  <si>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</si>
  <si>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</si>
  <si>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</si>
  <si>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</si>
  <si>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</si>
  <si>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</si>
  <si>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</si>
  <si>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</si>
  <si>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</si>
  <si>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</si>
  <si>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</si>
  <si>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</si>
  <si>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</si>
  <si>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</si>
  <si>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</si>
  <si>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</si>
  <si>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</si>
  <si>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</si>
  <si>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</si>
  <si>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</si>
  <si>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</si>
  <si>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</si>
  <si>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</si>
  <si>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</si>
  <si>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</si>
  <si>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</si>
  <si>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</si>
  <si>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</si>
  <si>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</si>
  <si>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</si>
  <si>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</si>
  <si>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</si>
  <si>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</si>
  <si>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</si>
  <si>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</si>
  <si>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</si>
  <si>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</si>
  <si>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</si>
  <si>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</si>
  <si>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</si>
  <si>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</si>
  <si>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</si>
  <si>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</si>
  <si>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</si>
  <si>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</si>
  <si>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</si>
  <si>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</si>
  <si>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</si>
  <si>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</si>
  <si>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</si>
  <si>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</si>
  <si>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</si>
  <si>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</si>
  <si>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</si>
  <si>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</si>
  <si>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</si>
  <si>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</si>
  <si>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</si>
  <si>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</si>
  <si>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</si>
  <si>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</si>
  <si>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</si>
  <si>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</si>
  <si>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</si>
  <si>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</si>
  <si>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</si>
  <si>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</si>
  <si>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</si>
  <si>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</si>
  <si>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</si>
  <si>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</si>
  <si>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</si>
  <si>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</si>
  <si>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</si>
  <si>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</si>
  <si>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</si>
  <si>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</si>
  <si>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</si>
  <si>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</si>
  <si>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</si>
  <si>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</si>
  <si>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</si>
  <si>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</si>
  <si>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</si>
  <si>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</si>
  <si>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</si>
  <si>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</si>
  <si>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</si>
  <si>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</si>
  <si>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</si>
  <si>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</si>
  <si>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</si>
  <si>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</si>
  <si>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</si>
  <si>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</si>
  <si>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</si>
  <si>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</si>
  <si>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</si>
  <si>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</si>
  <si>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</si>
  <si>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</si>
  <si>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</si>
  <si>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</si>
  <si>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</si>
  <si>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</si>
  <si>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</si>
  <si>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</si>
  <si>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</si>
  <si>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</si>
  <si>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</si>
  <si>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</si>
  <si>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</si>
  <si>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</si>
  <si>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</si>
  <si>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</si>
  <si>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</si>
  <si>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</si>
  <si>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</si>
  <si>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</si>
  <si>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</si>
  <si>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</si>
  <si>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</si>
  <si>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</si>
  <si>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</si>
  <si>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</si>
  <si>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</si>
  <si>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</si>
  <si>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</si>
  <si>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</si>
  <si>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</si>
  <si>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</si>
  <si>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</si>
  <si>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</si>
  <si>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</si>
  <si>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</si>
  <si>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</si>
  <si>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</si>
  <si>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</si>
  <si>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</si>
  <si>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</si>
  <si>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</si>
  <si>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</si>
  <si>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</si>
  <si>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</si>
  <si>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</si>
  <si>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</si>
  <si>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</si>
  <si>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</si>
  <si>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</si>
  <si>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</si>
  <si>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</si>
  <si>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</si>
  <si>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</si>
  <si>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</si>
  <si>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</si>
  <si>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</si>
  <si>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</si>
  <si>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</si>
  <si>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</si>
  <si>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</si>
  <si>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</si>
  <si>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</si>
  <si>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</si>
  <si>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</si>
  <si>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</si>
  <si>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</si>
  <si>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</si>
  <si>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</si>
  <si>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</si>
  <si>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</si>
  <si>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</si>
  <si>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</si>
  <si>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</si>
  <si>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</si>
  <si>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</si>
  <si>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</si>
  <si>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</si>
  <si>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</si>
  <si>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</si>
  <si>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</si>
  <si>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</si>
  <si>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</si>
  <si>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</si>
  <si>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</si>
  <si>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</si>
  <si>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</si>
  <si>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</si>
  <si>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</si>
  <si>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</si>
  <si>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</si>
  <si>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</si>
  <si>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</si>
  <si>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</si>
  <si>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</si>
  <si>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</si>
  <si>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</si>
  <si>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</si>
  <si>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</si>
  <si>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</si>
  <si>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</si>
  <si>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</si>
  <si>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</si>
  <si>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</si>
  <si>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</si>
  <si>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</si>
  <si>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</si>
  <si>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</si>
  <si>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</si>
  <si>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</si>
  <si>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</si>
  <si>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</si>
  <si>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</si>
  <si>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</si>
  <si>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</si>
  <si>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</si>
  <si>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</si>
  <si>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</si>
  <si>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</si>
  <si>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</si>
  <si>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</si>
  <si>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</si>
  <si>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</si>
  <si>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</si>
  <si>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</si>
  <si>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</si>
  <si>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</si>
  <si>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</si>
  <si>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</si>
  <si>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</si>
  <si>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</si>
  <si>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</si>
  <si>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</si>
  <si>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</si>
  <si>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</si>
  <si>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</si>
  <si>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</si>
  <si>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</si>
  <si>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</si>
  <si>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</si>
  <si>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</si>
  <si>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</si>
  <si>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</si>
  <si>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</si>
  <si>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</si>
  <si>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</si>
  <si>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</si>
  <si>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</si>
  <si>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</si>
  <si>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</si>
  <si>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</si>
  <si>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</si>
  <si>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</si>
  <si>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</si>
  <si>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</si>
  <si>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</si>
  <si>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</si>
  <si>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</si>
  <si>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</si>
  <si>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</si>
  <si>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</si>
  <si>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</si>
  <si>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</si>
  <si>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</si>
  <si>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</si>
  <si>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</si>
  <si>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</si>
  <si>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</si>
  <si>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</si>
  <si>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</si>
  <si>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</si>
  <si>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</si>
  <si>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</si>
  <si>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</si>
  <si>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</si>
  <si>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</si>
  <si>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</si>
  <si>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</si>
  <si>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</si>
  <si>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</si>
  <si>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</si>
  <si>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</si>
  <si>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</si>
  <si>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</si>
  <si>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</si>
  <si>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</si>
  <si>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</si>
  <si>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</si>
  <si>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</si>
  <si>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</si>
  <si>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</si>
  <si>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</si>
  <si>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</si>
  <si>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</si>
  <si>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</si>
  <si>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</si>
  <si>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</si>
  <si>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</si>
  <si>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</si>
  <si>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</si>
  <si>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</si>
  <si>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</si>
  <si>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</si>
  <si>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</si>
  <si>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</si>
  <si>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</si>
  <si>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</si>
  <si>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</si>
  <si>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</si>
  <si>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</si>
  <si>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</si>
  <si>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</si>
  <si>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</si>
  <si>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</si>
  <si>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</si>
  <si>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</si>
  <si>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</si>
  <si>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</si>
  <si>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</si>
  <si>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</si>
  <si>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</si>
  <si>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</si>
  <si>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</si>
  <si>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</si>
  <si>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</si>
  <si>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</si>
  <si>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</si>
  <si>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</si>
  <si>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</si>
  <si>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</si>
  <si>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</si>
  <si>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</si>
  <si>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</si>
  <si>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</si>
  <si>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</si>
  <si>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</si>
  <si>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</si>
  <si>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</si>
  <si>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</si>
  <si>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</si>
  <si>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</si>
  <si>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</si>
  <si>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</si>
  <si>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</si>
  <si>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</si>
  <si>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</si>
  <si>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</si>
  <si>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</si>
  <si>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</si>
  <si>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</si>
  <si>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</si>
  <si>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</si>
  <si>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</si>
  <si>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</si>
  <si>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</si>
  <si>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</si>
  <si>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</si>
  <si>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</si>
  <si>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</si>
  <si>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</si>
  <si>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</si>
  <si>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</si>
  <si>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</si>
  <si>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</si>
  <si>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</si>
  <si>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</si>
  <si>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</si>
  <si>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</si>
  <si>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</si>
  <si>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</si>
  <si>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</si>
  <si>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</si>
  <si>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</si>
  <si>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</si>
  <si>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</si>
  <si>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</si>
  <si>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</si>
  <si>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</si>
  <si>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</si>
  <si>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</si>
  <si>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</si>
  <si>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</si>
  <si>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</si>
  <si>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</si>
  <si>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</si>
  <si>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</si>
  <si>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</si>
  <si>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</si>
  <si>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</si>
  <si>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</si>
  <si>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</si>
  <si>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</si>
  <si>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</si>
  <si>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</si>
  <si>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</si>
  <si>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</si>
  <si>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</si>
  <si>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</si>
  <si>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</si>
  <si>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</si>
  <si>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</si>
  <si>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</si>
  <si>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</si>
  <si>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</si>
  <si>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</si>
  <si>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</si>
  <si>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</si>
  <si>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</si>
  <si>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</si>
  <si>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</si>
  <si>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</si>
  <si>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</si>
  <si>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</si>
  <si>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</si>
  <si>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</si>
  <si>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</si>
  <si>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</si>
  <si>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</si>
  <si>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</si>
  <si>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</si>
  <si>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</si>
  <si>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</si>
  <si>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</si>
  <si>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</si>
  <si>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</si>
  <si>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</si>
  <si>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</si>
  <si>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</si>
  <si>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</si>
  <si>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</si>
  <si>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</si>
  <si>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</si>
  <si>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</si>
  <si>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</si>
  <si>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</si>
  <si>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</si>
  <si>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</si>
  <si>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</si>
  <si>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</si>
  <si>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</si>
  <si>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</si>
  <si>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</si>
  <si>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</si>
  <si>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</si>
  <si>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</si>
  <si>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</si>
  <si>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</si>
  <si>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</si>
  <si>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</si>
  <si>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</si>
  <si>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</si>
  <si>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</si>
  <si>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</si>
  <si>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</si>
  <si>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</si>
  <si>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</si>
  <si>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</si>
  <si>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</si>
  <si>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</si>
  <si>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</si>
  <si>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</si>
  <si>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</si>
  <si>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</si>
  <si>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</si>
  <si>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</si>
  <si>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</si>
  <si>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</si>
  <si>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</si>
  <si>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</si>
  <si>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</si>
  <si>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</si>
  <si>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</si>
  <si>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</si>
  <si>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</si>
  <si>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</si>
  <si>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</si>
  <si>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</si>
  <si>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</si>
  <si>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</si>
  <si>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</si>
  <si>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</si>
  <si>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</si>
  <si>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</si>
  <si>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</si>
  <si>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</si>
  <si>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</si>
  <si>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</si>
  <si>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</si>
  <si>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</si>
  <si>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</si>
  <si>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</si>
  <si>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</si>
  <si>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</si>
  <si>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</si>
  <si>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</si>
  <si>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</si>
  <si>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</si>
  <si>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</si>
  <si>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</si>
  <si>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</si>
  <si>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</si>
  <si>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</si>
  <si>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</si>
  <si>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</si>
  <si>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</si>
  <si>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</si>
  <si>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</si>
  <si>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</si>
  <si>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</si>
  <si>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</si>
  <si>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</si>
  <si>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</si>
  <si>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</si>
  <si>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</si>
  <si>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</si>
  <si>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</si>
  <si>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</si>
  <si>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</si>
  <si>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</si>
  <si>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</si>
  <si>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</si>
  <si>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</si>
  <si>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</si>
  <si>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</si>
  <si>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</si>
  <si>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</si>
  <si>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</si>
  <si>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</si>
  <si>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</si>
  <si>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</si>
  <si>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</si>
  <si>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</si>
  <si>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</si>
  <si>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</si>
  <si>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</si>
  <si>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</si>
  <si>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</si>
  <si>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</si>
  <si>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</si>
  <si>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</si>
  <si>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</si>
  <si>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</si>
  <si>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</si>
  <si>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</si>
  <si>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</si>
  <si>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</si>
  <si>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</si>
  <si>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</si>
  <si>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</si>
  <si>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</si>
  <si>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</si>
  <si>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</si>
  <si>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</si>
  <si>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</si>
  <si>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</si>
  <si>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</si>
  <si>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</si>
  <si>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</si>
  <si>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</si>
  <si>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</si>
  <si>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</si>
  <si>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</si>
  <si>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</si>
  <si>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</si>
  <si>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</si>
  <si>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</si>
  <si>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</si>
  <si>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</si>
  <si>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</si>
  <si>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</si>
  <si>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</si>
  <si>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</si>
  <si>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</si>
  <si>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</si>
  <si>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</si>
  <si>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</si>
  <si>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</si>
  <si>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</si>
  <si>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</si>
  <si>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</si>
  <si>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</si>
  <si>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</si>
  <si>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</si>
  <si>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</si>
  <si>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</si>
  <si>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</si>
  <si>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</si>
  <si>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</si>
  <si>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</si>
  <si>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</si>
  <si>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</si>
  <si>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</si>
  <si>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</si>
  <si>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</si>
  <si>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</si>
  <si>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</si>
  <si>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</si>
  <si>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</si>
  <si>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</si>
  <si>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</si>
  <si>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</si>
  <si>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</si>
  <si>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</si>
  <si>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</si>
  <si>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</si>
  <si>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</si>
  <si>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</si>
  <si>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</si>
  <si>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</si>
  <si>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</si>
  <si>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</si>
  <si>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</si>
  <si>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</si>
  <si>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</si>
  <si>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</si>
  <si>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</si>
  <si>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</si>
  <si>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</si>
  <si>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</si>
  <si>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</si>
  <si>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</si>
  <si>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</si>
  <si>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</si>
  <si>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</si>
  <si>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</si>
  <si>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</si>
  <si>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</si>
  <si>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</si>
  <si>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</si>
  <si>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</si>
  <si>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</si>
  <si>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</si>
  <si>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</si>
  <si>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</si>
  <si>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</si>
  <si>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</si>
  <si>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</si>
  <si>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</si>
  <si>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</si>
  <si>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</si>
  <si>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</si>
  <si>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</si>
  <si>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</si>
  <si>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</si>
  <si>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</si>
  <si>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</si>
  <si>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</si>
  <si>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</si>
  <si>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</si>
  <si>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</si>
  <si>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</si>
  <si>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</si>
  <si>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</si>
  <si>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</si>
  <si>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</si>
  <si>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</si>
  <si>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</si>
  <si>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</si>
  <si>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</si>
  <si>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</si>
  <si>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</si>
  <si>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</si>
  <si>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</si>
  <si>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</si>
  <si>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</si>
  <si>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</si>
  <si>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</si>
  <si>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</si>
  <si>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</si>
  <si>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</si>
  <si>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</si>
  <si>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</si>
  <si>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</si>
  <si>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</si>
  <si>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</si>
  <si>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</si>
  <si>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</si>
  <si>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</si>
  <si>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</si>
  <si>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</si>
  <si>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</si>
  <si>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</si>
  <si>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</si>
  <si>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</si>
  <si>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</si>
  <si>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</si>
  <si>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</si>
  <si>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</si>
  <si>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</si>
  <si>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</si>
  <si>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</si>
  <si>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</si>
  <si>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</si>
  <si>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</si>
  <si>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</si>
  <si>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</si>
  <si>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</si>
  <si>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</si>
  <si>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</si>
  <si>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</si>
  <si>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</si>
  <si>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</si>
  <si>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</si>
  <si>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</si>
  <si>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</si>
  <si>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</si>
  <si>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</si>
  <si>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</si>
  <si>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</si>
  <si>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</si>
  <si>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</si>
  <si>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</si>
  <si>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</si>
  <si>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</si>
  <si>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</si>
  <si>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</si>
  <si>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</si>
  <si>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</si>
  <si>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</si>
  <si>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</si>
  <si>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</si>
  <si>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</si>
  <si>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</si>
  <si>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</si>
  <si>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</si>
  <si>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</si>
  <si>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</si>
  <si>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</si>
  <si>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</si>
  <si>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</si>
  <si>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</si>
  <si>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</si>
  <si>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</si>
  <si>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</si>
  <si>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</si>
  <si>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</si>
  <si>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</si>
  <si>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</si>
  <si>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</si>
  <si>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</si>
  <si>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</si>
  <si>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</si>
  <si>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</si>
  <si>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</si>
  <si>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</si>
  <si>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</si>
  <si>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</si>
  <si>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</si>
  <si>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</si>
  <si>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</si>
  <si>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</si>
  <si>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</si>
  <si>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</si>
  <si>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</si>
  <si>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</si>
  <si>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</si>
  <si>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</si>
  <si>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</si>
  <si>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</si>
  <si>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</si>
  <si>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</si>
  <si>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</si>
  <si>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</si>
  <si>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</si>
  <si>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</si>
  <si>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</si>
  <si>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</si>
  <si>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</si>
  <si>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</si>
  <si>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</si>
  <si>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</si>
  <si>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</si>
  <si>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</si>
  <si>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</si>
  <si>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</si>
  <si>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</si>
  <si>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</si>
  <si>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</si>
  <si>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</si>
  <si>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</si>
  <si>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</si>
  <si>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</si>
  <si>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</si>
  <si>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</si>
  <si>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</si>
  <si>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</si>
  <si>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</si>
  <si>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</si>
  <si>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</si>
  <si>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</si>
  <si>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</si>
  <si>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</si>
  <si>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</si>
  <si>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</si>
  <si>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</si>
  <si>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</si>
  <si>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</si>
  <si>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</si>
  <si>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</si>
  <si>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</si>
  <si>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</si>
  <si>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</si>
  <si>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</si>
  <si>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</si>
  <si>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</si>
  <si>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</si>
  <si>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</si>
  <si>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</si>
  <si>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</si>
  <si>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</si>
  <si>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</si>
  <si>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</si>
  <si>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</si>
  <si>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</si>
  <si>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</si>
  <si>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</si>
  <si>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</si>
  <si>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</si>
  <si>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</si>
  <si>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</si>
  <si>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</si>
  <si>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</si>
  <si>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</si>
  <si>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</si>
  <si>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</si>
  <si>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</si>
  <si>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</si>
  <si>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</si>
  <si>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</si>
  <si>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</si>
  <si>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</si>
  <si>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</si>
  <si>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</si>
  <si>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</si>
  <si>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</si>
  <si>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</si>
  <si>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</si>
  <si>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</si>
  <si>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</si>
  <si>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</si>
  <si>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</si>
  <si>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</si>
  <si>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</si>
  <si>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</si>
  <si>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</si>
  <si>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</si>
  <si>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</si>
  <si>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</si>
  <si>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</si>
  <si>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</si>
  <si>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</si>
  <si>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</si>
  <si>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</si>
  <si>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</si>
  <si>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</si>
  <si>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</si>
  <si>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</si>
  <si>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</si>
  <si>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</si>
  <si>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</si>
  <si>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</si>
  <si>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</si>
  <si>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</si>
  <si>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</si>
  <si>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</si>
  <si>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</si>
  <si>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</si>
  <si>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</si>
  <si>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</si>
  <si>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</si>
  <si>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</si>
  <si>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</si>
  <si>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</si>
  <si>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</si>
  <si>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</si>
  <si>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</si>
  <si>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</si>
  <si>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</si>
  <si>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</si>
  <si>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</si>
  <si>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</si>
  <si>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</si>
  <si>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</si>
  <si>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</si>
  <si>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</si>
  <si>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</si>
  <si>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</si>
  <si>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</si>
  <si>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</si>
  <si>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</si>
  <si>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</si>
  <si>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</si>
  <si>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</si>
  <si>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</si>
  <si>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</si>
  <si>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</si>
  <si>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</si>
  <si>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</si>
  <si>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</si>
  <si>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</si>
  <si>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</si>
  <si>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</si>
  <si>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</si>
  <si>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</si>
  <si>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</si>
  <si>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</si>
  <si>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</si>
  <si>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</si>
  <si>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</si>
  <si>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</si>
  <si>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</si>
  <si>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</si>
  <si>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</si>
  <si>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</si>
  <si>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</si>
  <si>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</si>
  <si>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</si>
  <si>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</si>
  <si>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</si>
  <si>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</si>
  <si>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</si>
  <si>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</si>
  <si>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</si>
  <si>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</si>
  <si>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</si>
  <si>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</si>
  <si>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</si>
  <si>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</si>
  <si>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</si>
  <si>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</si>
  <si>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</si>
  <si>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</si>
  <si>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</si>
  <si>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</si>
  <si>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</si>
  <si>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</si>
  <si>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</si>
  <si>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</si>
  <si>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</si>
  <si>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</si>
  <si>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</si>
  <si>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</si>
  <si>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</si>
  <si>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</si>
  <si>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</si>
  <si>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</si>
  <si>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</si>
  <si>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</si>
  <si>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</si>
  <si>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</si>
  <si>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</si>
  <si>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</si>
  <si>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</si>
  <si>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</si>
  <si>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</si>
  <si>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</si>
  <si>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</si>
  <si>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</si>
  <si>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</si>
  <si>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</si>
  <si>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</si>
  <si>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</si>
  <si>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</si>
  <si>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</si>
  <si>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</si>
  <si>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</si>
  <si>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</si>
  <si>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</si>
  <si>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Column</t>
    <phoneticPr fontId="5" type="noConversion"/>
  </si>
  <si>
    <t>Beam</t>
    <phoneticPr fontId="5" type="noConversion"/>
  </si>
  <si>
    <t>End-plate</t>
    <phoneticPr fontId="5" type="noConversion"/>
  </si>
  <si>
    <t>Year</t>
    <phoneticPr fontId="5" type="noConversion"/>
  </si>
  <si>
    <t>Slab</t>
    <phoneticPr fontId="5" type="noConversion"/>
  </si>
  <si>
    <t>S275</t>
    <phoneticPr fontId="5" type="noConversion"/>
  </si>
  <si>
    <t>FE 235</t>
  </si>
  <si>
    <t>FPC-M</t>
  </si>
  <si>
    <t>FPC-1</t>
  </si>
  <si>
    <t>FE 510</t>
  </si>
  <si>
    <t>FPC-2</t>
  </si>
  <si>
    <t>T1</t>
    <phoneticPr fontId="5" type="noConversion"/>
  </si>
  <si>
    <t>T2</t>
    <phoneticPr fontId="5" type="noConversion"/>
  </si>
  <si>
    <t>UB 406 x 178 x 60</t>
    <phoneticPr fontId="5" type="noConversion"/>
  </si>
  <si>
    <t>UB 254 x 146 x 37</t>
    <phoneticPr fontId="5" type="noConversion"/>
  </si>
  <si>
    <t>HB 294 x 200 x 8 x 12</t>
    <phoneticPr fontId="5" type="noConversion"/>
  </si>
  <si>
    <t>HE 300 M</t>
    <phoneticPr fontId="5" type="noConversion"/>
  </si>
  <si>
    <t>F1EP_15_2</t>
    <phoneticPr fontId="5" type="noConversion"/>
  </si>
  <si>
    <t>F2EP_15_2</t>
    <phoneticPr fontId="5" type="noConversion"/>
  </si>
  <si>
    <t>HB 248 x 124 x 5 x 8</t>
    <phoneticPr fontId="5" type="noConversion"/>
  </si>
  <si>
    <t>HB 400 x 200 x 8 x 13</t>
    <phoneticPr fontId="5" type="noConversion"/>
  </si>
  <si>
    <t>SHS 250 x 250 x 12.5</t>
    <phoneticPr fontId="5" type="noConversion"/>
  </si>
  <si>
    <t>S1</t>
    <phoneticPr fontId="5" type="noConversion"/>
  </si>
  <si>
    <t>HE 140 A</t>
    <phoneticPr fontId="5" type="noConversion"/>
  </si>
  <si>
    <t>610 UB 101</t>
    <phoneticPr fontId="5" type="noConversion"/>
  </si>
  <si>
    <t>22-02-2021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</si>
  <si>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</si>
  <si>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</si>
  <si>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</si>
  <si>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</si>
  <si>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</si>
  <si>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Bolt</t>
    <phoneticPr fontId="5" type="noConversion"/>
  </si>
  <si>
    <t>End plate</t>
    <phoneticPr fontId="5" type="noConversion"/>
  </si>
  <si>
    <t>Section</t>
    <phoneticPr fontId="5" type="noConversion"/>
  </si>
  <si>
    <t>Test 1</t>
    <phoneticPr fontId="5" type="noConversion"/>
  </si>
  <si>
    <t>No</t>
    <phoneticPr fontId="5" type="noConversion"/>
  </si>
  <si>
    <t>Yes</t>
    <phoneticPr fontId="5" type="noConversion"/>
  </si>
  <si>
    <t>Monotonic</t>
    <phoneticPr fontId="5" type="noConversion"/>
  </si>
  <si>
    <t>UC 203 x 203 x 52</t>
    <phoneticPr fontId="5" type="noConversion"/>
  </si>
  <si>
    <t>IPE 300</t>
    <phoneticPr fontId="5" type="noConversion"/>
  </si>
  <si>
    <t>FE 360</t>
    <phoneticPr fontId="5" type="noConversion"/>
  </si>
  <si>
    <t>Cyclic</t>
    <phoneticPr fontId="5" type="noConversion"/>
  </si>
  <si>
    <t>UC 254 x 254 x 89</t>
    <phoneticPr fontId="5" type="noConversion"/>
  </si>
  <si>
    <t>UB 457 x 191 x 74</t>
    <phoneticPr fontId="5" type="noConversion"/>
  </si>
  <si>
    <t>UC 254 x 254 x 73</t>
    <phoneticPr fontId="5" type="noConversion"/>
  </si>
  <si>
    <t>UB 457 x 152 x 52</t>
    <phoneticPr fontId="5" type="noConversion"/>
  </si>
  <si>
    <t>SHS 200 x 200 x 10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</si>
  <si>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</si>
  <si>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</si>
  <si>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</si>
  <si>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Q345</t>
    <phoneticPr fontId="5" type="noConversion"/>
  </si>
  <si>
    <t>HE 320 A</t>
    <phoneticPr fontId="5" type="noConversion"/>
  </si>
  <si>
    <t>S690</t>
    <phoneticPr fontId="5" type="noConversion"/>
  </si>
  <si>
    <t>F2EP_10_2</t>
    <phoneticPr fontId="5" type="noConversion"/>
  </si>
  <si>
    <t>SHS 200 x 200 x 8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</si>
  <si>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</si>
  <si>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</si>
  <si>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</si>
  <si>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506 x 201 x 11 x 19</t>
    <phoneticPr fontId="5" type="noConversion"/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</si>
  <si>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</si>
  <si>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</si>
  <si>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</si>
  <si>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</si>
  <si>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250 UC 89.5</t>
    <phoneticPr fontId="5" type="noConversion"/>
  </si>
  <si>
    <t>460 UB 82.1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</si>
  <si>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</si>
  <si>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</si>
  <si>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</si>
  <si>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310 UB 40.4</t>
    <phoneticPr fontId="5" type="noConversion"/>
  </si>
  <si>
    <t>S2</t>
    <phoneticPr fontId="5" type="noConversion"/>
  </si>
  <si>
    <t>*The database units are kN, mm and 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</si>
</sst>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9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74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38" fillId="37" borderId="21" xfId="0" applyFont="1" applyFill="1" applyBorder="1" applyAlignment="1">
      <alignment horizontal="center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6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5" borderId="16" xfId="0" applyFont="1" applyFill="1" applyBorder="1" applyAlignment="1">
      <alignment vertical="center"/>
    </xf>
    <xf numFmtId="0" fontId="47" fillId="0" borderId="10" xfId="0" applyFont="1" applyBorder="1" applyAlignment="1">
      <alignment vertical="center"/>
    </xf>
    <xf numFmtId="0" fontId="47" fillId="0" borderId="11" xfId="0" applyFont="1" applyBorder="1" applyAlignment="1">
      <alignment vertical="center"/>
    </xf>
    <xf numFmtId="0" fontId="47" fillId="5" borderId="16" xfId="0" applyFont="1" applyFill="1" applyBorder="1" applyAlignment="1">
      <alignment vertical="center"/>
    </xf>
    <xf numFmtId="0" fontId="47" fillId="5" borderId="10" xfId="0" applyFont="1" applyFill="1" applyBorder="1" applyAlignment="1">
      <alignment vertical="center"/>
    </xf>
    <xf numFmtId="0" fontId="47" fillId="5" borderId="11" xfId="0" applyFont="1" applyFill="1" applyBorder="1" applyAlignment="1">
      <alignment vertical="center"/>
    </xf>
    <xf numFmtId="0" fontId="47" fillId="0" borderId="16" xfId="0" applyFont="1" applyBorder="1" applyAlignment="1">
      <alignment vertical="center"/>
    </xf>
    <xf numFmtId="0" fontId="13" fillId="0" borderId="10" xfId="0" applyFont="1" applyBorder="1" applyAlignment="1">
      <alignment horizontal="left" vertical="center"/>
    </xf>
    <xf numFmtId="0" fontId="47" fillId="0" borderId="9" xfId="0" applyFont="1" applyBorder="1" applyAlignment="1">
      <alignment vertical="center"/>
    </xf>
    <xf numFmtId="0" fontId="47" fillId="0" borderId="16" xfId="0" applyFont="1" applyFill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8" fillId="4" borderId="0" xfId="0" applyFont="1" applyFill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89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77" bestFit="1" customWidth="1"/>
    <col min="2" max="2" width="10.09765625" style="277" bestFit="1" customWidth="1"/>
    <col min="3" max="16384" width="8.796875" style="277"/>
  </cols>
  <sheetData>
    <row r="1" spans="1:2">
      <c r="A1" s="278" t="s">
        <v>6124</v>
      </c>
      <c r="B1" s="279" t="s">
        <v>6126</v>
      </c>
    </row>
    <row r="2" spans="1:2">
      <c r="A2" s="278" t="s">
        <v>6125</v>
      </c>
      <c r="B2" s="280" t="s">
        <v>6302</v>
      </c>
    </row>
    <row r="4" spans="1:2">
      <c r="A4" s="473" t="s">
        <v>6347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6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72" customWidth="1"/>
    <col min="6" max="6" width="13.3984375" style="6" bestFit="1" customWidth="1"/>
    <col min="7" max="7" width="34.5" style="7" bestFit="1" customWidth="1"/>
    <col min="8" max="8" width="1.8984375" style="172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60" t="s">
        <v>5804</v>
      </c>
      <c r="B1" s="258" t="s">
        <v>4879</v>
      </c>
      <c r="C1" s="258" t="s">
        <v>5875</v>
      </c>
      <c r="D1" s="258" t="s">
        <v>4382</v>
      </c>
      <c r="E1" s="169"/>
      <c r="F1" s="261" t="s">
        <v>5802</v>
      </c>
      <c r="G1" s="259" t="s">
        <v>4382</v>
      </c>
      <c r="H1" s="169"/>
      <c r="I1" s="261" t="s">
        <v>5044</v>
      </c>
      <c r="J1" s="259" t="s">
        <v>5045</v>
      </c>
      <c r="K1" s="265"/>
      <c r="L1" s="265"/>
      <c r="M1" s="265"/>
    </row>
    <row r="2" spans="1:13" ht="16.2" thickBot="1">
      <c r="A2" s="165" t="s">
        <v>5</v>
      </c>
      <c r="B2" s="165" t="s">
        <v>6138</v>
      </c>
      <c r="C2" s="165" t="s">
        <v>6138</v>
      </c>
      <c r="D2" s="165" t="s">
        <v>6139</v>
      </c>
      <c r="E2" s="169" t="s">
        <v>6058</v>
      </c>
      <c r="F2" s="166" t="s">
        <v>4758</v>
      </c>
      <c r="G2" s="166" t="s">
        <v>4763</v>
      </c>
      <c r="H2" s="169"/>
      <c r="I2" s="262" t="s">
        <v>5792</v>
      </c>
      <c r="J2" s="43" t="s">
        <v>4451</v>
      </c>
      <c r="K2" s="265"/>
      <c r="L2" s="265"/>
      <c r="M2" s="265"/>
    </row>
    <row r="3" spans="1:13" ht="16.2" thickBot="1">
      <c r="A3" s="165" t="s">
        <v>7</v>
      </c>
      <c r="B3" s="165" t="s">
        <v>6137</v>
      </c>
      <c r="C3" s="165" t="s">
        <v>6137</v>
      </c>
      <c r="D3" s="165" t="s">
        <v>6135</v>
      </c>
      <c r="E3" s="169" t="s">
        <v>6058</v>
      </c>
      <c r="F3" s="166" t="s">
        <v>4766</v>
      </c>
      <c r="G3" s="166" t="s">
        <v>4767</v>
      </c>
      <c r="H3" s="169"/>
      <c r="I3" s="263" t="s">
        <v>4755</v>
      </c>
      <c r="J3" s="41" t="s">
        <v>5799</v>
      </c>
      <c r="K3" s="265"/>
      <c r="L3" s="265"/>
      <c r="M3" s="265"/>
    </row>
    <row r="4" spans="1:13" ht="16.2" thickBot="1">
      <c r="A4" s="165" t="s">
        <v>17</v>
      </c>
      <c r="B4" s="165" t="s">
        <v>4653</v>
      </c>
      <c r="C4" s="165" t="s">
        <v>4653</v>
      </c>
      <c r="D4" s="165" t="s">
        <v>4902</v>
      </c>
      <c r="E4" s="169" t="s">
        <v>6058</v>
      </c>
      <c r="F4" s="166" t="s">
        <v>5832</v>
      </c>
      <c r="G4" s="166" t="s">
        <v>5830</v>
      </c>
      <c r="H4" s="169"/>
      <c r="I4" s="264" t="s">
        <v>5801</v>
      </c>
      <c r="J4" s="42" t="s">
        <v>5800</v>
      </c>
      <c r="K4" s="265"/>
      <c r="L4" s="265"/>
      <c r="M4" s="265"/>
    </row>
    <row r="5" spans="1:13" ht="15.6">
      <c r="A5" s="165" t="s">
        <v>6</v>
      </c>
      <c r="B5" s="165" t="s">
        <v>4</v>
      </c>
      <c r="C5" s="165" t="s">
        <v>4</v>
      </c>
      <c r="D5" s="165" t="s">
        <v>4901</v>
      </c>
      <c r="E5" s="169" t="s">
        <v>6058</v>
      </c>
      <c r="F5" s="166" t="s">
        <v>4794</v>
      </c>
      <c r="G5" s="166" t="s">
        <v>4795</v>
      </c>
      <c r="H5" s="169"/>
      <c r="I5" s="265"/>
      <c r="J5" s="265"/>
      <c r="K5" s="265"/>
      <c r="L5" s="265"/>
      <c r="M5" s="265"/>
    </row>
    <row r="6" spans="1:13" ht="15.6">
      <c r="A6" s="165" t="s">
        <v>4880</v>
      </c>
      <c r="B6" s="165" t="s">
        <v>4833</v>
      </c>
      <c r="C6" s="165" t="s">
        <v>4833</v>
      </c>
      <c r="D6" s="165" t="s">
        <v>4900</v>
      </c>
      <c r="E6" s="169" t="s">
        <v>6058</v>
      </c>
      <c r="F6" s="166" t="s">
        <v>4765</v>
      </c>
      <c r="G6" s="166" t="s">
        <v>5831</v>
      </c>
      <c r="H6" s="169"/>
      <c r="J6" s="265"/>
      <c r="K6" s="265"/>
      <c r="L6" s="265"/>
      <c r="M6" s="265"/>
    </row>
    <row r="7" spans="1:13" ht="15.6">
      <c r="A7" s="165" t="s">
        <v>4881</v>
      </c>
      <c r="B7" s="165" t="s">
        <v>4504</v>
      </c>
      <c r="C7" s="165" t="s">
        <v>4504</v>
      </c>
      <c r="D7" s="165" t="s">
        <v>4899</v>
      </c>
      <c r="E7" s="169" t="s">
        <v>6058</v>
      </c>
      <c r="F7" s="166" t="s">
        <v>4784</v>
      </c>
      <c r="G7" s="166" t="s">
        <v>5046</v>
      </c>
      <c r="H7" s="169"/>
      <c r="I7" s="265"/>
      <c r="J7" s="265"/>
      <c r="K7" s="265"/>
      <c r="L7" s="265"/>
      <c r="M7" s="265"/>
    </row>
    <row r="8" spans="1:13" ht="15.6">
      <c r="A8" s="165" t="s">
        <v>4882</v>
      </c>
      <c r="B8" s="165" t="s">
        <v>5894</v>
      </c>
      <c r="C8" s="165" t="s">
        <v>5894</v>
      </c>
      <c r="D8" s="165" t="s">
        <v>5925</v>
      </c>
      <c r="E8" s="169" t="s">
        <v>6058</v>
      </c>
      <c r="F8" s="166" t="s">
        <v>4768</v>
      </c>
      <c r="G8" s="166" t="s">
        <v>4769</v>
      </c>
      <c r="H8" s="169"/>
      <c r="I8" s="265"/>
      <c r="J8" s="265"/>
      <c r="K8" s="265"/>
      <c r="L8" s="265"/>
      <c r="M8" s="265"/>
    </row>
    <row r="9" spans="1:13" ht="15.6">
      <c r="A9" s="165" t="s">
        <v>18</v>
      </c>
      <c r="B9" s="165" t="s">
        <v>5927</v>
      </c>
      <c r="C9" s="165" t="s">
        <v>5927</v>
      </c>
      <c r="D9" s="165" t="s">
        <v>5926</v>
      </c>
      <c r="E9" s="169" t="s">
        <v>6058</v>
      </c>
      <c r="F9" s="166" t="s">
        <v>4771</v>
      </c>
      <c r="G9" s="166" t="s">
        <v>4772</v>
      </c>
      <c r="H9" s="169"/>
      <c r="I9" s="265"/>
      <c r="J9" s="265"/>
      <c r="K9" s="265"/>
      <c r="L9" s="265"/>
      <c r="M9" s="265"/>
    </row>
    <row r="10" spans="1:13" ht="15.6">
      <c r="A10" s="165" t="s">
        <v>4883</v>
      </c>
      <c r="B10" s="165" t="s">
        <v>6220</v>
      </c>
      <c r="C10" s="165" t="s">
        <v>6220</v>
      </c>
      <c r="D10" s="165" t="s">
        <v>6275</v>
      </c>
      <c r="E10" s="169" t="s">
        <v>6058</v>
      </c>
      <c r="F10" s="166" t="s">
        <v>4760</v>
      </c>
      <c r="G10" s="166" t="s">
        <v>4764</v>
      </c>
      <c r="H10" s="169"/>
      <c r="I10" s="265"/>
      <c r="J10" s="265"/>
      <c r="K10" s="265"/>
      <c r="L10" s="265"/>
      <c r="M10" s="265"/>
    </row>
    <row r="11" spans="1:13" ht="15.6">
      <c r="A11" s="165" t="s">
        <v>9</v>
      </c>
      <c r="B11" s="165" t="s">
        <v>16</v>
      </c>
      <c r="C11" s="165" t="s">
        <v>16</v>
      </c>
      <c r="D11" s="165" t="s">
        <v>4898</v>
      </c>
      <c r="E11" s="169" t="s">
        <v>6058</v>
      </c>
      <c r="F11" s="166" t="s">
        <v>4799</v>
      </c>
      <c r="G11" s="166" t="s">
        <v>4798</v>
      </c>
      <c r="H11" s="169"/>
      <c r="I11" s="265"/>
      <c r="J11" s="265"/>
      <c r="K11" s="265"/>
      <c r="L11" s="265"/>
      <c r="M11" s="265"/>
    </row>
    <row r="12" spans="1:13" ht="15.6">
      <c r="A12" s="165" t="s">
        <v>4885</v>
      </c>
      <c r="B12" s="165" t="s">
        <v>5867</v>
      </c>
      <c r="C12" s="165" t="s">
        <v>5867</v>
      </c>
      <c r="D12" s="165" t="s">
        <v>5868</v>
      </c>
      <c r="E12" s="169" t="s">
        <v>6058</v>
      </c>
      <c r="F12" s="166" t="s">
        <v>4773</v>
      </c>
      <c r="G12" s="166" t="s">
        <v>4774</v>
      </c>
      <c r="H12" s="169"/>
      <c r="I12" s="265"/>
      <c r="J12" s="265"/>
      <c r="K12" s="265"/>
      <c r="L12" s="265"/>
      <c r="M12" s="265"/>
    </row>
    <row r="13" spans="1:13" ht="15.6">
      <c r="A13" s="165" t="s">
        <v>787</v>
      </c>
      <c r="B13" s="165" t="s">
        <v>4424</v>
      </c>
      <c r="C13" s="165" t="s">
        <v>4424</v>
      </c>
      <c r="D13" s="165" t="s">
        <v>5869</v>
      </c>
      <c r="E13" s="169" t="s">
        <v>6058</v>
      </c>
      <c r="F13" s="166" t="s">
        <v>4770</v>
      </c>
      <c r="G13" s="166" t="s">
        <v>4692</v>
      </c>
      <c r="H13" s="169"/>
      <c r="I13" s="265"/>
      <c r="J13" s="265"/>
      <c r="K13" s="265"/>
      <c r="L13" s="265"/>
      <c r="M13" s="265"/>
    </row>
    <row r="14" spans="1:13" ht="15.6">
      <c r="A14" s="165" t="s">
        <v>553</v>
      </c>
      <c r="B14" s="165" t="s">
        <v>4435</v>
      </c>
      <c r="C14" s="165" t="s">
        <v>4435</v>
      </c>
      <c r="D14" s="165" t="s">
        <v>4896</v>
      </c>
      <c r="E14" s="169" t="s">
        <v>6058</v>
      </c>
      <c r="F14" s="166" t="s">
        <v>4635</v>
      </c>
      <c r="G14" s="166" t="s">
        <v>4645</v>
      </c>
      <c r="H14" s="169"/>
      <c r="I14" s="265"/>
      <c r="J14" s="265"/>
      <c r="K14" s="265"/>
      <c r="L14" s="265"/>
      <c r="M14" s="265"/>
    </row>
    <row r="15" spans="1:13" ht="15.6">
      <c r="A15" s="165" t="s">
        <v>4886</v>
      </c>
      <c r="B15" s="165" t="s">
        <v>4705</v>
      </c>
      <c r="C15" s="165" t="s">
        <v>4705</v>
      </c>
      <c r="D15" s="165" t="s">
        <v>4903</v>
      </c>
      <c r="E15" s="169" t="s">
        <v>6058</v>
      </c>
      <c r="F15" s="166" t="s">
        <v>4757</v>
      </c>
      <c r="G15" s="166" t="s">
        <v>4644</v>
      </c>
      <c r="H15" s="169"/>
      <c r="I15" s="265"/>
      <c r="J15" s="265"/>
      <c r="K15" s="265"/>
      <c r="L15" s="265"/>
      <c r="M15" s="265"/>
    </row>
    <row r="16" spans="1:13" ht="15.6">
      <c r="A16" s="165" t="s">
        <v>4887</v>
      </c>
      <c r="B16" s="165" t="s">
        <v>4505</v>
      </c>
      <c r="C16" s="165" t="s">
        <v>4505</v>
      </c>
      <c r="D16" s="165" t="s">
        <v>4895</v>
      </c>
      <c r="E16" s="169" t="s">
        <v>6058</v>
      </c>
      <c r="F16" s="166" t="s">
        <v>8</v>
      </c>
      <c r="G16" s="166" t="s">
        <v>4786</v>
      </c>
      <c r="H16" s="169"/>
      <c r="I16" s="265"/>
      <c r="J16" s="265"/>
      <c r="K16" s="265"/>
      <c r="L16" s="265"/>
      <c r="M16" s="265"/>
    </row>
    <row r="17" spans="1:13" ht="15.6">
      <c r="A17" s="165" t="s">
        <v>4888</v>
      </c>
      <c r="B17" s="165" t="s">
        <v>4571</v>
      </c>
      <c r="C17" s="165" t="s">
        <v>4571</v>
      </c>
      <c r="D17" s="165" t="s">
        <v>6128</v>
      </c>
      <c r="E17" s="169" t="s">
        <v>6058</v>
      </c>
      <c r="F17" s="166" t="s">
        <v>4787</v>
      </c>
      <c r="G17" s="166" t="s">
        <v>4788</v>
      </c>
      <c r="H17" s="169"/>
      <c r="I17" s="265"/>
      <c r="J17" s="265"/>
      <c r="K17" s="265"/>
      <c r="L17" s="265"/>
      <c r="M17" s="265"/>
    </row>
    <row r="18" spans="1:13" ht="15.6">
      <c r="A18" s="165" t="s">
        <v>4889</v>
      </c>
      <c r="B18" s="165" t="s">
        <v>4904</v>
      </c>
      <c r="C18" s="165" t="s">
        <v>4756</v>
      </c>
      <c r="D18" s="165" t="s">
        <v>6130</v>
      </c>
      <c r="E18" s="169" t="s">
        <v>6058</v>
      </c>
      <c r="F18" s="166" t="s">
        <v>15</v>
      </c>
      <c r="G18" s="166" t="s">
        <v>4423</v>
      </c>
      <c r="H18" s="169"/>
      <c r="I18" s="265"/>
      <c r="J18" s="265"/>
      <c r="K18" s="265"/>
      <c r="L18" s="265"/>
      <c r="M18" s="265"/>
    </row>
    <row r="19" spans="1:13" ht="15.6">
      <c r="A19" s="165" t="s">
        <v>4884</v>
      </c>
      <c r="B19" s="165" t="s">
        <v>4496</v>
      </c>
      <c r="C19" s="165" t="s">
        <v>4496</v>
      </c>
      <c r="D19" s="165" t="s">
        <v>6168</v>
      </c>
      <c r="E19" s="169" t="s">
        <v>6058</v>
      </c>
      <c r="F19" s="166" t="s">
        <v>4759</v>
      </c>
      <c r="G19" s="166" t="s">
        <v>4478</v>
      </c>
      <c r="H19" s="169"/>
      <c r="I19" s="265"/>
      <c r="J19" s="265"/>
      <c r="K19" s="265"/>
      <c r="L19" s="265"/>
      <c r="M19" s="265"/>
    </row>
    <row r="20" spans="1:13" ht="18">
      <c r="A20" s="165" t="s">
        <v>578</v>
      </c>
      <c r="B20" s="165" t="s">
        <v>6115</v>
      </c>
      <c r="C20" s="165" t="s">
        <v>6087</v>
      </c>
      <c r="D20" s="165" t="s">
        <v>6114</v>
      </c>
      <c r="E20" s="169" t="s">
        <v>6058</v>
      </c>
      <c r="F20" s="166" t="s">
        <v>4761</v>
      </c>
      <c r="G20" s="166" t="s">
        <v>4762</v>
      </c>
      <c r="H20" s="169"/>
      <c r="I20" s="265"/>
      <c r="J20" s="265"/>
      <c r="K20" s="265"/>
      <c r="L20" s="265"/>
      <c r="M20" s="265"/>
    </row>
    <row r="21" spans="1:13" ht="15.6">
      <c r="A21" s="165" t="s">
        <v>12</v>
      </c>
      <c r="B21" s="165" t="s">
        <v>4652</v>
      </c>
      <c r="C21" s="165" t="s">
        <v>4652</v>
      </c>
      <c r="D21" s="165" t="s">
        <v>6129</v>
      </c>
      <c r="E21" s="169" t="s">
        <v>6058</v>
      </c>
      <c r="F21" s="166" t="s">
        <v>4789</v>
      </c>
      <c r="G21" s="166" t="s">
        <v>4790</v>
      </c>
      <c r="H21" s="169"/>
      <c r="I21" s="265"/>
      <c r="J21" s="265"/>
      <c r="K21" s="265"/>
      <c r="L21" s="265"/>
      <c r="M21" s="265"/>
    </row>
    <row r="22" spans="1:13" ht="18">
      <c r="A22" s="165" t="s">
        <v>4890</v>
      </c>
      <c r="B22" s="165" t="s">
        <v>4908</v>
      </c>
      <c r="C22" s="165" t="s">
        <v>4878</v>
      </c>
      <c r="D22" s="165" t="s">
        <v>4926</v>
      </c>
      <c r="E22" s="169" t="s">
        <v>6058</v>
      </c>
      <c r="F22" s="166" t="s">
        <v>4778</v>
      </c>
      <c r="G22" s="166" t="s">
        <v>4693</v>
      </c>
      <c r="H22" s="169"/>
      <c r="I22" s="265"/>
      <c r="J22" s="265"/>
      <c r="K22" s="265"/>
      <c r="L22" s="265"/>
      <c r="M22" s="265"/>
    </row>
    <row r="23" spans="1:13" ht="15.6">
      <c r="A23" s="165" t="s">
        <v>4891</v>
      </c>
      <c r="B23" s="165" t="s">
        <v>4495</v>
      </c>
      <c r="C23" s="165" t="s">
        <v>4495</v>
      </c>
      <c r="D23" s="165" t="s">
        <v>6131</v>
      </c>
      <c r="E23" s="169" t="s">
        <v>6058</v>
      </c>
      <c r="F23" s="166" t="s">
        <v>4791</v>
      </c>
      <c r="G23" s="166" t="s">
        <v>4792</v>
      </c>
      <c r="H23" s="169"/>
      <c r="I23" s="265"/>
      <c r="J23" s="265"/>
      <c r="K23" s="265"/>
      <c r="L23" s="265"/>
      <c r="M23" s="265"/>
    </row>
    <row r="24" spans="1:13" ht="18">
      <c r="A24" s="165" t="s">
        <v>14</v>
      </c>
      <c r="B24" s="165" t="s">
        <v>4909</v>
      </c>
      <c r="C24" s="165" t="s">
        <v>4654</v>
      </c>
      <c r="D24" s="165" t="s">
        <v>5047</v>
      </c>
      <c r="E24" s="169" t="s">
        <v>6058</v>
      </c>
      <c r="F24" s="166" t="s">
        <v>4782</v>
      </c>
      <c r="G24" s="166" t="s">
        <v>4783</v>
      </c>
      <c r="H24" s="169"/>
      <c r="I24" s="265"/>
      <c r="J24" s="265"/>
      <c r="K24" s="265"/>
      <c r="L24" s="265"/>
      <c r="M24" s="265"/>
    </row>
    <row r="25" spans="1:13" ht="18">
      <c r="A25" s="165" t="s">
        <v>10</v>
      </c>
      <c r="B25" s="166" t="s">
        <v>5024</v>
      </c>
      <c r="C25" s="165" t="s">
        <v>4742</v>
      </c>
      <c r="D25" s="165" t="s">
        <v>5985</v>
      </c>
      <c r="E25" s="169" t="s">
        <v>6058</v>
      </c>
      <c r="F25" s="166" t="s">
        <v>4573</v>
      </c>
      <c r="G25" s="166" t="s">
        <v>4462</v>
      </c>
      <c r="H25" s="169"/>
      <c r="I25" s="265"/>
      <c r="J25" s="265"/>
      <c r="K25" s="265"/>
      <c r="L25" s="265"/>
      <c r="M25" s="265"/>
    </row>
    <row r="26" spans="1:13" ht="18">
      <c r="A26" s="165" t="s">
        <v>11</v>
      </c>
      <c r="B26" s="166" t="s">
        <v>5025</v>
      </c>
      <c r="C26" s="165" t="s">
        <v>4709</v>
      </c>
      <c r="D26" s="165" t="s">
        <v>4897</v>
      </c>
      <c r="E26" s="169" t="s">
        <v>6058</v>
      </c>
      <c r="F26" s="265"/>
      <c r="G26" s="265"/>
      <c r="H26" s="169"/>
      <c r="I26" s="265"/>
      <c r="J26" s="265"/>
      <c r="K26" s="265"/>
      <c r="L26" s="265"/>
      <c r="M26" s="265"/>
    </row>
    <row r="27" spans="1:13" ht="15.6">
      <c r="A27" s="165" t="s">
        <v>4892</v>
      </c>
      <c r="B27" s="165" t="s">
        <v>4893</v>
      </c>
      <c r="C27" s="165" t="s">
        <v>5804</v>
      </c>
      <c r="D27" s="165" t="s">
        <v>4925</v>
      </c>
      <c r="E27" s="169" t="s">
        <v>6058</v>
      </c>
      <c r="F27" s="265"/>
      <c r="G27" s="265"/>
      <c r="H27" s="169"/>
      <c r="I27" s="265"/>
      <c r="J27" s="265"/>
      <c r="K27" s="265"/>
      <c r="L27" s="265"/>
      <c r="M27" s="265"/>
    </row>
    <row r="28" spans="1:13" ht="18">
      <c r="A28" s="165" t="s">
        <v>4930</v>
      </c>
      <c r="B28" s="166" t="s">
        <v>5544</v>
      </c>
      <c r="C28" s="165" t="s">
        <v>5678</v>
      </c>
      <c r="D28" s="165" t="s">
        <v>4924</v>
      </c>
      <c r="E28" s="169" t="s">
        <v>6058</v>
      </c>
      <c r="F28" s="265"/>
      <c r="G28" s="265"/>
      <c r="H28" s="169"/>
      <c r="I28" s="265"/>
      <c r="J28" s="265"/>
      <c r="K28" s="265"/>
      <c r="L28" s="265"/>
      <c r="M28" s="265"/>
    </row>
    <row r="29" spans="1:13" ht="18">
      <c r="A29" s="165" t="s">
        <v>4931</v>
      </c>
      <c r="B29" s="166" t="s">
        <v>5809</v>
      </c>
      <c r="C29" s="165" t="s">
        <v>5677</v>
      </c>
      <c r="D29" s="165" t="s">
        <v>4923</v>
      </c>
      <c r="E29" s="169" t="s">
        <v>6058</v>
      </c>
      <c r="F29" s="265"/>
      <c r="G29" s="265"/>
      <c r="H29" s="169"/>
      <c r="I29" s="265"/>
      <c r="J29" s="265"/>
      <c r="K29" s="265"/>
      <c r="L29" s="265"/>
      <c r="M29" s="265"/>
    </row>
    <row r="30" spans="1:13" ht="18">
      <c r="A30" s="165" t="s">
        <v>4932</v>
      </c>
      <c r="B30" s="166" t="s">
        <v>5546</v>
      </c>
      <c r="C30" s="165" t="s">
        <v>5679</v>
      </c>
      <c r="D30" s="165" t="s">
        <v>4922</v>
      </c>
      <c r="E30" s="169" t="s">
        <v>6058</v>
      </c>
      <c r="F30" s="265"/>
      <c r="G30" s="265"/>
      <c r="H30" s="169"/>
      <c r="I30" s="265"/>
      <c r="J30" s="265"/>
      <c r="K30" s="265"/>
      <c r="L30" s="265"/>
      <c r="M30" s="265"/>
    </row>
    <row r="31" spans="1:13" ht="18">
      <c r="A31" s="165" t="s">
        <v>4933</v>
      </c>
      <c r="B31" s="166" t="s">
        <v>5545</v>
      </c>
      <c r="C31" s="165" t="s">
        <v>5680</v>
      </c>
      <c r="D31" s="165" t="s">
        <v>4920</v>
      </c>
      <c r="E31" s="169" t="s">
        <v>6058</v>
      </c>
      <c r="F31" s="265"/>
      <c r="G31" s="265"/>
      <c r="H31" s="169"/>
      <c r="I31" s="265"/>
      <c r="J31" s="265"/>
      <c r="K31" s="265"/>
      <c r="L31" s="265"/>
      <c r="M31" s="265"/>
    </row>
    <row r="32" spans="1:13" ht="18">
      <c r="A32" s="165" t="s">
        <v>4934</v>
      </c>
      <c r="B32" s="166" t="s">
        <v>5547</v>
      </c>
      <c r="C32" s="165" t="s">
        <v>5681</v>
      </c>
      <c r="D32" s="165" t="s">
        <v>4921</v>
      </c>
      <c r="E32" s="169" t="s">
        <v>6058</v>
      </c>
      <c r="F32" s="265"/>
      <c r="G32" s="265"/>
      <c r="H32" s="169"/>
      <c r="I32" s="265"/>
      <c r="J32" s="265"/>
      <c r="K32" s="265"/>
      <c r="L32" s="265"/>
      <c r="M32" s="265"/>
    </row>
    <row r="33" spans="1:13" ht="15.6">
      <c r="A33" s="165" t="s">
        <v>4935</v>
      </c>
      <c r="B33" s="165" t="s">
        <v>4893</v>
      </c>
      <c r="C33" s="165" t="s">
        <v>5805</v>
      </c>
      <c r="D33" s="165" t="s">
        <v>4912</v>
      </c>
      <c r="E33" s="169" t="s">
        <v>6058</v>
      </c>
      <c r="F33" s="265"/>
      <c r="G33" s="265"/>
      <c r="H33" s="169"/>
      <c r="I33" s="265"/>
      <c r="J33" s="265"/>
      <c r="K33" s="265"/>
      <c r="L33" s="265"/>
      <c r="M33" s="265"/>
    </row>
    <row r="34" spans="1:13" ht="18">
      <c r="A34" s="165" t="s">
        <v>4936</v>
      </c>
      <c r="B34" s="166" t="s">
        <v>5551</v>
      </c>
      <c r="C34" s="165" t="s">
        <v>5683</v>
      </c>
      <c r="D34" s="165" t="s">
        <v>4913</v>
      </c>
      <c r="E34" s="169" t="s">
        <v>6058</v>
      </c>
      <c r="F34" s="265"/>
      <c r="G34" s="265"/>
      <c r="H34" s="169"/>
      <c r="I34" s="265"/>
      <c r="J34" s="265"/>
      <c r="K34" s="265"/>
      <c r="L34" s="265"/>
      <c r="M34" s="265"/>
    </row>
    <row r="35" spans="1:13" ht="18">
      <c r="A35" s="165" t="s">
        <v>4937</v>
      </c>
      <c r="B35" s="166" t="s">
        <v>5808</v>
      </c>
      <c r="C35" s="165" t="s">
        <v>5682</v>
      </c>
      <c r="D35" s="165" t="s">
        <v>4914</v>
      </c>
      <c r="E35" s="169" t="s">
        <v>6058</v>
      </c>
      <c r="F35" s="265"/>
      <c r="G35" s="265"/>
      <c r="H35" s="169"/>
      <c r="I35" s="265"/>
      <c r="J35" s="265"/>
      <c r="K35" s="265"/>
      <c r="L35" s="265"/>
      <c r="M35" s="265"/>
    </row>
    <row r="36" spans="1:13" ht="18">
      <c r="A36" s="165" t="s">
        <v>4938</v>
      </c>
      <c r="B36" s="166" t="s">
        <v>5550</v>
      </c>
      <c r="C36" s="165" t="s">
        <v>5685</v>
      </c>
      <c r="D36" s="165" t="s">
        <v>4915</v>
      </c>
      <c r="E36" s="169" t="s">
        <v>6058</v>
      </c>
      <c r="F36" s="265"/>
      <c r="G36" s="265"/>
      <c r="H36" s="169"/>
      <c r="I36" s="265"/>
      <c r="J36" s="265"/>
      <c r="K36" s="265"/>
      <c r="L36" s="265"/>
      <c r="M36" s="265"/>
    </row>
    <row r="37" spans="1:13" ht="18">
      <c r="A37" s="165" t="s">
        <v>4948</v>
      </c>
      <c r="B37" s="166" t="s">
        <v>5549</v>
      </c>
      <c r="C37" s="165" t="s">
        <v>5684</v>
      </c>
      <c r="D37" s="165" t="s">
        <v>4916</v>
      </c>
      <c r="E37" s="169" t="s">
        <v>6058</v>
      </c>
      <c r="F37" s="265"/>
      <c r="G37" s="265"/>
      <c r="H37" s="169"/>
      <c r="I37" s="265"/>
      <c r="J37" s="265"/>
      <c r="K37" s="265"/>
      <c r="L37" s="265"/>
      <c r="M37" s="265"/>
    </row>
    <row r="38" spans="1:13" ht="18">
      <c r="A38" s="165" t="s">
        <v>4949</v>
      </c>
      <c r="B38" s="166" t="s">
        <v>5548</v>
      </c>
      <c r="C38" s="165" t="s">
        <v>5686</v>
      </c>
      <c r="D38" s="165" t="s">
        <v>4894</v>
      </c>
      <c r="E38" s="170" t="s">
        <v>6058</v>
      </c>
      <c r="F38" s="265"/>
      <c r="G38" s="265"/>
      <c r="H38" s="170"/>
      <c r="I38" s="265"/>
      <c r="J38" s="265"/>
      <c r="K38" s="265"/>
      <c r="L38" s="265"/>
      <c r="M38" s="265"/>
    </row>
    <row r="39" spans="1:13" ht="18.600000000000001">
      <c r="A39" s="165" t="s">
        <v>4950</v>
      </c>
      <c r="B39" s="166" t="s">
        <v>6034</v>
      </c>
      <c r="C39" s="165" t="s">
        <v>6033</v>
      </c>
      <c r="D39" s="165" t="s">
        <v>6038</v>
      </c>
      <c r="E39" s="170" t="s">
        <v>6058</v>
      </c>
      <c r="F39" s="265"/>
      <c r="G39" s="265"/>
      <c r="H39" s="170"/>
      <c r="I39" s="265"/>
      <c r="J39" s="265"/>
      <c r="K39" s="265"/>
      <c r="L39" s="265"/>
      <c r="M39" s="265"/>
    </row>
    <row r="40" spans="1:13" ht="18.600000000000001">
      <c r="A40" s="165" t="s">
        <v>4951</v>
      </c>
      <c r="B40" s="166" t="s">
        <v>6035</v>
      </c>
      <c r="C40" s="165" t="s">
        <v>6036</v>
      </c>
      <c r="D40" s="165" t="s">
        <v>6037</v>
      </c>
      <c r="E40" s="170" t="s">
        <v>6058</v>
      </c>
      <c r="F40" s="265"/>
      <c r="G40" s="265"/>
      <c r="H40" s="170"/>
      <c r="I40" s="265"/>
      <c r="J40" s="265"/>
      <c r="K40" s="265"/>
      <c r="L40" s="265"/>
      <c r="M40" s="265"/>
    </row>
    <row r="41" spans="1:13" ht="18">
      <c r="A41" s="165" t="s">
        <v>4952</v>
      </c>
      <c r="B41" s="166" t="s">
        <v>5552</v>
      </c>
      <c r="C41" s="165" t="s">
        <v>5687</v>
      </c>
      <c r="D41" s="165" t="s">
        <v>4919</v>
      </c>
      <c r="E41" s="170" t="s">
        <v>6058</v>
      </c>
      <c r="F41" s="265"/>
      <c r="G41" s="265"/>
      <c r="H41" s="170"/>
      <c r="I41" s="265"/>
      <c r="J41" s="265"/>
      <c r="K41" s="265"/>
      <c r="L41" s="265"/>
      <c r="M41" s="265"/>
    </row>
    <row r="42" spans="1:13" ht="18">
      <c r="A42" s="165" t="s">
        <v>4953</v>
      </c>
      <c r="B42" s="166" t="s">
        <v>5553</v>
      </c>
      <c r="C42" s="165" t="s">
        <v>5688</v>
      </c>
      <c r="D42" s="165" t="s">
        <v>4917</v>
      </c>
      <c r="E42" s="170" t="s">
        <v>6058</v>
      </c>
      <c r="F42" s="265"/>
      <c r="G42" s="265"/>
      <c r="H42" s="170"/>
      <c r="I42" s="265"/>
      <c r="J42" s="265"/>
      <c r="K42" s="265"/>
      <c r="L42" s="265"/>
      <c r="M42" s="265"/>
    </row>
    <row r="43" spans="1:13" ht="18">
      <c r="A43" s="165" t="s">
        <v>4954</v>
      </c>
      <c r="B43" s="166" t="s">
        <v>5554</v>
      </c>
      <c r="C43" s="165" t="s">
        <v>5689</v>
      </c>
      <c r="D43" s="165" t="s">
        <v>4918</v>
      </c>
      <c r="E43" s="170" t="s">
        <v>6058</v>
      </c>
      <c r="F43" s="265"/>
      <c r="G43" s="265"/>
      <c r="H43" s="170"/>
      <c r="I43" s="265"/>
      <c r="J43" s="265"/>
      <c r="K43" s="265"/>
      <c r="L43" s="265"/>
      <c r="M43" s="265"/>
    </row>
    <row r="44" spans="1:13" ht="18">
      <c r="A44" s="165" t="s">
        <v>4955</v>
      </c>
      <c r="B44" s="166" t="s">
        <v>5019</v>
      </c>
      <c r="C44" s="166" t="s">
        <v>4655</v>
      </c>
      <c r="D44" s="166" t="s">
        <v>4927</v>
      </c>
      <c r="E44" s="170" t="s">
        <v>6058</v>
      </c>
      <c r="F44" s="265"/>
      <c r="G44" s="265"/>
      <c r="H44" s="170"/>
      <c r="I44" s="265"/>
      <c r="J44" s="265"/>
      <c r="K44" s="265"/>
      <c r="L44" s="265"/>
      <c r="M44" s="265"/>
    </row>
    <row r="45" spans="1:13" ht="18">
      <c r="A45" s="165" t="s">
        <v>4956</v>
      </c>
      <c r="B45" s="166" t="s">
        <v>5018</v>
      </c>
      <c r="C45" s="166" t="s">
        <v>4818</v>
      </c>
      <c r="D45" s="166" t="s">
        <v>4928</v>
      </c>
      <c r="E45" s="169" t="s">
        <v>6058</v>
      </c>
      <c r="F45" s="265"/>
      <c r="G45" s="265"/>
      <c r="H45" s="169"/>
      <c r="I45" s="265"/>
      <c r="J45" s="265"/>
      <c r="K45" s="265"/>
      <c r="L45" s="265"/>
      <c r="M45" s="265"/>
    </row>
    <row r="46" spans="1:13" ht="15.6">
      <c r="A46" s="165" t="s">
        <v>4957</v>
      </c>
      <c r="B46" s="166" t="s">
        <v>5806</v>
      </c>
      <c r="C46" s="166" t="s">
        <v>4565</v>
      </c>
      <c r="D46" s="166" t="s">
        <v>6132</v>
      </c>
      <c r="E46" s="169" t="s">
        <v>6058</v>
      </c>
      <c r="F46" s="265"/>
      <c r="G46" s="265"/>
      <c r="H46" s="169"/>
      <c r="I46" s="265"/>
      <c r="J46" s="265"/>
      <c r="K46" s="265"/>
      <c r="L46" s="265"/>
      <c r="M46" s="265"/>
    </row>
    <row r="47" spans="1:13" ht="15.6">
      <c r="A47" s="165" t="s">
        <v>4958</v>
      </c>
      <c r="B47" s="166" t="s">
        <v>4907</v>
      </c>
      <c r="C47" s="166" t="s">
        <v>4907</v>
      </c>
      <c r="D47" s="166" t="s">
        <v>4910</v>
      </c>
      <c r="E47" s="170" t="s">
        <v>6058</v>
      </c>
      <c r="F47" s="265"/>
      <c r="G47" s="265"/>
      <c r="H47" s="170"/>
      <c r="I47" s="265"/>
      <c r="J47" s="265"/>
      <c r="K47" s="265"/>
      <c r="L47" s="265"/>
      <c r="M47" s="265"/>
    </row>
    <row r="48" spans="1:13" ht="18">
      <c r="A48" s="165" t="s">
        <v>4959</v>
      </c>
      <c r="B48" s="166" t="s">
        <v>5017</v>
      </c>
      <c r="C48" s="166" t="s">
        <v>4656</v>
      </c>
      <c r="D48" s="166" t="s">
        <v>6150</v>
      </c>
      <c r="E48" s="170" t="s">
        <v>6058</v>
      </c>
      <c r="F48" s="265"/>
      <c r="G48" s="265"/>
      <c r="H48" s="170"/>
      <c r="I48" s="265"/>
      <c r="J48" s="265"/>
      <c r="K48" s="265"/>
      <c r="L48" s="265"/>
      <c r="M48" s="265"/>
    </row>
    <row r="49" spans="1:13" ht="18">
      <c r="A49" s="165" t="s">
        <v>4960</v>
      </c>
      <c r="B49" s="166" t="s">
        <v>5020</v>
      </c>
      <c r="C49" s="166" t="s">
        <v>5690</v>
      </c>
      <c r="D49" s="166" t="s">
        <v>4911</v>
      </c>
      <c r="E49" s="170" t="s">
        <v>6058</v>
      </c>
      <c r="F49" s="265"/>
      <c r="G49" s="265"/>
      <c r="H49" s="170"/>
      <c r="I49" s="265"/>
      <c r="J49" s="265"/>
      <c r="K49" s="265"/>
      <c r="L49" s="265"/>
      <c r="M49" s="265"/>
    </row>
    <row r="50" spans="1:13" ht="18">
      <c r="A50" s="165" t="s">
        <v>4961</v>
      </c>
      <c r="B50" s="166" t="s">
        <v>5555</v>
      </c>
      <c r="C50" s="166" t="s">
        <v>5691</v>
      </c>
      <c r="D50" s="166" t="s">
        <v>4929</v>
      </c>
      <c r="E50" s="170" t="s">
        <v>6058</v>
      </c>
      <c r="F50" s="265"/>
      <c r="G50" s="265"/>
      <c r="H50" s="170"/>
      <c r="I50" s="265"/>
      <c r="J50" s="265"/>
      <c r="K50" s="265"/>
      <c r="L50" s="265"/>
      <c r="M50" s="265"/>
    </row>
    <row r="51" spans="1:13" ht="18">
      <c r="A51" s="165" t="s">
        <v>4962</v>
      </c>
      <c r="B51" s="166" t="s">
        <v>5021</v>
      </c>
      <c r="C51" s="165" t="s">
        <v>4657</v>
      </c>
      <c r="D51" s="165" t="s">
        <v>4939</v>
      </c>
      <c r="E51" s="169" t="s">
        <v>6058</v>
      </c>
      <c r="F51" s="265"/>
      <c r="G51" s="265"/>
      <c r="H51" s="169"/>
      <c r="I51" s="265"/>
      <c r="J51" s="265"/>
      <c r="K51" s="265"/>
      <c r="L51" s="265"/>
      <c r="M51" s="265"/>
    </row>
    <row r="52" spans="1:13" ht="18">
      <c r="A52" s="165" t="s">
        <v>4963</v>
      </c>
      <c r="B52" s="166" t="s">
        <v>5022</v>
      </c>
      <c r="C52" s="165" t="s">
        <v>4658</v>
      </c>
      <c r="D52" s="165" t="s">
        <v>4940</v>
      </c>
      <c r="E52" s="169" t="s">
        <v>6058</v>
      </c>
      <c r="F52" s="265"/>
      <c r="G52" s="265"/>
      <c r="H52" s="169"/>
      <c r="I52" s="265"/>
      <c r="J52" s="265"/>
      <c r="K52" s="265"/>
      <c r="L52" s="265"/>
      <c r="M52" s="265"/>
    </row>
    <row r="53" spans="1:13" ht="15.6">
      <c r="A53" s="165" t="s">
        <v>4964</v>
      </c>
      <c r="B53" s="167" t="s">
        <v>6303</v>
      </c>
      <c r="C53" s="166" t="s">
        <v>4659</v>
      </c>
      <c r="D53" s="166" t="s">
        <v>6304</v>
      </c>
      <c r="E53" s="169" t="s">
        <v>6058</v>
      </c>
      <c r="F53" s="265"/>
      <c r="G53" s="265"/>
      <c r="H53" s="169"/>
      <c r="I53" s="265"/>
      <c r="J53" s="265"/>
      <c r="K53" s="265"/>
      <c r="L53" s="265"/>
      <c r="M53" s="265"/>
    </row>
    <row r="54" spans="1:13" ht="15.6">
      <c r="A54" s="165" t="s">
        <v>4789</v>
      </c>
      <c r="B54" s="167" t="s">
        <v>6305</v>
      </c>
      <c r="C54" s="166" t="s">
        <v>6305</v>
      </c>
      <c r="D54" s="166" t="s">
        <v>6306</v>
      </c>
      <c r="E54" s="170" t="s">
        <v>6058</v>
      </c>
      <c r="F54" s="265"/>
      <c r="G54" s="265"/>
      <c r="H54" s="170"/>
      <c r="I54" s="265"/>
      <c r="J54" s="265"/>
      <c r="K54" s="265"/>
      <c r="L54" s="265"/>
      <c r="M54" s="265"/>
    </row>
    <row r="55" spans="1:13" ht="18">
      <c r="A55" s="165" t="s">
        <v>4760</v>
      </c>
      <c r="B55" s="166" t="s">
        <v>5023</v>
      </c>
      <c r="C55" s="166" t="s">
        <v>4815</v>
      </c>
      <c r="D55" s="166" t="s">
        <v>6307</v>
      </c>
      <c r="E55" s="170" t="s">
        <v>6058</v>
      </c>
      <c r="F55" s="265"/>
      <c r="G55" s="265"/>
      <c r="H55" s="170"/>
      <c r="I55" s="265"/>
      <c r="J55" s="265"/>
      <c r="K55" s="265"/>
      <c r="L55" s="265"/>
      <c r="M55" s="265"/>
    </row>
    <row r="56" spans="1:13" ht="15.6">
      <c r="A56" s="165" t="s">
        <v>4965</v>
      </c>
      <c r="B56" s="166" t="s">
        <v>4941</v>
      </c>
      <c r="C56" s="166" t="s">
        <v>4660</v>
      </c>
      <c r="D56" s="166" t="s">
        <v>4942</v>
      </c>
      <c r="E56" s="170" t="s">
        <v>6058</v>
      </c>
      <c r="F56" s="265"/>
      <c r="G56" s="265"/>
      <c r="H56" s="170"/>
      <c r="I56" s="265"/>
      <c r="J56" s="265"/>
      <c r="K56" s="265"/>
      <c r="L56" s="265"/>
      <c r="M56" s="265"/>
    </row>
    <row r="57" spans="1:13" ht="15.6">
      <c r="A57" s="165" t="s">
        <v>4966</v>
      </c>
      <c r="B57" s="166" t="s">
        <v>5865</v>
      </c>
      <c r="C57" s="165" t="s">
        <v>5865</v>
      </c>
      <c r="D57" s="165" t="s">
        <v>6205</v>
      </c>
      <c r="E57" s="170" t="s">
        <v>6058</v>
      </c>
      <c r="F57" s="265"/>
      <c r="G57" s="265"/>
      <c r="H57" s="170"/>
      <c r="I57" s="265"/>
      <c r="J57" s="265"/>
      <c r="K57" s="265"/>
      <c r="L57" s="265"/>
      <c r="M57" s="265"/>
    </row>
    <row r="58" spans="1:13" ht="15.6">
      <c r="A58" s="165" t="s">
        <v>4761</v>
      </c>
      <c r="B58" s="166" t="s">
        <v>5866</v>
      </c>
      <c r="C58" s="165" t="s">
        <v>5866</v>
      </c>
      <c r="D58" s="165" t="s">
        <v>6206</v>
      </c>
      <c r="E58" s="170" t="s">
        <v>6058</v>
      </c>
      <c r="F58" s="265"/>
      <c r="G58" s="265"/>
      <c r="H58" s="170"/>
      <c r="I58" s="265"/>
      <c r="J58" s="265"/>
      <c r="K58" s="265"/>
      <c r="L58" s="265"/>
      <c r="M58" s="265"/>
    </row>
    <row r="59" spans="1:13" ht="15.6">
      <c r="A59" s="166" t="s">
        <v>15</v>
      </c>
      <c r="B59" s="166" t="s">
        <v>4661</v>
      </c>
      <c r="C59" s="165" t="s">
        <v>4661</v>
      </c>
      <c r="D59" s="165" t="s">
        <v>4945</v>
      </c>
      <c r="E59" s="170" t="s">
        <v>6058</v>
      </c>
      <c r="F59" s="265"/>
      <c r="G59" s="265"/>
      <c r="H59" s="170"/>
      <c r="I59" s="265"/>
      <c r="J59" s="265"/>
      <c r="K59" s="265"/>
      <c r="L59" s="265"/>
      <c r="M59" s="265"/>
    </row>
    <row r="60" spans="1:13" ht="15.6">
      <c r="A60" s="166" t="s">
        <v>4970</v>
      </c>
      <c r="B60" s="166" t="s">
        <v>4943</v>
      </c>
      <c r="C60" s="166" t="s">
        <v>4943</v>
      </c>
      <c r="D60" s="166" t="s">
        <v>4944</v>
      </c>
      <c r="E60" s="170" t="s">
        <v>6058</v>
      </c>
      <c r="F60" s="265"/>
      <c r="G60" s="265"/>
      <c r="H60" s="170"/>
      <c r="I60" s="265"/>
      <c r="J60" s="265"/>
      <c r="K60" s="265"/>
      <c r="L60" s="265"/>
      <c r="M60" s="265"/>
    </row>
    <row r="61" spans="1:13" ht="18">
      <c r="A61" s="166" t="s">
        <v>4971</v>
      </c>
      <c r="B61" s="165" t="s">
        <v>6026</v>
      </c>
      <c r="C61" s="166" t="s">
        <v>6025</v>
      </c>
      <c r="D61" s="166" t="s">
        <v>6027</v>
      </c>
      <c r="E61" s="170" t="s">
        <v>6058</v>
      </c>
      <c r="F61" s="265"/>
      <c r="G61" s="265"/>
      <c r="H61" s="170"/>
      <c r="I61" s="265"/>
      <c r="J61" s="265"/>
      <c r="K61" s="265"/>
      <c r="L61" s="265"/>
      <c r="M61" s="265"/>
    </row>
    <row r="62" spans="1:13" ht="18">
      <c r="A62" s="166" t="s">
        <v>4972</v>
      </c>
      <c r="B62" s="165" t="s">
        <v>4946</v>
      </c>
      <c r="C62" s="166" t="s">
        <v>5692</v>
      </c>
      <c r="D62" s="166" t="s">
        <v>4947</v>
      </c>
      <c r="E62" s="170" t="s">
        <v>6058</v>
      </c>
      <c r="F62" s="265"/>
      <c r="G62" s="265"/>
      <c r="H62" s="170"/>
      <c r="I62" s="265"/>
      <c r="J62" s="265"/>
      <c r="K62" s="265"/>
      <c r="L62" s="265"/>
      <c r="M62" s="265"/>
    </row>
    <row r="63" spans="1:13" ht="15.6">
      <c r="A63" s="166" t="s">
        <v>4973</v>
      </c>
      <c r="B63" s="165" t="s">
        <v>4572</v>
      </c>
      <c r="C63" s="166" t="s">
        <v>4572</v>
      </c>
      <c r="D63" s="166" t="s">
        <v>4967</v>
      </c>
      <c r="E63" s="170" t="s">
        <v>6058</v>
      </c>
      <c r="F63" s="265"/>
      <c r="G63" s="265"/>
      <c r="H63" s="170"/>
      <c r="I63" s="265"/>
      <c r="J63" s="265"/>
      <c r="K63" s="265"/>
      <c r="L63" s="265"/>
      <c r="M63" s="265"/>
    </row>
    <row r="64" spans="1:13" ht="18">
      <c r="A64" s="166" t="s">
        <v>4974</v>
      </c>
      <c r="B64" s="165" t="s">
        <v>6171</v>
      </c>
      <c r="C64" s="166" t="s">
        <v>6172</v>
      </c>
      <c r="D64" s="166" t="s">
        <v>6173</v>
      </c>
      <c r="E64" s="170" t="s">
        <v>6058</v>
      </c>
      <c r="F64" s="265"/>
      <c r="G64" s="265"/>
      <c r="H64" s="170"/>
      <c r="I64" s="265"/>
      <c r="J64" s="265"/>
      <c r="K64" s="265"/>
      <c r="L64" s="265"/>
      <c r="M64" s="265"/>
    </row>
    <row r="65" spans="1:13" ht="18">
      <c r="A65" s="166" t="s">
        <v>4993</v>
      </c>
      <c r="B65" s="165" t="s">
        <v>6181</v>
      </c>
      <c r="C65" s="166" t="s">
        <v>6182</v>
      </c>
      <c r="D65" s="166" t="s">
        <v>6183</v>
      </c>
      <c r="E65" s="170" t="s">
        <v>6058</v>
      </c>
      <c r="F65" s="265"/>
      <c r="G65" s="265"/>
      <c r="H65" s="170"/>
      <c r="I65" s="265"/>
      <c r="J65" s="265"/>
      <c r="K65" s="265"/>
      <c r="L65" s="265"/>
      <c r="M65" s="265"/>
    </row>
    <row r="66" spans="1:13" ht="18.600000000000001">
      <c r="A66" s="166" t="s">
        <v>4994</v>
      </c>
      <c r="B66" s="165" t="s">
        <v>6184</v>
      </c>
      <c r="C66" s="166" t="s">
        <v>6185</v>
      </c>
      <c r="D66" s="166" t="s">
        <v>6186</v>
      </c>
      <c r="E66" s="169" t="s">
        <v>6058</v>
      </c>
      <c r="F66" s="265"/>
      <c r="G66" s="265"/>
      <c r="H66" s="169"/>
      <c r="I66" s="265"/>
      <c r="J66" s="265"/>
      <c r="K66" s="265"/>
      <c r="L66" s="265"/>
      <c r="M66" s="265"/>
    </row>
    <row r="67" spans="1:13" ht="18">
      <c r="A67" s="166" t="s">
        <v>4995</v>
      </c>
      <c r="B67" s="165" t="s">
        <v>6023</v>
      </c>
      <c r="C67" s="166" t="s">
        <v>6024</v>
      </c>
      <c r="D67" s="166" t="s">
        <v>6028</v>
      </c>
      <c r="E67" s="169" t="s">
        <v>6058</v>
      </c>
      <c r="F67" s="265"/>
      <c r="G67" s="265"/>
      <c r="H67" s="169"/>
      <c r="I67" s="265"/>
      <c r="J67" s="265"/>
      <c r="K67" s="265"/>
      <c r="L67" s="265"/>
      <c r="M67" s="265"/>
    </row>
    <row r="68" spans="1:13" ht="15.6">
      <c r="A68" s="166" t="s">
        <v>4996</v>
      </c>
      <c r="B68" s="165" t="s">
        <v>4592</v>
      </c>
      <c r="C68" s="166" t="s">
        <v>5876</v>
      </c>
      <c r="D68" s="166" t="s">
        <v>4968</v>
      </c>
      <c r="E68" s="169" t="s">
        <v>6058</v>
      </c>
      <c r="F68" s="265"/>
      <c r="G68" s="265"/>
      <c r="H68" s="169"/>
      <c r="I68" s="265"/>
      <c r="J68" s="265"/>
      <c r="K68" s="265"/>
      <c r="L68" s="265"/>
      <c r="M68" s="265"/>
    </row>
    <row r="69" spans="1:13" ht="15.6">
      <c r="A69" s="166" t="s">
        <v>4652</v>
      </c>
      <c r="B69" s="165" t="s">
        <v>5806</v>
      </c>
      <c r="C69" s="166" t="s">
        <v>5806</v>
      </c>
      <c r="D69" s="166" t="s">
        <v>5872</v>
      </c>
      <c r="E69" s="169" t="s">
        <v>6058</v>
      </c>
      <c r="F69" s="265"/>
      <c r="G69" s="265"/>
      <c r="H69" s="169"/>
      <c r="I69" s="265"/>
      <c r="J69" s="265"/>
      <c r="K69" s="265"/>
      <c r="L69" s="265"/>
      <c r="M69" s="265"/>
    </row>
    <row r="70" spans="1:13" ht="18">
      <c r="A70" s="166" t="s">
        <v>4997</v>
      </c>
      <c r="B70" s="165" t="s">
        <v>5893</v>
      </c>
      <c r="C70" s="166" t="s">
        <v>5879</v>
      </c>
      <c r="D70" s="166" t="s">
        <v>5886</v>
      </c>
      <c r="E70" s="169" t="s">
        <v>6058</v>
      </c>
      <c r="F70" s="265"/>
      <c r="G70" s="265"/>
      <c r="H70" s="169"/>
      <c r="I70" s="265"/>
      <c r="J70" s="265"/>
      <c r="K70" s="265"/>
      <c r="L70" s="265"/>
      <c r="M70" s="265"/>
    </row>
    <row r="71" spans="1:13" ht="18">
      <c r="A71" s="166" t="s">
        <v>4998</v>
      </c>
      <c r="B71" s="165" t="s">
        <v>6177</v>
      </c>
      <c r="C71" s="166" t="s">
        <v>6178</v>
      </c>
      <c r="D71" s="166" t="s">
        <v>6179</v>
      </c>
      <c r="E71" s="169" t="s">
        <v>6058</v>
      </c>
      <c r="F71" s="265"/>
      <c r="G71" s="265"/>
      <c r="H71" s="169"/>
      <c r="I71" s="265"/>
      <c r="J71" s="265"/>
      <c r="K71" s="265"/>
      <c r="L71" s="265"/>
      <c r="M71" s="265"/>
    </row>
    <row r="72" spans="1:13" ht="18">
      <c r="A72" s="166" t="s">
        <v>4759</v>
      </c>
      <c r="B72" s="165" t="s">
        <v>5892</v>
      </c>
      <c r="C72" s="166" t="s">
        <v>5878</v>
      </c>
      <c r="D72" s="166" t="s">
        <v>5887</v>
      </c>
      <c r="E72" s="169" t="s">
        <v>6058</v>
      </c>
      <c r="F72" s="265"/>
      <c r="G72" s="265"/>
      <c r="H72" s="169"/>
      <c r="I72" s="265"/>
      <c r="J72" s="265"/>
      <c r="K72" s="265"/>
      <c r="L72" s="265"/>
      <c r="M72" s="265"/>
    </row>
    <row r="73" spans="1:13" ht="18">
      <c r="A73" s="166" t="s">
        <v>4999</v>
      </c>
      <c r="B73" s="165" t="s">
        <v>5891</v>
      </c>
      <c r="C73" s="166" t="s">
        <v>5877</v>
      </c>
      <c r="D73" s="166" t="s">
        <v>5888</v>
      </c>
      <c r="E73" s="169" t="s">
        <v>6058</v>
      </c>
      <c r="F73" s="265"/>
      <c r="G73" s="265"/>
      <c r="H73" s="169"/>
      <c r="I73" s="265"/>
      <c r="J73" s="265"/>
      <c r="K73" s="265"/>
      <c r="L73" s="265"/>
      <c r="M73" s="265"/>
    </row>
    <row r="74" spans="1:13" ht="18">
      <c r="A74" s="166" t="s">
        <v>5000</v>
      </c>
      <c r="B74" s="165" t="s">
        <v>6116</v>
      </c>
      <c r="C74" s="166" t="s">
        <v>6117</v>
      </c>
      <c r="D74" s="166" t="s">
        <v>6118</v>
      </c>
      <c r="E74" s="169" t="s">
        <v>6058</v>
      </c>
      <c r="F74" s="265"/>
      <c r="G74" s="265"/>
      <c r="H74" s="169"/>
      <c r="I74" s="265"/>
      <c r="J74" s="265"/>
      <c r="K74" s="265"/>
      <c r="L74" s="265"/>
      <c r="M74" s="265"/>
    </row>
    <row r="75" spans="1:13" ht="18">
      <c r="A75" s="166" t="s">
        <v>5001</v>
      </c>
      <c r="B75" s="165" t="s">
        <v>5890</v>
      </c>
      <c r="C75" s="166" t="s">
        <v>5880</v>
      </c>
      <c r="D75" s="166" t="s">
        <v>5889</v>
      </c>
      <c r="E75" s="169" t="s">
        <v>6058</v>
      </c>
      <c r="F75" s="265"/>
      <c r="G75" s="265"/>
      <c r="H75" s="169"/>
      <c r="I75" s="265"/>
      <c r="J75" s="265"/>
      <c r="K75" s="265"/>
      <c r="L75" s="265"/>
      <c r="M75" s="265"/>
    </row>
    <row r="76" spans="1:13" ht="15.6">
      <c r="A76" s="166" t="s">
        <v>4799</v>
      </c>
      <c r="B76" s="166" t="s">
        <v>4579</v>
      </c>
      <c r="C76" s="166" t="s">
        <v>4662</v>
      </c>
      <c r="D76" s="166" t="s">
        <v>6160</v>
      </c>
      <c r="E76" s="169" t="s">
        <v>6058</v>
      </c>
      <c r="F76" s="265"/>
      <c r="G76" s="265"/>
      <c r="H76" s="169"/>
      <c r="I76" s="265"/>
      <c r="J76" s="265"/>
      <c r="K76" s="265"/>
      <c r="L76" s="265"/>
      <c r="M76" s="265"/>
    </row>
    <row r="77" spans="1:13" ht="15.6">
      <c r="A77" s="166" t="s">
        <v>5002</v>
      </c>
      <c r="B77" s="166" t="s">
        <v>4578</v>
      </c>
      <c r="C77" s="166" t="s">
        <v>4663</v>
      </c>
      <c r="D77" s="166" t="s">
        <v>4969</v>
      </c>
      <c r="E77" s="169" t="s">
        <v>6058</v>
      </c>
      <c r="F77" s="265"/>
      <c r="G77" s="265"/>
      <c r="H77" s="169"/>
      <c r="I77" s="265"/>
      <c r="J77" s="265"/>
      <c r="K77" s="265"/>
      <c r="L77" s="265"/>
      <c r="M77" s="265"/>
    </row>
    <row r="78" spans="1:13" ht="18.600000000000001">
      <c r="A78" s="166" t="s">
        <v>4773</v>
      </c>
      <c r="B78" s="165" t="s">
        <v>6161</v>
      </c>
      <c r="C78" s="166" t="s">
        <v>6162</v>
      </c>
      <c r="D78" s="166" t="s">
        <v>6163</v>
      </c>
      <c r="E78" s="169" t="s">
        <v>6058</v>
      </c>
      <c r="F78" s="265"/>
      <c r="G78" s="265"/>
      <c r="H78" s="169"/>
      <c r="I78" s="265"/>
      <c r="J78" s="265"/>
      <c r="K78" s="265"/>
      <c r="L78" s="265"/>
      <c r="M78" s="265"/>
    </row>
    <row r="79" spans="1:13" ht="18.600000000000001">
      <c r="A79" s="166" t="s">
        <v>5003</v>
      </c>
      <c r="B79" s="165" t="s">
        <v>6157</v>
      </c>
      <c r="C79" s="166" t="s">
        <v>6158</v>
      </c>
      <c r="D79" s="166" t="s">
        <v>6159</v>
      </c>
      <c r="E79" s="169" t="s">
        <v>6058</v>
      </c>
      <c r="F79" s="265"/>
      <c r="G79" s="265"/>
      <c r="H79" s="169"/>
      <c r="I79" s="265"/>
      <c r="J79" s="265"/>
      <c r="K79" s="265"/>
      <c r="L79" s="265"/>
      <c r="M79" s="265"/>
    </row>
    <row r="80" spans="1:13" ht="18">
      <c r="A80" s="166" t="s">
        <v>5027</v>
      </c>
      <c r="B80" s="165" t="s">
        <v>5870</v>
      </c>
      <c r="C80" s="166" t="s">
        <v>5861</v>
      </c>
      <c r="D80" s="166" t="s">
        <v>5871</v>
      </c>
      <c r="E80" s="169" t="s">
        <v>6058</v>
      </c>
      <c r="F80" s="265"/>
      <c r="G80" s="265"/>
      <c r="H80" s="169"/>
      <c r="I80" s="265"/>
      <c r="J80" s="265"/>
      <c r="K80" s="265"/>
      <c r="L80" s="265"/>
      <c r="M80" s="265"/>
    </row>
    <row r="81" spans="1:13" ht="15.6">
      <c r="A81" s="166" t="s">
        <v>4765</v>
      </c>
      <c r="B81" s="167" t="s">
        <v>4577</v>
      </c>
      <c r="C81" s="166" t="s">
        <v>4664</v>
      </c>
      <c r="D81" s="166" t="s">
        <v>6068</v>
      </c>
      <c r="E81" s="169" t="s">
        <v>6058</v>
      </c>
      <c r="F81" s="265"/>
      <c r="G81" s="265"/>
      <c r="H81" s="169"/>
      <c r="I81" s="265"/>
      <c r="J81" s="265"/>
      <c r="K81" s="265"/>
      <c r="L81" s="265"/>
      <c r="M81" s="265"/>
    </row>
    <row r="82" spans="1:13" ht="15.6">
      <c r="A82" s="166" t="s">
        <v>4758</v>
      </c>
      <c r="B82" s="165" t="s">
        <v>4447</v>
      </c>
      <c r="C82" s="165" t="s">
        <v>5712</v>
      </c>
      <c r="D82" s="165" t="s">
        <v>4976</v>
      </c>
      <c r="E82" s="169" t="s">
        <v>6058</v>
      </c>
      <c r="F82" s="265"/>
      <c r="G82" s="265"/>
      <c r="H82" s="169"/>
      <c r="I82" s="265"/>
      <c r="J82" s="265"/>
      <c r="K82" s="265"/>
      <c r="L82" s="265"/>
      <c r="M82" s="265"/>
    </row>
    <row r="83" spans="1:13" ht="18">
      <c r="A83" s="166" t="s">
        <v>5028</v>
      </c>
      <c r="B83" s="165" t="s">
        <v>5810</v>
      </c>
      <c r="C83" s="165" t="s">
        <v>5711</v>
      </c>
      <c r="D83" s="165" t="s">
        <v>4977</v>
      </c>
      <c r="E83" s="169" t="s">
        <v>6058</v>
      </c>
      <c r="F83" s="265"/>
      <c r="G83" s="265"/>
      <c r="H83" s="169"/>
      <c r="I83" s="265"/>
      <c r="J83" s="265"/>
      <c r="K83" s="265"/>
      <c r="L83" s="265"/>
      <c r="M83" s="265"/>
    </row>
    <row r="84" spans="1:13" ht="18">
      <c r="A84" s="166" t="s">
        <v>5029</v>
      </c>
      <c r="B84" s="165" t="s">
        <v>5811</v>
      </c>
      <c r="C84" s="165" t="s">
        <v>5709</v>
      </c>
      <c r="D84" s="165" t="s">
        <v>4978</v>
      </c>
      <c r="E84" s="169" t="s">
        <v>6058</v>
      </c>
      <c r="F84" s="265"/>
      <c r="G84" s="265"/>
      <c r="H84" s="169"/>
      <c r="I84" s="265"/>
      <c r="J84" s="265"/>
      <c r="K84" s="265"/>
      <c r="L84" s="265"/>
      <c r="M84" s="265"/>
    </row>
    <row r="85" spans="1:13" ht="18">
      <c r="A85" s="166" t="s">
        <v>5030</v>
      </c>
      <c r="B85" s="165" t="s">
        <v>5812</v>
      </c>
      <c r="C85" s="165" t="s">
        <v>5710</v>
      </c>
      <c r="D85" s="165" t="s">
        <v>4979</v>
      </c>
      <c r="E85" s="169" t="s">
        <v>6058</v>
      </c>
      <c r="F85" s="265"/>
      <c r="G85" s="265"/>
      <c r="H85" s="169"/>
      <c r="I85" s="265"/>
      <c r="J85" s="265"/>
      <c r="K85" s="265"/>
      <c r="L85" s="265"/>
      <c r="M85" s="265"/>
    </row>
    <row r="86" spans="1:13" ht="18">
      <c r="A86" s="166" t="s">
        <v>5031</v>
      </c>
      <c r="B86" s="165" t="s">
        <v>5811</v>
      </c>
      <c r="C86" s="165" t="s">
        <v>5709</v>
      </c>
      <c r="D86" s="165" t="s">
        <v>4980</v>
      </c>
      <c r="E86" s="169" t="s">
        <v>6058</v>
      </c>
      <c r="F86" s="265"/>
      <c r="G86" s="265"/>
      <c r="H86" s="169"/>
      <c r="I86" s="265"/>
      <c r="J86" s="265"/>
      <c r="K86" s="265"/>
      <c r="L86" s="265"/>
      <c r="M86" s="265"/>
    </row>
    <row r="87" spans="1:13" ht="18">
      <c r="A87" s="166" t="s">
        <v>5032</v>
      </c>
      <c r="B87" s="165" t="s">
        <v>5814</v>
      </c>
      <c r="C87" s="165" t="s">
        <v>5693</v>
      </c>
      <c r="D87" s="165" t="s">
        <v>4975</v>
      </c>
      <c r="E87" s="169" t="s">
        <v>6058</v>
      </c>
      <c r="F87" s="265"/>
      <c r="G87" s="265"/>
      <c r="H87" s="169"/>
      <c r="I87" s="265"/>
      <c r="J87" s="265"/>
      <c r="K87" s="265"/>
      <c r="L87" s="265"/>
      <c r="M87" s="265"/>
    </row>
    <row r="88" spans="1:13" ht="15.6">
      <c r="A88" s="166" t="s">
        <v>5033</v>
      </c>
      <c r="B88" s="165" t="s">
        <v>4447</v>
      </c>
      <c r="C88" s="165" t="s">
        <v>5713</v>
      </c>
      <c r="D88" s="165" t="s">
        <v>4981</v>
      </c>
      <c r="E88" s="169" t="s">
        <v>6058</v>
      </c>
      <c r="F88" s="265"/>
      <c r="G88" s="265"/>
      <c r="H88" s="169"/>
      <c r="I88" s="265"/>
      <c r="J88" s="265"/>
      <c r="K88" s="265"/>
      <c r="L88" s="265"/>
      <c r="M88" s="265"/>
    </row>
    <row r="89" spans="1:13" ht="18">
      <c r="A89" s="166" t="s">
        <v>5034</v>
      </c>
      <c r="B89" s="165" t="s">
        <v>5815</v>
      </c>
      <c r="C89" s="165" t="s">
        <v>5708</v>
      </c>
      <c r="D89" s="165" t="s">
        <v>4982</v>
      </c>
      <c r="E89" s="169" t="s">
        <v>6058</v>
      </c>
      <c r="F89" s="265"/>
      <c r="G89" s="265"/>
      <c r="H89" s="169"/>
      <c r="I89" s="265"/>
      <c r="J89" s="265"/>
      <c r="K89" s="265"/>
      <c r="L89" s="265"/>
      <c r="M89" s="265"/>
    </row>
    <row r="90" spans="1:13" ht="18">
      <c r="A90" s="166" t="s">
        <v>5035</v>
      </c>
      <c r="B90" s="165" t="s">
        <v>5816</v>
      </c>
      <c r="C90" s="165" t="s">
        <v>5707</v>
      </c>
      <c r="D90" s="165" t="s">
        <v>4983</v>
      </c>
      <c r="E90" s="169" t="s">
        <v>6058</v>
      </c>
      <c r="F90" s="265"/>
      <c r="G90" s="265"/>
      <c r="H90" s="169"/>
      <c r="I90" s="265"/>
      <c r="J90" s="265"/>
      <c r="K90" s="265"/>
      <c r="L90" s="265"/>
      <c r="M90" s="265"/>
    </row>
    <row r="91" spans="1:13" ht="18">
      <c r="A91" s="166" t="s">
        <v>5036</v>
      </c>
      <c r="B91" s="165" t="s">
        <v>5817</v>
      </c>
      <c r="C91" s="165" t="s">
        <v>5706</v>
      </c>
      <c r="D91" s="165" t="s">
        <v>4984</v>
      </c>
      <c r="E91" s="169" t="s">
        <v>6058</v>
      </c>
      <c r="F91" s="265"/>
      <c r="G91" s="265"/>
      <c r="H91" s="169"/>
      <c r="I91" s="265"/>
      <c r="J91" s="265"/>
      <c r="K91" s="265"/>
      <c r="L91" s="265"/>
      <c r="M91" s="265"/>
    </row>
    <row r="92" spans="1:13" ht="18">
      <c r="A92" s="166" t="s">
        <v>5037</v>
      </c>
      <c r="B92" s="165" t="s">
        <v>5816</v>
      </c>
      <c r="C92" s="165" t="s">
        <v>5707</v>
      </c>
      <c r="D92" s="165" t="s">
        <v>4985</v>
      </c>
      <c r="E92" s="169" t="s">
        <v>6058</v>
      </c>
      <c r="F92" s="265"/>
      <c r="G92" s="265"/>
      <c r="H92" s="169"/>
      <c r="I92" s="265"/>
      <c r="J92" s="265"/>
      <c r="K92" s="265"/>
      <c r="L92" s="265"/>
      <c r="M92" s="265"/>
    </row>
    <row r="93" spans="1:13" ht="18">
      <c r="A93" s="166" t="s">
        <v>5038</v>
      </c>
      <c r="B93" s="165" t="s">
        <v>5813</v>
      </c>
      <c r="C93" s="165" t="s">
        <v>5694</v>
      </c>
      <c r="D93" s="165" t="s">
        <v>4986</v>
      </c>
      <c r="E93" s="169" t="s">
        <v>6058</v>
      </c>
      <c r="F93" s="265"/>
      <c r="G93" s="265"/>
      <c r="H93" s="169"/>
      <c r="I93" s="265"/>
      <c r="J93" s="265"/>
      <c r="K93" s="265"/>
      <c r="L93" s="265"/>
      <c r="M93" s="265"/>
    </row>
    <row r="94" spans="1:13" ht="15.6">
      <c r="A94" s="166" t="s">
        <v>5039</v>
      </c>
      <c r="B94" s="165" t="s">
        <v>4447</v>
      </c>
      <c r="C94" s="165" t="s">
        <v>5714</v>
      </c>
      <c r="D94" s="165" t="s">
        <v>4987</v>
      </c>
      <c r="E94" s="169" t="s">
        <v>6058</v>
      </c>
      <c r="F94" s="265"/>
      <c r="G94" s="265"/>
      <c r="H94" s="169"/>
      <c r="I94" s="265"/>
      <c r="J94" s="265"/>
      <c r="K94" s="265"/>
      <c r="L94" s="265"/>
      <c r="M94" s="265"/>
    </row>
    <row r="95" spans="1:13" ht="18">
      <c r="A95" s="166" t="s">
        <v>5040</v>
      </c>
      <c r="B95" s="165" t="s">
        <v>5818</v>
      </c>
      <c r="C95" s="165" t="s">
        <v>5705</v>
      </c>
      <c r="D95" s="165" t="s">
        <v>4988</v>
      </c>
      <c r="E95" s="169" t="s">
        <v>6058</v>
      </c>
      <c r="F95" s="265"/>
      <c r="G95" s="265"/>
      <c r="H95" s="169"/>
      <c r="I95" s="265"/>
      <c r="J95" s="265"/>
      <c r="K95" s="265"/>
      <c r="L95" s="265"/>
      <c r="M95" s="265"/>
    </row>
    <row r="96" spans="1:13" ht="18">
      <c r="A96" s="166" t="s">
        <v>5041</v>
      </c>
      <c r="B96" s="165" t="s">
        <v>5819</v>
      </c>
      <c r="C96" s="165" t="s">
        <v>5704</v>
      </c>
      <c r="D96" s="165" t="s">
        <v>4989</v>
      </c>
      <c r="E96" s="169" t="s">
        <v>6058</v>
      </c>
      <c r="F96" s="265"/>
      <c r="G96" s="265"/>
      <c r="H96" s="169"/>
      <c r="I96" s="265"/>
      <c r="J96" s="265"/>
      <c r="K96" s="265"/>
      <c r="L96" s="265"/>
      <c r="M96" s="265"/>
    </row>
    <row r="97" spans="1:13" ht="18">
      <c r="A97" s="166" t="s">
        <v>5042</v>
      </c>
      <c r="B97" s="165" t="s">
        <v>5820</v>
      </c>
      <c r="C97" s="165" t="s">
        <v>5703</v>
      </c>
      <c r="D97" s="165" t="s">
        <v>4990</v>
      </c>
      <c r="E97" s="169" t="s">
        <v>6058</v>
      </c>
      <c r="F97" s="265"/>
      <c r="G97" s="265"/>
      <c r="H97" s="169"/>
      <c r="I97" s="265"/>
      <c r="J97" s="265"/>
      <c r="K97" s="265"/>
      <c r="L97" s="265"/>
      <c r="M97" s="265"/>
    </row>
    <row r="98" spans="1:13" ht="18">
      <c r="A98" s="166" t="s">
        <v>4766</v>
      </c>
      <c r="B98" s="165" t="s">
        <v>5819</v>
      </c>
      <c r="C98" s="165" t="s">
        <v>5704</v>
      </c>
      <c r="D98" s="165" t="s">
        <v>4991</v>
      </c>
      <c r="E98" s="169" t="s">
        <v>6058</v>
      </c>
      <c r="F98" s="265"/>
      <c r="G98" s="265"/>
      <c r="H98" s="169"/>
      <c r="I98" s="265"/>
      <c r="J98" s="265"/>
      <c r="K98" s="265"/>
      <c r="L98" s="265"/>
      <c r="M98" s="265"/>
    </row>
    <row r="99" spans="1:13" ht="18">
      <c r="A99" s="166" t="s">
        <v>5873</v>
      </c>
      <c r="B99" s="165" t="s">
        <v>5821</v>
      </c>
      <c r="C99" s="165" t="s">
        <v>5698</v>
      </c>
      <c r="D99" s="165" t="s">
        <v>4992</v>
      </c>
      <c r="E99" s="171" t="s">
        <v>6058</v>
      </c>
      <c r="F99" s="265"/>
      <c r="G99" s="265"/>
      <c r="H99" s="171"/>
      <c r="I99" s="265"/>
      <c r="J99" s="265"/>
      <c r="K99" s="265"/>
      <c r="L99" s="265"/>
      <c r="M99" s="265"/>
    </row>
    <row r="100" spans="1:13" ht="15.6">
      <c r="A100" s="166" t="s">
        <v>5874</v>
      </c>
      <c r="B100" s="165" t="s">
        <v>4447</v>
      </c>
      <c r="C100" s="165" t="s">
        <v>5716</v>
      </c>
      <c r="D100" s="165" t="s">
        <v>5007</v>
      </c>
      <c r="E100" s="171" t="s">
        <v>6058</v>
      </c>
      <c r="F100" s="265"/>
      <c r="G100" s="265"/>
      <c r="H100" s="171"/>
      <c r="I100" s="265"/>
      <c r="J100" s="265"/>
      <c r="K100" s="265"/>
      <c r="L100" s="265"/>
      <c r="M100" s="265"/>
    </row>
    <row r="101" spans="1:13" ht="18">
      <c r="A101" s="166" t="s">
        <v>6021</v>
      </c>
      <c r="B101" s="165" t="s">
        <v>5822</v>
      </c>
      <c r="C101" s="165" t="s">
        <v>5699</v>
      </c>
      <c r="D101" s="165" t="s">
        <v>5006</v>
      </c>
      <c r="E101" s="171" t="s">
        <v>6058</v>
      </c>
      <c r="F101" s="265"/>
      <c r="G101" s="265"/>
      <c r="H101" s="171"/>
      <c r="I101" s="265"/>
      <c r="J101" s="265"/>
      <c r="K101" s="265"/>
      <c r="L101" s="265"/>
      <c r="M101" s="265"/>
    </row>
    <row r="102" spans="1:13" ht="18">
      <c r="A102" s="166" t="s">
        <v>6022</v>
      </c>
      <c r="B102" s="165" t="s">
        <v>5823</v>
      </c>
      <c r="C102" s="165" t="s">
        <v>5700</v>
      </c>
      <c r="D102" s="165" t="s">
        <v>5005</v>
      </c>
      <c r="E102" s="171" t="s">
        <v>6058</v>
      </c>
      <c r="F102" s="265"/>
      <c r="G102" s="265"/>
      <c r="H102" s="171"/>
      <c r="I102" s="265"/>
      <c r="J102" s="265"/>
      <c r="K102" s="265"/>
      <c r="L102" s="265"/>
      <c r="M102" s="265"/>
    </row>
    <row r="103" spans="1:13" ht="18">
      <c r="A103" s="166" t="s">
        <v>6032</v>
      </c>
      <c r="B103" s="165" t="s">
        <v>5824</v>
      </c>
      <c r="C103" s="165" t="s">
        <v>5715</v>
      </c>
      <c r="D103" s="165" t="s">
        <v>5004</v>
      </c>
      <c r="E103" s="171" t="s">
        <v>6058</v>
      </c>
      <c r="F103" s="265"/>
      <c r="G103" s="265"/>
      <c r="H103" s="171"/>
      <c r="I103" s="265"/>
      <c r="J103" s="265"/>
      <c r="K103" s="265"/>
      <c r="L103" s="265"/>
      <c r="M103" s="265"/>
    </row>
    <row r="104" spans="1:13" ht="18">
      <c r="A104" s="166" t="s">
        <v>6039</v>
      </c>
      <c r="B104" s="165" t="s">
        <v>5825</v>
      </c>
      <c r="C104" s="165" t="s">
        <v>5701</v>
      </c>
      <c r="D104" s="165" t="s">
        <v>5008</v>
      </c>
      <c r="E104" s="171" t="s">
        <v>6058</v>
      </c>
      <c r="F104" s="265"/>
      <c r="G104" s="265"/>
      <c r="H104" s="171"/>
      <c r="I104" s="265"/>
      <c r="J104" s="265"/>
      <c r="K104" s="265"/>
      <c r="L104" s="265"/>
      <c r="M104" s="265"/>
    </row>
    <row r="105" spans="1:13" ht="18">
      <c r="A105" s="166" t="s">
        <v>6040</v>
      </c>
      <c r="B105" s="165" t="s">
        <v>5826</v>
      </c>
      <c r="C105" s="165" t="s">
        <v>5702</v>
      </c>
      <c r="D105" s="165" t="s">
        <v>5009</v>
      </c>
      <c r="E105" s="171" t="s">
        <v>6058</v>
      </c>
      <c r="F105" s="265"/>
      <c r="G105" s="265"/>
      <c r="H105" s="171"/>
      <c r="I105" s="265"/>
      <c r="J105" s="265"/>
      <c r="K105" s="265"/>
      <c r="L105" s="265"/>
      <c r="M105" s="265"/>
    </row>
    <row r="106" spans="1:13" ht="15.6">
      <c r="A106" s="166" t="s">
        <v>6119</v>
      </c>
      <c r="B106" s="168" t="s">
        <v>4880</v>
      </c>
      <c r="C106" s="165" t="s">
        <v>6199</v>
      </c>
      <c r="D106" s="165" t="s">
        <v>5010</v>
      </c>
      <c r="E106" s="171" t="s">
        <v>6058</v>
      </c>
      <c r="F106" s="265"/>
      <c r="G106" s="265"/>
      <c r="H106" s="171"/>
      <c r="I106" s="265"/>
      <c r="J106" s="265"/>
      <c r="K106" s="265"/>
      <c r="L106" s="265"/>
      <c r="M106" s="265"/>
    </row>
    <row r="107" spans="1:13" ht="18">
      <c r="A107" s="166" t="s">
        <v>6120</v>
      </c>
      <c r="B107" s="165" t="s">
        <v>6200</v>
      </c>
      <c r="C107" s="165" t="s">
        <v>6201</v>
      </c>
      <c r="D107" s="165" t="s">
        <v>6202</v>
      </c>
      <c r="E107" s="171"/>
      <c r="F107" s="265"/>
      <c r="G107" s="265"/>
      <c r="H107" s="171"/>
      <c r="I107" s="265"/>
      <c r="J107" s="265"/>
      <c r="K107" s="265"/>
      <c r="L107" s="265"/>
      <c r="M107" s="265"/>
    </row>
    <row r="108" spans="1:13" ht="15.6">
      <c r="A108" s="166" t="s">
        <v>6136</v>
      </c>
      <c r="B108" s="165" t="s">
        <v>4447</v>
      </c>
      <c r="C108" s="165" t="s">
        <v>5717</v>
      </c>
      <c r="D108" s="165" t="s">
        <v>5011</v>
      </c>
      <c r="E108" s="171"/>
      <c r="F108" s="265"/>
      <c r="G108" s="265"/>
      <c r="H108" s="171"/>
      <c r="I108" s="265"/>
      <c r="J108" s="265"/>
      <c r="K108" s="265"/>
      <c r="L108" s="265"/>
      <c r="M108" s="265"/>
    </row>
    <row r="109" spans="1:13" ht="18">
      <c r="A109" s="166" t="s">
        <v>4791</v>
      </c>
      <c r="B109" s="165" t="s">
        <v>5827</v>
      </c>
      <c r="C109" s="165" t="s">
        <v>5697</v>
      </c>
      <c r="D109" s="165" t="s">
        <v>5012</v>
      </c>
      <c r="E109" s="171"/>
      <c r="F109" s="265"/>
      <c r="G109" s="265"/>
      <c r="H109" s="171"/>
      <c r="I109" s="265"/>
      <c r="J109" s="265"/>
      <c r="K109" s="265"/>
      <c r="L109" s="265"/>
      <c r="M109" s="265"/>
    </row>
    <row r="110" spans="1:13" ht="18">
      <c r="A110" s="166" t="s">
        <v>6164</v>
      </c>
      <c r="B110" s="165" t="s">
        <v>5828</v>
      </c>
      <c r="C110" s="165" t="s">
        <v>5696</v>
      </c>
      <c r="D110" s="165" t="s">
        <v>5013</v>
      </c>
      <c r="E110" s="171"/>
      <c r="F110" s="265"/>
      <c r="G110" s="265"/>
      <c r="H110" s="171"/>
      <c r="I110" s="265"/>
      <c r="J110" s="265"/>
      <c r="K110" s="265"/>
      <c r="L110" s="265"/>
      <c r="M110" s="265"/>
    </row>
    <row r="111" spans="1:13" ht="18">
      <c r="A111" s="166" t="s">
        <v>6174</v>
      </c>
      <c r="B111" s="165" t="s">
        <v>5829</v>
      </c>
      <c r="C111" s="165" t="s">
        <v>5695</v>
      </c>
      <c r="D111" s="165" t="s">
        <v>5014</v>
      </c>
    </row>
    <row r="112" spans="1:13" ht="18">
      <c r="A112" s="166" t="s">
        <v>6180</v>
      </c>
      <c r="B112" s="165" t="s">
        <v>5828</v>
      </c>
      <c r="C112" s="165" t="s">
        <v>5696</v>
      </c>
      <c r="D112" s="165" t="s">
        <v>5015</v>
      </c>
    </row>
    <row r="113" spans="1:4" ht="15.6">
      <c r="A113" s="166" t="s">
        <v>6187</v>
      </c>
      <c r="B113" s="165" t="s">
        <v>4880</v>
      </c>
      <c r="C113" s="165" t="s">
        <v>5718</v>
      </c>
      <c r="D113" s="165" t="s">
        <v>5016</v>
      </c>
    </row>
    <row r="114" spans="1:4" ht="15.6">
      <c r="A114" s="166" t="s">
        <v>6188</v>
      </c>
      <c r="B114" s="165" t="s">
        <v>5802</v>
      </c>
      <c r="C114" s="165" t="s">
        <v>5719</v>
      </c>
      <c r="D114" s="165" t="s">
        <v>5043</v>
      </c>
    </row>
    <row r="115" spans="1:4" ht="15.6">
      <c r="A115" s="166" t="s">
        <v>6203</v>
      </c>
      <c r="B115" s="165" t="s">
        <v>4562</v>
      </c>
      <c r="C115" s="165" t="s">
        <v>4562</v>
      </c>
      <c r="D115" s="165" t="s">
        <v>5026</v>
      </c>
    </row>
    <row r="116" spans="1:4" ht="15.6">
      <c r="A116" s="166" t="s">
        <v>6276</v>
      </c>
      <c r="B116" s="165" t="s">
        <v>6012</v>
      </c>
      <c r="C116" s="165" t="s">
        <v>6012</v>
      </c>
      <c r="D116" s="165" t="s">
        <v>6127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6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5" ht="22.8" customHeight="1">
      <c r="A1" s="353" t="s">
        <v>6041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4"/>
      <c r="Z1" s="357" t="s">
        <v>4438</v>
      </c>
      <c r="AA1" s="358"/>
      <c r="AB1" s="358"/>
      <c r="AC1" s="358"/>
      <c r="AD1" s="358"/>
      <c r="AE1" s="358"/>
      <c r="AF1" s="358"/>
      <c r="AG1" s="358"/>
      <c r="AH1" s="358"/>
      <c r="AI1" s="358"/>
      <c r="AJ1" s="358"/>
      <c r="AK1" s="358"/>
      <c r="AL1" s="358"/>
      <c r="AM1" s="358"/>
      <c r="AN1" s="358"/>
      <c r="AO1" s="358"/>
      <c r="AP1" s="358"/>
      <c r="AQ1" s="358"/>
      <c r="AR1" s="358"/>
      <c r="AS1" s="358"/>
      <c r="AT1" s="358"/>
      <c r="AU1" s="358"/>
      <c r="AV1" s="358"/>
      <c r="AW1" s="358"/>
      <c r="AX1" s="358"/>
      <c r="AY1" s="358"/>
      <c r="AZ1" s="358"/>
      <c r="BA1" s="358"/>
      <c r="BB1" s="358"/>
      <c r="BC1" s="358"/>
      <c r="BD1" s="358"/>
      <c r="BE1" s="358"/>
      <c r="BF1" s="358"/>
      <c r="BG1" s="358"/>
      <c r="BH1" s="358"/>
      <c r="BI1" s="358"/>
      <c r="BJ1" s="358"/>
      <c r="BK1" s="358"/>
      <c r="BL1" s="358"/>
      <c r="BM1" s="358"/>
      <c r="BN1" s="358"/>
      <c r="BO1" s="358"/>
      <c r="BP1" s="358"/>
      <c r="BQ1" s="358"/>
      <c r="BR1" s="358"/>
      <c r="BS1" s="358"/>
      <c r="BT1" s="358"/>
      <c r="BU1" s="358"/>
      <c r="BV1" s="358"/>
      <c r="BW1" s="358"/>
      <c r="BX1" s="358"/>
      <c r="BY1" s="358"/>
      <c r="BZ1" s="358"/>
      <c r="CA1" s="358"/>
      <c r="CB1" s="359"/>
      <c r="CC1" s="363" t="s">
        <v>4448</v>
      </c>
      <c r="CD1" s="364"/>
      <c r="CE1" s="364"/>
      <c r="CF1" s="364"/>
      <c r="CG1" s="364"/>
      <c r="CH1" s="364"/>
      <c r="CI1" s="364"/>
      <c r="CJ1" s="364"/>
      <c r="CK1" s="364"/>
      <c r="CL1" s="364"/>
      <c r="CM1" s="364"/>
      <c r="CN1" s="364"/>
      <c r="CO1" s="364"/>
      <c r="CP1" s="364"/>
      <c r="CQ1" s="364"/>
      <c r="CR1" s="364"/>
      <c r="CS1" s="364"/>
      <c r="CT1" s="364"/>
      <c r="CU1" s="364"/>
      <c r="CV1" s="364"/>
      <c r="CW1" s="364"/>
      <c r="CX1" s="364"/>
      <c r="CY1" s="364"/>
      <c r="CZ1" s="364"/>
      <c r="DA1" s="364"/>
      <c r="DB1" s="364"/>
      <c r="DC1" s="364"/>
      <c r="DD1" s="364"/>
      <c r="DE1" s="364"/>
      <c r="DF1" s="364"/>
      <c r="DG1" s="364"/>
      <c r="DH1" s="365"/>
      <c r="DI1" s="369" t="s">
        <v>5975</v>
      </c>
      <c r="DJ1" s="452" t="s">
        <v>4562</v>
      </c>
      <c r="DK1" s="369" t="s">
        <v>6012</v>
      </c>
    </row>
    <row r="2" spans="1:115" ht="18" customHeight="1" thickBot="1">
      <c r="A2" s="353"/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4"/>
      <c r="Z2" s="360"/>
      <c r="AA2" s="361"/>
      <c r="AB2" s="361"/>
      <c r="AC2" s="361"/>
      <c r="AD2" s="361"/>
      <c r="AE2" s="361"/>
      <c r="AF2" s="361"/>
      <c r="AG2" s="361"/>
      <c r="AH2" s="361"/>
      <c r="AI2" s="361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/>
      <c r="AX2" s="361"/>
      <c r="AY2" s="361"/>
      <c r="AZ2" s="361"/>
      <c r="BA2" s="361"/>
      <c r="BB2" s="361"/>
      <c r="BC2" s="361"/>
      <c r="BD2" s="361"/>
      <c r="BE2" s="361"/>
      <c r="BF2" s="361"/>
      <c r="BG2" s="361"/>
      <c r="BH2" s="361"/>
      <c r="BI2" s="361"/>
      <c r="BJ2" s="361"/>
      <c r="BK2" s="361"/>
      <c r="BL2" s="361"/>
      <c r="BM2" s="361"/>
      <c r="BN2" s="361"/>
      <c r="BO2" s="361"/>
      <c r="BP2" s="361"/>
      <c r="BQ2" s="361"/>
      <c r="BR2" s="361"/>
      <c r="BS2" s="361"/>
      <c r="BT2" s="361"/>
      <c r="BU2" s="361"/>
      <c r="BV2" s="361"/>
      <c r="BW2" s="361"/>
      <c r="BX2" s="361"/>
      <c r="BY2" s="361"/>
      <c r="BZ2" s="361"/>
      <c r="CA2" s="361"/>
      <c r="CB2" s="362"/>
      <c r="CC2" s="366"/>
      <c r="CD2" s="367"/>
      <c r="CE2" s="367"/>
      <c r="CF2" s="367"/>
      <c r="CG2" s="367"/>
      <c r="CH2" s="367"/>
      <c r="CI2" s="367"/>
      <c r="CJ2" s="367"/>
      <c r="CK2" s="367"/>
      <c r="CL2" s="367"/>
      <c r="CM2" s="367"/>
      <c r="CN2" s="367"/>
      <c r="CO2" s="367"/>
      <c r="CP2" s="367"/>
      <c r="CQ2" s="367"/>
      <c r="CR2" s="367"/>
      <c r="CS2" s="367"/>
      <c r="CT2" s="367"/>
      <c r="CU2" s="367"/>
      <c r="CV2" s="367"/>
      <c r="CW2" s="367"/>
      <c r="CX2" s="367"/>
      <c r="CY2" s="367"/>
      <c r="CZ2" s="367"/>
      <c r="DA2" s="367"/>
      <c r="DB2" s="367"/>
      <c r="DC2" s="367"/>
      <c r="DD2" s="367"/>
      <c r="DE2" s="367"/>
      <c r="DF2" s="367"/>
      <c r="DG2" s="367"/>
      <c r="DH2" s="368"/>
      <c r="DI2" s="370"/>
      <c r="DJ2" s="453"/>
      <c r="DK2" s="370"/>
    </row>
    <row r="3" spans="1:115" ht="18" customHeight="1" thickBot="1">
      <c r="A3" s="355"/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6"/>
      <c r="Z3" s="372" t="s">
        <v>6277</v>
      </c>
      <c r="AA3" s="373"/>
      <c r="AB3" s="373"/>
      <c r="AC3" s="373"/>
      <c r="AD3" s="373"/>
      <c r="AE3" s="374"/>
      <c r="AF3" s="372" t="s">
        <v>6278</v>
      </c>
      <c r="AG3" s="373"/>
      <c r="AH3" s="373"/>
      <c r="AI3" s="373"/>
      <c r="AJ3" s="373"/>
      <c r="AK3" s="373"/>
      <c r="AL3" s="373"/>
      <c r="AM3" s="374"/>
      <c r="AN3" s="372" t="s">
        <v>6279</v>
      </c>
      <c r="AO3" s="373"/>
      <c r="AP3" s="373"/>
      <c r="AQ3" s="373"/>
      <c r="AR3" s="374"/>
      <c r="AS3" s="375" t="s">
        <v>6308</v>
      </c>
      <c r="AT3" s="376"/>
      <c r="AU3" s="376"/>
      <c r="AV3" s="376"/>
      <c r="AW3" s="376"/>
      <c r="AX3" s="376"/>
      <c r="AY3" s="376"/>
      <c r="AZ3" s="376"/>
      <c r="BA3" s="376"/>
      <c r="BB3" s="376"/>
      <c r="BC3" s="376"/>
      <c r="BD3" s="376"/>
      <c r="BE3" s="376"/>
      <c r="BF3" s="376"/>
      <c r="BG3" s="376"/>
      <c r="BH3" s="372" t="s">
        <v>4571</v>
      </c>
      <c r="BI3" s="373"/>
      <c r="BJ3" s="373"/>
      <c r="BK3" s="373"/>
      <c r="BL3" s="373"/>
      <c r="BM3" s="373"/>
      <c r="BN3" s="373"/>
      <c r="BO3" s="373"/>
      <c r="BP3" s="372" t="s">
        <v>5881</v>
      </c>
      <c r="BQ3" s="373"/>
      <c r="BR3" s="373"/>
      <c r="BS3" s="373"/>
      <c r="BT3" s="373"/>
      <c r="BU3" s="373"/>
      <c r="BV3" s="374"/>
      <c r="BW3" s="373" t="s">
        <v>4646</v>
      </c>
      <c r="BX3" s="373"/>
      <c r="BY3" s="373"/>
      <c r="BZ3" s="373"/>
      <c r="CA3" s="373"/>
      <c r="CB3" s="374"/>
      <c r="CC3" s="377" t="s">
        <v>6277</v>
      </c>
      <c r="CD3" s="377"/>
      <c r="CE3" s="377"/>
      <c r="CF3" s="377"/>
      <c r="CG3" s="377"/>
      <c r="CH3" s="378"/>
      <c r="CI3" s="377" t="s">
        <v>6278</v>
      </c>
      <c r="CJ3" s="377"/>
      <c r="CK3" s="377"/>
      <c r="CL3" s="377"/>
      <c r="CM3" s="377"/>
      <c r="CN3" s="378"/>
      <c r="CO3" s="379" t="s">
        <v>6309</v>
      </c>
      <c r="CP3" s="377"/>
      <c r="CQ3" s="377"/>
      <c r="CR3" s="377"/>
      <c r="CS3" s="377"/>
      <c r="CT3" s="377"/>
      <c r="CU3" s="379" t="s">
        <v>4575</v>
      </c>
      <c r="CV3" s="377"/>
      <c r="CW3" s="377"/>
      <c r="CX3" s="378"/>
      <c r="CY3" s="379" t="s">
        <v>4576</v>
      </c>
      <c r="CZ3" s="377"/>
      <c r="DA3" s="378"/>
      <c r="DB3" s="281" t="s">
        <v>4572</v>
      </c>
      <c r="DC3" s="377" t="s">
        <v>4565</v>
      </c>
      <c r="DD3" s="377"/>
      <c r="DE3" s="377"/>
      <c r="DF3" s="377"/>
      <c r="DG3" s="377"/>
      <c r="DH3" s="378"/>
      <c r="DI3" s="370"/>
      <c r="DJ3" s="453"/>
      <c r="DK3" s="370"/>
    </row>
    <row r="4" spans="1:115" ht="18" customHeight="1">
      <c r="A4" s="390" t="s">
        <v>6138</v>
      </c>
      <c r="B4" s="390" t="s">
        <v>6137</v>
      </c>
      <c r="C4" s="390" t="s">
        <v>6280</v>
      </c>
      <c r="D4" s="416" t="s">
        <v>4</v>
      </c>
      <c r="E4" s="416" t="s">
        <v>4833</v>
      </c>
      <c r="F4" s="390" t="s">
        <v>4504</v>
      </c>
      <c r="G4" s="402" t="s">
        <v>5894</v>
      </c>
      <c r="H4" s="402" t="s">
        <v>5927</v>
      </c>
      <c r="I4" s="402" t="s">
        <v>6220</v>
      </c>
      <c r="J4" s="390" t="s">
        <v>16</v>
      </c>
      <c r="K4" s="390" t="s">
        <v>5867</v>
      </c>
      <c r="L4" s="402" t="s">
        <v>4424</v>
      </c>
      <c r="M4" s="402" t="s">
        <v>4435</v>
      </c>
      <c r="N4" s="390" t="s">
        <v>4705</v>
      </c>
      <c r="O4" s="390" t="s">
        <v>4505</v>
      </c>
      <c r="P4" s="388" t="s">
        <v>6281</v>
      </c>
      <c r="Q4" s="388" t="s">
        <v>4904</v>
      </c>
      <c r="R4" s="390" t="s">
        <v>4496</v>
      </c>
      <c r="S4" s="390" t="s">
        <v>6088</v>
      </c>
      <c r="T4" s="402" t="s">
        <v>4652</v>
      </c>
      <c r="U4" s="390" t="s">
        <v>4877</v>
      </c>
      <c r="V4" s="390" t="s">
        <v>4495</v>
      </c>
      <c r="W4" s="390" t="s">
        <v>4564</v>
      </c>
      <c r="X4" s="392" t="s">
        <v>4905</v>
      </c>
      <c r="Y4" s="424" t="s">
        <v>4906</v>
      </c>
      <c r="Z4" s="437" t="s">
        <v>6310</v>
      </c>
      <c r="AA4" s="400" t="s">
        <v>5535</v>
      </c>
      <c r="AB4" s="400" t="s">
        <v>4439</v>
      </c>
      <c r="AC4" s="439" t="s">
        <v>5540</v>
      </c>
      <c r="AD4" s="439" t="s">
        <v>5539</v>
      </c>
      <c r="AE4" s="396" t="s">
        <v>5556</v>
      </c>
      <c r="AF4" s="398" t="s">
        <v>6310</v>
      </c>
      <c r="AG4" s="400" t="s">
        <v>5536</v>
      </c>
      <c r="AH4" s="400" t="s">
        <v>4436</v>
      </c>
      <c r="AI4" s="426" t="s">
        <v>5537</v>
      </c>
      <c r="AJ4" s="426" t="s">
        <v>5538</v>
      </c>
      <c r="AK4" s="428" t="s">
        <v>5557</v>
      </c>
      <c r="AL4" s="430" t="s">
        <v>4461</v>
      </c>
      <c r="AM4" s="394" t="s">
        <v>4474</v>
      </c>
      <c r="AN4" s="448" t="s">
        <v>5543</v>
      </c>
      <c r="AO4" s="400" t="s">
        <v>5541</v>
      </c>
      <c r="AP4" s="400" t="s">
        <v>5542</v>
      </c>
      <c r="AQ4" s="420" t="s">
        <v>4473</v>
      </c>
      <c r="AR4" s="420" t="s">
        <v>4816</v>
      </c>
      <c r="AS4" s="398" t="s">
        <v>5806</v>
      </c>
      <c r="AT4" s="440" t="s">
        <v>4497</v>
      </c>
      <c r="AU4" s="440" t="s">
        <v>4593</v>
      </c>
      <c r="AV4" s="442" t="s">
        <v>4441</v>
      </c>
      <c r="AW4" s="442" t="s">
        <v>4440</v>
      </c>
      <c r="AX4" s="422" t="s">
        <v>4472</v>
      </c>
      <c r="AY4" s="422" t="s">
        <v>4471</v>
      </c>
      <c r="AZ4" s="471" t="s">
        <v>6303</v>
      </c>
      <c r="BA4" s="471" t="s">
        <v>6305</v>
      </c>
      <c r="BB4" s="422" t="s">
        <v>4814</v>
      </c>
      <c r="BC4" s="450" t="s">
        <v>4463</v>
      </c>
      <c r="BD4" s="440" t="s">
        <v>6207</v>
      </c>
      <c r="BE4" s="440" t="s">
        <v>6208</v>
      </c>
      <c r="BF4" s="442" t="s">
        <v>4442</v>
      </c>
      <c r="BG4" s="444" t="s">
        <v>6212</v>
      </c>
      <c r="BH4" s="446" t="s">
        <v>6030</v>
      </c>
      <c r="BI4" s="386" t="s">
        <v>4817</v>
      </c>
      <c r="BJ4" s="386" t="s">
        <v>4572</v>
      </c>
      <c r="BK4" s="386" t="s">
        <v>6175</v>
      </c>
      <c r="BL4" s="386" t="s">
        <v>6189</v>
      </c>
      <c r="BM4" s="386" t="s">
        <v>6190</v>
      </c>
      <c r="BN4" s="386" t="s">
        <v>6029</v>
      </c>
      <c r="BO4" s="384" t="s">
        <v>4592</v>
      </c>
      <c r="BP4" s="446" t="s">
        <v>5806</v>
      </c>
      <c r="BQ4" s="386" t="s">
        <v>5882</v>
      </c>
      <c r="BR4" s="386" t="s">
        <v>6176</v>
      </c>
      <c r="BS4" s="386" t="s">
        <v>5883</v>
      </c>
      <c r="BT4" s="386" t="s">
        <v>5884</v>
      </c>
      <c r="BU4" s="386" t="s">
        <v>6113</v>
      </c>
      <c r="BV4" s="459" t="s">
        <v>5885</v>
      </c>
      <c r="BW4" s="384" t="s">
        <v>4579</v>
      </c>
      <c r="BX4" s="384" t="s">
        <v>4578</v>
      </c>
      <c r="BY4" s="386" t="s">
        <v>6165</v>
      </c>
      <c r="BZ4" s="386" t="s">
        <v>6156</v>
      </c>
      <c r="CA4" s="386" t="s">
        <v>5859</v>
      </c>
      <c r="CB4" s="410" t="s">
        <v>4577</v>
      </c>
      <c r="CC4" s="412" t="s">
        <v>4447</v>
      </c>
      <c r="CD4" s="406" t="s">
        <v>4443</v>
      </c>
      <c r="CE4" s="406" t="s">
        <v>4444</v>
      </c>
      <c r="CF4" s="406" t="s">
        <v>4445</v>
      </c>
      <c r="CG4" s="406" t="s">
        <v>4446</v>
      </c>
      <c r="CH4" s="382" t="s">
        <v>4880</v>
      </c>
      <c r="CI4" s="404" t="s">
        <v>4447</v>
      </c>
      <c r="CJ4" s="406" t="s">
        <v>4443</v>
      </c>
      <c r="CK4" s="406" t="s">
        <v>4444</v>
      </c>
      <c r="CL4" s="406" t="s">
        <v>4445</v>
      </c>
      <c r="CM4" s="406" t="s">
        <v>4446</v>
      </c>
      <c r="CN4" s="382" t="s">
        <v>4880</v>
      </c>
      <c r="CO4" s="412" t="s">
        <v>4447</v>
      </c>
      <c r="CP4" s="408" t="s">
        <v>4443</v>
      </c>
      <c r="CQ4" s="408" t="s">
        <v>4444</v>
      </c>
      <c r="CR4" s="408" t="s">
        <v>4445</v>
      </c>
      <c r="CS4" s="406" t="s">
        <v>4446</v>
      </c>
      <c r="CT4" s="382" t="s">
        <v>4880</v>
      </c>
      <c r="CU4" s="414" t="s">
        <v>4447</v>
      </c>
      <c r="CV4" s="408" t="s">
        <v>4594</v>
      </c>
      <c r="CW4" s="408" t="s">
        <v>4595</v>
      </c>
      <c r="CX4" s="382" t="s">
        <v>4880</v>
      </c>
      <c r="CY4" s="435" t="s">
        <v>4444</v>
      </c>
      <c r="CZ4" s="406" t="s">
        <v>4446</v>
      </c>
      <c r="DA4" s="382" t="s">
        <v>4880</v>
      </c>
      <c r="DB4" s="457" t="s">
        <v>4443</v>
      </c>
      <c r="DC4" s="455" t="s">
        <v>4447</v>
      </c>
      <c r="DD4" s="408" t="s">
        <v>4443</v>
      </c>
      <c r="DE4" s="408" t="s">
        <v>4444</v>
      </c>
      <c r="DF4" s="408" t="s">
        <v>4445</v>
      </c>
      <c r="DG4" s="406" t="s">
        <v>4446</v>
      </c>
      <c r="DH4" s="380" t="s">
        <v>4880</v>
      </c>
      <c r="DI4" s="370"/>
      <c r="DJ4" s="453"/>
      <c r="DK4" s="370"/>
    </row>
    <row r="5" spans="1:115" ht="16.2" customHeight="1" thickBot="1">
      <c r="A5" s="391"/>
      <c r="B5" s="391"/>
      <c r="C5" s="391"/>
      <c r="D5" s="417"/>
      <c r="E5" s="417"/>
      <c r="F5" s="391"/>
      <c r="G5" s="403"/>
      <c r="H5" s="403"/>
      <c r="I5" s="403"/>
      <c r="J5" s="418"/>
      <c r="K5" s="391"/>
      <c r="L5" s="403"/>
      <c r="M5" s="403"/>
      <c r="N5" s="391"/>
      <c r="O5" s="391"/>
      <c r="P5" s="389"/>
      <c r="Q5" s="389"/>
      <c r="R5" s="391"/>
      <c r="S5" s="391"/>
      <c r="T5" s="403"/>
      <c r="U5" s="391"/>
      <c r="V5" s="391"/>
      <c r="W5" s="391"/>
      <c r="X5" s="393"/>
      <c r="Y5" s="425"/>
      <c r="Z5" s="438"/>
      <c r="AA5" s="401"/>
      <c r="AB5" s="401"/>
      <c r="AC5" s="429"/>
      <c r="AD5" s="429"/>
      <c r="AE5" s="397"/>
      <c r="AF5" s="399"/>
      <c r="AG5" s="401"/>
      <c r="AH5" s="401"/>
      <c r="AI5" s="427"/>
      <c r="AJ5" s="427"/>
      <c r="AK5" s="429"/>
      <c r="AL5" s="431"/>
      <c r="AM5" s="395"/>
      <c r="AN5" s="449"/>
      <c r="AO5" s="419"/>
      <c r="AP5" s="419"/>
      <c r="AQ5" s="421"/>
      <c r="AR5" s="421"/>
      <c r="AS5" s="399"/>
      <c r="AT5" s="441"/>
      <c r="AU5" s="441"/>
      <c r="AV5" s="443"/>
      <c r="AW5" s="443"/>
      <c r="AX5" s="423"/>
      <c r="AY5" s="423"/>
      <c r="AZ5" s="423"/>
      <c r="BA5" s="423"/>
      <c r="BB5" s="423"/>
      <c r="BC5" s="451"/>
      <c r="BD5" s="441"/>
      <c r="BE5" s="441"/>
      <c r="BF5" s="443"/>
      <c r="BG5" s="445"/>
      <c r="BH5" s="447"/>
      <c r="BI5" s="387"/>
      <c r="BJ5" s="387"/>
      <c r="BK5" s="387"/>
      <c r="BL5" s="387"/>
      <c r="BM5" s="387"/>
      <c r="BN5" s="387"/>
      <c r="BO5" s="385"/>
      <c r="BP5" s="447"/>
      <c r="BQ5" s="387"/>
      <c r="BR5" s="387"/>
      <c r="BS5" s="387"/>
      <c r="BT5" s="387"/>
      <c r="BU5" s="387"/>
      <c r="BV5" s="460"/>
      <c r="BW5" s="385"/>
      <c r="BX5" s="385"/>
      <c r="BY5" s="387"/>
      <c r="BZ5" s="387"/>
      <c r="CA5" s="387"/>
      <c r="CB5" s="411"/>
      <c r="CC5" s="413"/>
      <c r="CD5" s="407"/>
      <c r="CE5" s="407"/>
      <c r="CF5" s="407"/>
      <c r="CG5" s="407"/>
      <c r="CH5" s="383"/>
      <c r="CI5" s="405"/>
      <c r="CJ5" s="407"/>
      <c r="CK5" s="407"/>
      <c r="CL5" s="407"/>
      <c r="CM5" s="407"/>
      <c r="CN5" s="383"/>
      <c r="CO5" s="413"/>
      <c r="CP5" s="409"/>
      <c r="CQ5" s="409"/>
      <c r="CR5" s="409"/>
      <c r="CS5" s="407"/>
      <c r="CT5" s="383"/>
      <c r="CU5" s="415"/>
      <c r="CV5" s="409"/>
      <c r="CW5" s="409"/>
      <c r="CX5" s="383"/>
      <c r="CY5" s="436"/>
      <c r="CZ5" s="407"/>
      <c r="DA5" s="383"/>
      <c r="DB5" s="458"/>
      <c r="DC5" s="456"/>
      <c r="DD5" s="409"/>
      <c r="DE5" s="409"/>
      <c r="DF5" s="409"/>
      <c r="DG5" s="407"/>
      <c r="DH5" s="381"/>
      <c r="DI5" s="371"/>
      <c r="DJ5" s="454"/>
      <c r="DK5" s="371"/>
    </row>
    <row r="6" spans="1:115" ht="15.6" customHeight="1">
      <c r="A6" s="18">
        <v>1</v>
      </c>
      <c r="B6" s="325">
        <v>1</v>
      </c>
      <c r="C6" s="325">
        <v>1970</v>
      </c>
      <c r="D6" s="432" t="s">
        <v>4665</v>
      </c>
      <c r="E6" s="342" t="s">
        <v>4834</v>
      </c>
      <c r="F6" s="325">
        <v>24</v>
      </c>
      <c r="G6" s="336" t="s">
        <v>5896</v>
      </c>
      <c r="H6" s="336" t="s">
        <v>5895</v>
      </c>
      <c r="I6" s="336" t="s">
        <v>6221</v>
      </c>
      <c r="J6" s="43" t="s">
        <v>6311</v>
      </c>
      <c r="K6" s="305" t="s">
        <v>4383</v>
      </c>
      <c r="L6" s="163" t="s">
        <v>5792</v>
      </c>
      <c r="M6" s="306" t="s">
        <v>4508</v>
      </c>
      <c r="N6" s="163" t="s">
        <v>4701</v>
      </c>
      <c r="O6" s="18" t="s">
        <v>4507</v>
      </c>
      <c r="P6" s="163" t="s">
        <v>6312</v>
      </c>
      <c r="Q6" s="163" t="s">
        <v>4420</v>
      </c>
      <c r="R6" s="163" t="s">
        <v>6312</v>
      </c>
      <c r="S6" s="163" t="s">
        <v>5792</v>
      </c>
      <c r="T6" s="163" t="s">
        <v>4420</v>
      </c>
      <c r="U6" s="163" t="s">
        <v>5792</v>
      </c>
      <c r="V6" s="163" t="s">
        <v>6049</v>
      </c>
      <c r="W6" s="18">
        <v>6</v>
      </c>
      <c r="X6" s="230">
        <v>0</v>
      </c>
      <c r="Y6" s="18">
        <v>0</v>
      </c>
      <c r="Z6" s="305" t="s">
        <v>520</v>
      </c>
      <c r="AA6" s="16">
        <f>INDEX('[2]Cross-Section Database'!$C$2:$V$2928,MATCH(Z6,'[2]Cross-Section Database'!$B$2:$B$2928,0),3)</f>
        <v>204.72399999999999</v>
      </c>
      <c r="AB6" s="16">
        <f>INDEX('[2]Cross-Section Database'!$C$2:$V$2928,MATCH(Z6,'[2]Cross-Section Database'!$B$2:$B$2928,0),4)</f>
        <v>166.11599999999999</v>
      </c>
      <c r="AC6" s="16">
        <f>INDEX('[2]Cross-Section Database'!$C$2:$V$2928,MATCH(Z6,'[2]Cross-Section Database'!$B$2:$B$2928,0),6)</f>
        <v>11.811</v>
      </c>
      <c r="AD6" s="16">
        <f>INDEX('[2]Cross-Section Database'!$C$2:$V$2928,MATCH(Z6,'[2]Cross-Section Database'!$B$2:$B$2928,0),5)</f>
        <v>7.238999999999999</v>
      </c>
      <c r="AE6" s="16">
        <v>610</v>
      </c>
      <c r="AF6" s="305" t="s">
        <v>498</v>
      </c>
      <c r="AG6" s="16">
        <f>INDEX('[2]Cross-Section Database'!$C$2:$V$2928,MATCH(AF6,'[2]Cross-Section Database'!$B$2:$B$2928,0),3)</f>
        <v>259.08</v>
      </c>
      <c r="AH6" s="16">
        <f>INDEX('[2]Cross-Section Database'!$C$2:$V$2928,MATCH(AF6,'[2]Cross-Section Database'!$B$2:$B$2928,0),4)</f>
        <v>146.04999999999998</v>
      </c>
      <c r="AI6" s="45">
        <f>INDEX('[2]Cross-Section Database'!$C$2:$V$2928,MATCH(AF6,'[2]Cross-Section Database'!$B$2:$B$2928,0),6)</f>
        <v>9.1439999999999984</v>
      </c>
      <c r="AJ6" s="45">
        <f>INDEX('[2]Cross-Section Database'!$C$2:$V$2928,MATCH(AF6,'[2]Cross-Section Database'!$B$2:$B$2928,0),5)</f>
        <v>6.0959999999999992</v>
      </c>
      <c r="AK6" s="45">
        <v>1194</v>
      </c>
      <c r="AL6" s="45">
        <f>INDEX('[2]Cross-Section Database'!$C$2:$V$3928,MATCH(AF6,'[2]Cross-Section Database'!$B$2:$B$3928,0),11)</f>
        <v>49115308.220799997</v>
      </c>
      <c r="AM6" s="26">
        <f>INDEX('[2]Cross-Section Database'!$C$2:$V$3928,MATCH(AF6,'[2]Cross-Section Database'!$B$2:$B$3928,0),12)</f>
        <v>426063.66399999999</v>
      </c>
      <c r="AN6" s="102">
        <v>12.7</v>
      </c>
      <c r="AO6" s="16">
        <f>6.5*25.4</f>
        <v>165.1</v>
      </c>
      <c r="AP6" s="45">
        <f>11*25.4</f>
        <v>279.39999999999998</v>
      </c>
      <c r="AQ6" s="45">
        <f>(AP6-AG6)/2</f>
        <v>10.159999999999997</v>
      </c>
      <c r="AR6" s="72">
        <f t="shared" ref="AR6:AR15" si="0">(AP6-AG6)/2</f>
        <v>10.159999999999997</v>
      </c>
      <c r="AS6" s="306" t="s">
        <v>5807</v>
      </c>
      <c r="AT6" s="163" t="s">
        <v>6134</v>
      </c>
      <c r="AU6" s="21" t="s">
        <v>6134</v>
      </c>
      <c r="AV6" s="21">
        <v>19.05</v>
      </c>
      <c r="AW6" s="163">
        <v>241</v>
      </c>
      <c r="AX6" s="21">
        <f>3*25.4</f>
        <v>76.199999999999989</v>
      </c>
      <c r="AY6" s="21">
        <f>AX6</f>
        <v>76.199999999999989</v>
      </c>
      <c r="AZ6" s="21">
        <v>0</v>
      </c>
      <c r="BA6" s="21">
        <f>3.5*25.4</f>
        <v>88.899999999999991</v>
      </c>
      <c r="BB6" s="21">
        <f t="shared" ref="BB6:BB29" si="1">AP6-AX6-AY6-AZ6</f>
        <v>127</v>
      </c>
      <c r="BC6" s="15" t="s">
        <v>6313</v>
      </c>
      <c r="BD6" s="163" t="s">
        <v>6209</v>
      </c>
      <c r="BE6" s="163" t="s">
        <v>6209</v>
      </c>
      <c r="BF6" s="163">
        <v>2</v>
      </c>
      <c r="BG6" s="163">
        <v>4</v>
      </c>
      <c r="BH6" s="202" t="s">
        <v>5792</v>
      </c>
      <c r="BI6" s="203" t="s">
        <v>5792</v>
      </c>
      <c r="BJ6" s="203" t="s">
        <v>5792</v>
      </c>
      <c r="BK6" s="203" t="s">
        <v>5792</v>
      </c>
      <c r="BL6" s="203" t="s">
        <v>5792</v>
      </c>
      <c r="BM6" s="203" t="s">
        <v>5792</v>
      </c>
      <c r="BN6" s="203" t="s">
        <v>5792</v>
      </c>
      <c r="BO6" s="203" t="s">
        <v>5792</v>
      </c>
      <c r="BP6" s="202" t="s">
        <v>5792</v>
      </c>
      <c r="BQ6" s="203" t="s">
        <v>5792</v>
      </c>
      <c r="BR6" s="203" t="s">
        <v>5792</v>
      </c>
      <c r="BS6" s="203" t="s">
        <v>5792</v>
      </c>
      <c r="BT6" s="203" t="s">
        <v>5792</v>
      </c>
      <c r="BU6" s="203" t="s">
        <v>5792</v>
      </c>
      <c r="BV6" s="218" t="s">
        <v>5792</v>
      </c>
      <c r="BW6" s="203" t="s">
        <v>5792</v>
      </c>
      <c r="BX6" s="203" t="s">
        <v>5792</v>
      </c>
      <c r="BY6" s="203" t="s">
        <v>5792</v>
      </c>
      <c r="BZ6" s="203" t="s">
        <v>5792</v>
      </c>
      <c r="CA6" s="203" t="s">
        <v>5792</v>
      </c>
      <c r="CB6" s="218" t="s">
        <v>5792</v>
      </c>
      <c r="CC6" s="302" t="s">
        <v>4425</v>
      </c>
      <c r="CD6" s="65">
        <v>300</v>
      </c>
      <c r="CE6" s="12">
        <v>352</v>
      </c>
      <c r="CF6" s="65">
        <v>450</v>
      </c>
      <c r="CG6" s="72">
        <v>534.5</v>
      </c>
      <c r="CH6" s="66">
        <v>200000</v>
      </c>
      <c r="CI6" s="299" t="s">
        <v>4425</v>
      </c>
      <c r="CJ6" s="65">
        <v>300</v>
      </c>
      <c r="CK6" s="72">
        <v>293</v>
      </c>
      <c r="CL6" s="72">
        <v>450</v>
      </c>
      <c r="CM6" s="72">
        <v>460.22</v>
      </c>
      <c r="CN6" s="66">
        <v>200000</v>
      </c>
      <c r="CO6" s="299" t="s">
        <v>4421</v>
      </c>
      <c r="CP6" s="72">
        <v>250</v>
      </c>
      <c r="CQ6" s="72">
        <v>314</v>
      </c>
      <c r="CR6" s="72">
        <v>475</v>
      </c>
      <c r="CS6" s="72">
        <v>484.7</v>
      </c>
      <c r="CT6" s="76">
        <v>200000</v>
      </c>
      <c r="CU6" s="204" t="s">
        <v>5792</v>
      </c>
      <c r="CV6" s="205" t="s">
        <v>5792</v>
      </c>
      <c r="CW6" s="205" t="s">
        <v>5792</v>
      </c>
      <c r="CX6" s="206" t="s">
        <v>5792</v>
      </c>
      <c r="CY6" s="204" t="s">
        <v>5792</v>
      </c>
      <c r="CZ6" s="205" t="s">
        <v>5792</v>
      </c>
      <c r="DA6" s="206" t="s">
        <v>5792</v>
      </c>
      <c r="DB6" s="282" t="s">
        <v>5792</v>
      </c>
      <c r="DC6" s="162" t="s">
        <v>4422</v>
      </c>
      <c r="DD6" s="65">
        <v>640</v>
      </c>
      <c r="DE6" s="30">
        <v>730</v>
      </c>
      <c r="DF6" s="65">
        <v>800</v>
      </c>
      <c r="DG6" s="30">
        <v>940</v>
      </c>
      <c r="DH6" s="66">
        <v>200000</v>
      </c>
      <c r="DI6" s="29" t="s">
        <v>4760</v>
      </c>
      <c r="DJ6" s="163" t="s">
        <v>4435</v>
      </c>
      <c r="DK6" s="297" t="s">
        <v>4566</v>
      </c>
    </row>
    <row r="7" spans="1:115">
      <c r="A7" s="18">
        <v>2</v>
      </c>
      <c r="B7" s="326"/>
      <c r="C7" s="326"/>
      <c r="D7" s="433"/>
      <c r="E7" s="343"/>
      <c r="F7" s="326"/>
      <c r="G7" s="337"/>
      <c r="H7" s="337"/>
      <c r="I7" s="337"/>
      <c r="J7" s="41" t="s">
        <v>4397</v>
      </c>
      <c r="K7" s="306" t="s">
        <v>4383</v>
      </c>
      <c r="L7" s="163" t="s">
        <v>5792</v>
      </c>
      <c r="M7" s="306" t="s">
        <v>4508</v>
      </c>
      <c r="N7" s="163" t="s">
        <v>4701</v>
      </c>
      <c r="O7" s="18" t="s">
        <v>4507</v>
      </c>
      <c r="P7" s="163" t="s">
        <v>6312</v>
      </c>
      <c r="Q7" s="163" t="s">
        <v>4420</v>
      </c>
      <c r="R7" s="163" t="s">
        <v>6169</v>
      </c>
      <c r="S7" s="163">
        <v>12</v>
      </c>
      <c r="T7" s="163" t="s">
        <v>4420</v>
      </c>
      <c r="U7" s="163" t="s">
        <v>5792</v>
      </c>
      <c r="V7" s="163" t="s">
        <v>6049</v>
      </c>
      <c r="W7" s="18">
        <v>6</v>
      </c>
      <c r="X7" s="231">
        <v>0</v>
      </c>
      <c r="Y7" s="18">
        <v>0</v>
      </c>
      <c r="Z7" s="306" t="s">
        <v>520</v>
      </c>
      <c r="AA7" s="21">
        <f>INDEX('[2]Cross-Section Database'!$C$2:$V$2928,MATCH(Z7,'[2]Cross-Section Database'!$B$2:$B$2928,0),3)</f>
        <v>204.72399999999999</v>
      </c>
      <c r="AB7" s="21">
        <f>INDEX('[2]Cross-Section Database'!$C$2:$V$2928,MATCH(Z7,'[2]Cross-Section Database'!$B$2:$B$2928,0),4)</f>
        <v>166.11599999999999</v>
      </c>
      <c r="AC7" s="21">
        <f>INDEX('[2]Cross-Section Database'!$C$2:$V$2928,MATCH(Z7,'[2]Cross-Section Database'!$B$2:$B$2928,0),6)</f>
        <v>11.811</v>
      </c>
      <c r="AD7" s="21">
        <f>INDEX('[2]Cross-Section Database'!$C$2:$V$2928,MATCH(Z7,'[2]Cross-Section Database'!$B$2:$B$2928,0),5)</f>
        <v>7.238999999999999</v>
      </c>
      <c r="AE7" s="21">
        <v>610</v>
      </c>
      <c r="AF7" s="306" t="s">
        <v>498</v>
      </c>
      <c r="AG7" s="21">
        <f>INDEX('[2]Cross-Section Database'!$C$2:$V$2928,MATCH(AF7,'[2]Cross-Section Database'!$B$2:$B$2928,0),3)</f>
        <v>259.08</v>
      </c>
      <c r="AH7" s="21">
        <f>INDEX('[2]Cross-Section Database'!$C$2:$V$2928,MATCH(AF7,'[2]Cross-Section Database'!$B$2:$B$2928,0),4)</f>
        <v>146.04999999999998</v>
      </c>
      <c r="AI7" s="46">
        <f>INDEX('[2]Cross-Section Database'!$C$2:$V$2928,MATCH(AF7,'[2]Cross-Section Database'!$B$2:$B$2928,0),6)</f>
        <v>9.1439999999999984</v>
      </c>
      <c r="AJ7" s="46">
        <f>INDEX('[2]Cross-Section Database'!$C$2:$V$2928,MATCH(AF7,'[2]Cross-Section Database'!$B$2:$B$2928,0),5)</f>
        <v>6.0959999999999992</v>
      </c>
      <c r="AK7" s="46">
        <v>1194</v>
      </c>
      <c r="AL7" s="46">
        <f>INDEX('[2]Cross-Section Database'!$C$2:$V$3928,MATCH(AF7,'[2]Cross-Section Database'!$B$2:$B$3928,0),11)</f>
        <v>49115308.220799997</v>
      </c>
      <c r="AM7" s="24">
        <f>INDEX('[2]Cross-Section Database'!$C$2:$V$3928,MATCH(AF7,'[2]Cross-Section Database'!$B$2:$B$3928,0),12)</f>
        <v>426063.66399999999</v>
      </c>
      <c r="AN7" s="103">
        <v>12.7</v>
      </c>
      <c r="AO7" s="21">
        <f t="shared" ref="AO7:AO15" si="2">6.5*25.4</f>
        <v>165.1</v>
      </c>
      <c r="AP7" s="46">
        <f t="shared" ref="AP7:AP15" si="3">11*25.4</f>
        <v>279.39999999999998</v>
      </c>
      <c r="AQ7" s="46">
        <f>(AP7-AG7)/2</f>
        <v>10.159999999999997</v>
      </c>
      <c r="AR7" s="47">
        <f t="shared" si="0"/>
        <v>10.159999999999997</v>
      </c>
      <c r="AS7" s="306" t="s">
        <v>5807</v>
      </c>
      <c r="AT7" s="163" t="s">
        <v>6134</v>
      </c>
      <c r="AU7" s="21" t="s">
        <v>6134</v>
      </c>
      <c r="AV7" s="21">
        <v>19.05</v>
      </c>
      <c r="AW7" s="163">
        <v>241</v>
      </c>
      <c r="AX7" s="21">
        <f t="shared" ref="AX7:AX29" si="4">3*25.4</f>
        <v>76.199999999999989</v>
      </c>
      <c r="AY7" s="21">
        <f t="shared" ref="AY7:AY29" si="5">AX7</f>
        <v>76.199999999999989</v>
      </c>
      <c r="AZ7" s="21">
        <v>0</v>
      </c>
      <c r="BA7" s="21">
        <f>3.5*25.4</f>
        <v>88.899999999999991</v>
      </c>
      <c r="BB7" s="21">
        <f t="shared" si="1"/>
        <v>127</v>
      </c>
      <c r="BC7" s="15" t="s">
        <v>6313</v>
      </c>
      <c r="BD7" s="163" t="s">
        <v>6209</v>
      </c>
      <c r="BE7" s="163" t="s">
        <v>6209</v>
      </c>
      <c r="BF7" s="163">
        <v>2</v>
      </c>
      <c r="BG7" s="163">
        <v>4</v>
      </c>
      <c r="BH7" s="202" t="s">
        <v>5792</v>
      </c>
      <c r="BI7" s="203" t="s">
        <v>5792</v>
      </c>
      <c r="BJ7" s="203" t="s">
        <v>5792</v>
      </c>
      <c r="BK7" s="203" t="s">
        <v>5792</v>
      </c>
      <c r="BL7" s="203" t="s">
        <v>5792</v>
      </c>
      <c r="BM7" s="203" t="s">
        <v>5792</v>
      </c>
      <c r="BN7" s="203" t="s">
        <v>5792</v>
      </c>
      <c r="BO7" s="203" t="s">
        <v>5792</v>
      </c>
      <c r="BP7" s="202" t="s">
        <v>5792</v>
      </c>
      <c r="BQ7" s="203" t="s">
        <v>5792</v>
      </c>
      <c r="BR7" s="203" t="s">
        <v>5792</v>
      </c>
      <c r="BS7" s="203" t="s">
        <v>5792</v>
      </c>
      <c r="BT7" s="203" t="s">
        <v>5792</v>
      </c>
      <c r="BU7" s="203" t="s">
        <v>5792</v>
      </c>
      <c r="BV7" s="218" t="s">
        <v>5792</v>
      </c>
      <c r="BW7" s="203" t="s">
        <v>5792</v>
      </c>
      <c r="BX7" s="203" t="s">
        <v>5792</v>
      </c>
      <c r="BY7" s="203" t="s">
        <v>5792</v>
      </c>
      <c r="BZ7" s="203" t="s">
        <v>5792</v>
      </c>
      <c r="CA7" s="203" t="s">
        <v>5792</v>
      </c>
      <c r="CB7" s="218" t="s">
        <v>5792</v>
      </c>
      <c r="CC7" s="303" t="s">
        <v>4425</v>
      </c>
      <c r="CD7" s="60">
        <v>300</v>
      </c>
      <c r="CE7" s="10">
        <v>352</v>
      </c>
      <c r="CF7" s="60">
        <v>450</v>
      </c>
      <c r="CG7" s="47">
        <v>534.5</v>
      </c>
      <c r="CH7" s="67">
        <v>200000</v>
      </c>
      <c r="CI7" s="300" t="s">
        <v>4425</v>
      </c>
      <c r="CJ7" s="60">
        <v>300</v>
      </c>
      <c r="CK7" s="47">
        <v>293</v>
      </c>
      <c r="CL7" s="47">
        <v>450</v>
      </c>
      <c r="CM7" s="47">
        <v>460.22</v>
      </c>
      <c r="CN7" s="67">
        <v>200000</v>
      </c>
      <c r="CO7" s="300" t="s">
        <v>4421</v>
      </c>
      <c r="CP7" s="47">
        <v>250</v>
      </c>
      <c r="CQ7" s="47">
        <v>314</v>
      </c>
      <c r="CR7" s="47">
        <v>475</v>
      </c>
      <c r="CS7" s="47">
        <v>484.7</v>
      </c>
      <c r="CT7" s="61">
        <v>200000</v>
      </c>
      <c r="CU7" s="207" t="s">
        <v>5792</v>
      </c>
      <c r="CV7" s="208" t="s">
        <v>5792</v>
      </c>
      <c r="CW7" s="208" t="s">
        <v>5792</v>
      </c>
      <c r="CX7" s="209" t="s">
        <v>5792</v>
      </c>
      <c r="CY7" s="207" t="s">
        <v>5792</v>
      </c>
      <c r="CZ7" s="208" t="s">
        <v>5792</v>
      </c>
      <c r="DA7" s="209" t="s">
        <v>5792</v>
      </c>
      <c r="DB7" s="283" t="s">
        <v>5792</v>
      </c>
      <c r="DC7" s="163" t="s">
        <v>4422</v>
      </c>
      <c r="DD7" s="60">
        <v>640</v>
      </c>
      <c r="DE7" s="32">
        <v>730</v>
      </c>
      <c r="DF7" s="60">
        <v>800</v>
      </c>
      <c r="DG7" s="32">
        <v>940</v>
      </c>
      <c r="DH7" s="67">
        <v>200000</v>
      </c>
      <c r="DI7" s="29" t="s">
        <v>4573</v>
      </c>
      <c r="DJ7" s="163" t="s">
        <v>4435</v>
      </c>
      <c r="DK7" s="297" t="s">
        <v>4566</v>
      </c>
    </row>
    <row r="8" spans="1:115">
      <c r="A8" s="18">
        <v>3</v>
      </c>
      <c r="B8" s="326"/>
      <c r="C8" s="326"/>
      <c r="D8" s="433"/>
      <c r="E8" s="343"/>
      <c r="F8" s="326"/>
      <c r="G8" s="337"/>
      <c r="H8" s="337"/>
      <c r="I8" s="337"/>
      <c r="J8" s="41" t="s">
        <v>4398</v>
      </c>
      <c r="K8" s="306" t="s">
        <v>4383</v>
      </c>
      <c r="L8" s="163" t="s">
        <v>5792</v>
      </c>
      <c r="M8" s="306" t="s">
        <v>4508</v>
      </c>
      <c r="N8" s="163" t="s">
        <v>4701</v>
      </c>
      <c r="O8" s="18" t="s">
        <v>4507</v>
      </c>
      <c r="P8" s="163" t="s">
        <v>6312</v>
      </c>
      <c r="Q8" s="163" t="s">
        <v>4420</v>
      </c>
      <c r="R8" s="163" t="s">
        <v>6312</v>
      </c>
      <c r="S8" s="163" t="s">
        <v>5792</v>
      </c>
      <c r="T8" s="163" t="s">
        <v>4420</v>
      </c>
      <c r="U8" s="163" t="s">
        <v>5792</v>
      </c>
      <c r="V8" s="163" t="s">
        <v>6049</v>
      </c>
      <c r="W8" s="18">
        <v>6</v>
      </c>
      <c r="X8" s="231">
        <v>0</v>
      </c>
      <c r="Y8" s="18">
        <v>0</v>
      </c>
      <c r="Z8" s="306" t="s">
        <v>520</v>
      </c>
      <c r="AA8" s="21">
        <f>INDEX('[2]Cross-Section Database'!$C$2:$V$2928,MATCH(Z8,'[2]Cross-Section Database'!$B$2:$B$2928,0),3)</f>
        <v>204.72399999999999</v>
      </c>
      <c r="AB8" s="21">
        <f>INDEX('[2]Cross-Section Database'!$C$2:$V$2928,MATCH(Z8,'[2]Cross-Section Database'!$B$2:$B$2928,0),4)</f>
        <v>166.11599999999999</v>
      </c>
      <c r="AC8" s="21">
        <f>INDEX('[2]Cross-Section Database'!$C$2:$V$2928,MATCH(Z8,'[2]Cross-Section Database'!$B$2:$B$2928,0),6)</f>
        <v>11.811</v>
      </c>
      <c r="AD8" s="21">
        <f>INDEX('[2]Cross-Section Database'!$C$2:$V$2928,MATCH(Z8,'[2]Cross-Section Database'!$B$2:$B$2928,0),5)</f>
        <v>7.238999999999999</v>
      </c>
      <c r="AE8" s="21">
        <v>610</v>
      </c>
      <c r="AF8" s="306" t="s">
        <v>498</v>
      </c>
      <c r="AG8" s="21">
        <f>INDEX('[2]Cross-Section Database'!$C$2:$V$2928,MATCH(AF8,'[2]Cross-Section Database'!$B$2:$B$2928,0),3)</f>
        <v>259.08</v>
      </c>
      <c r="AH8" s="21">
        <f>INDEX('[2]Cross-Section Database'!$C$2:$V$2928,MATCH(AF8,'[2]Cross-Section Database'!$B$2:$B$2928,0),4)</f>
        <v>146.04999999999998</v>
      </c>
      <c r="AI8" s="21">
        <f>INDEX('[2]Cross-Section Database'!$C$2:$V$2928,MATCH(AF8,'[2]Cross-Section Database'!$B$2:$B$2928,0),6)</f>
        <v>9.1439999999999984</v>
      </c>
      <c r="AJ8" s="21">
        <f>INDEX('[2]Cross-Section Database'!$C$2:$V$2928,MATCH(AF8,'[2]Cross-Section Database'!$B$2:$B$2928,0),5)</f>
        <v>6.0959999999999992</v>
      </c>
      <c r="AK8" s="21">
        <v>1194</v>
      </c>
      <c r="AL8" s="21">
        <f>INDEX('[2]Cross-Section Database'!$C$2:$V$3928,MATCH(AF8,'[2]Cross-Section Database'!$B$2:$B$3928,0),11)</f>
        <v>49115308.220799997</v>
      </c>
      <c r="AM8" s="24">
        <f>INDEX('[2]Cross-Section Database'!$C$2:$V$3928,MATCH(AF8,'[2]Cross-Section Database'!$B$2:$B$3928,0),12)</f>
        <v>426063.66399999999</v>
      </c>
      <c r="AN8" s="103">
        <v>9.5250000000000004</v>
      </c>
      <c r="AO8" s="21">
        <f t="shared" si="2"/>
        <v>165.1</v>
      </c>
      <c r="AP8" s="21">
        <f t="shared" si="3"/>
        <v>279.39999999999998</v>
      </c>
      <c r="AQ8" s="21">
        <f>(AP8-AG8)/2</f>
        <v>10.159999999999997</v>
      </c>
      <c r="AR8" s="47">
        <f t="shared" si="0"/>
        <v>10.159999999999997</v>
      </c>
      <c r="AS8" s="306" t="s">
        <v>5807</v>
      </c>
      <c r="AT8" s="163" t="s">
        <v>6134</v>
      </c>
      <c r="AU8" s="21" t="s">
        <v>6134</v>
      </c>
      <c r="AV8" s="21">
        <v>19.05</v>
      </c>
      <c r="AW8" s="163">
        <v>241</v>
      </c>
      <c r="AX8" s="21">
        <f t="shared" si="4"/>
        <v>76.199999999999989</v>
      </c>
      <c r="AY8" s="21">
        <f t="shared" si="5"/>
        <v>76.199999999999989</v>
      </c>
      <c r="AZ8" s="21">
        <v>0</v>
      </c>
      <c r="BA8" s="21">
        <f t="shared" ref="BA8:BA15" si="6">3.5*25.4</f>
        <v>88.899999999999991</v>
      </c>
      <c r="BB8" s="21">
        <f t="shared" si="1"/>
        <v>127</v>
      </c>
      <c r="BC8" s="15" t="s">
        <v>6313</v>
      </c>
      <c r="BD8" s="163" t="s">
        <v>6209</v>
      </c>
      <c r="BE8" s="163" t="s">
        <v>6209</v>
      </c>
      <c r="BF8" s="163">
        <v>2</v>
      </c>
      <c r="BG8" s="163">
        <v>4</v>
      </c>
      <c r="BH8" s="202" t="s">
        <v>5792</v>
      </c>
      <c r="BI8" s="203" t="s">
        <v>5792</v>
      </c>
      <c r="BJ8" s="203" t="s">
        <v>5792</v>
      </c>
      <c r="BK8" s="203" t="s">
        <v>5792</v>
      </c>
      <c r="BL8" s="203" t="s">
        <v>5792</v>
      </c>
      <c r="BM8" s="203" t="s">
        <v>5792</v>
      </c>
      <c r="BN8" s="203" t="s">
        <v>5792</v>
      </c>
      <c r="BO8" s="203" t="s">
        <v>5792</v>
      </c>
      <c r="BP8" s="202" t="s">
        <v>5792</v>
      </c>
      <c r="BQ8" s="203" t="s">
        <v>5792</v>
      </c>
      <c r="BR8" s="203" t="s">
        <v>5792</v>
      </c>
      <c r="BS8" s="203" t="s">
        <v>5792</v>
      </c>
      <c r="BT8" s="203" t="s">
        <v>5792</v>
      </c>
      <c r="BU8" s="203" t="s">
        <v>5792</v>
      </c>
      <c r="BV8" s="218" t="s">
        <v>5792</v>
      </c>
      <c r="BW8" s="203" t="s">
        <v>5792</v>
      </c>
      <c r="BX8" s="203" t="s">
        <v>5792</v>
      </c>
      <c r="BY8" s="203" t="s">
        <v>5792</v>
      </c>
      <c r="BZ8" s="203" t="s">
        <v>5792</v>
      </c>
      <c r="CA8" s="203" t="s">
        <v>5792</v>
      </c>
      <c r="CB8" s="218" t="s">
        <v>5792</v>
      </c>
      <c r="CC8" s="303" t="s">
        <v>4425</v>
      </c>
      <c r="CD8" s="60">
        <v>300</v>
      </c>
      <c r="CE8" s="10">
        <v>352</v>
      </c>
      <c r="CF8" s="60">
        <v>450</v>
      </c>
      <c r="CG8" s="47">
        <v>534.5</v>
      </c>
      <c r="CH8" s="67">
        <v>200000</v>
      </c>
      <c r="CI8" s="300" t="s">
        <v>4425</v>
      </c>
      <c r="CJ8" s="60">
        <v>300</v>
      </c>
      <c r="CK8" s="47">
        <v>293</v>
      </c>
      <c r="CL8" s="47">
        <v>450</v>
      </c>
      <c r="CM8" s="47">
        <v>460.22</v>
      </c>
      <c r="CN8" s="67">
        <v>200000</v>
      </c>
      <c r="CO8" s="300" t="s">
        <v>4421</v>
      </c>
      <c r="CP8" s="47">
        <v>250</v>
      </c>
      <c r="CQ8" s="47">
        <v>313.7</v>
      </c>
      <c r="CR8" s="47">
        <v>475</v>
      </c>
      <c r="CS8" s="47">
        <v>472.29</v>
      </c>
      <c r="CT8" s="61">
        <v>200000</v>
      </c>
      <c r="CU8" s="207" t="s">
        <v>5792</v>
      </c>
      <c r="CV8" s="208" t="s">
        <v>5792</v>
      </c>
      <c r="CW8" s="208" t="s">
        <v>5792</v>
      </c>
      <c r="CX8" s="209" t="s">
        <v>5792</v>
      </c>
      <c r="CY8" s="207" t="s">
        <v>5792</v>
      </c>
      <c r="CZ8" s="208" t="s">
        <v>5792</v>
      </c>
      <c r="DA8" s="209" t="s">
        <v>5792</v>
      </c>
      <c r="DB8" s="283" t="s">
        <v>5792</v>
      </c>
      <c r="DC8" s="163" t="s">
        <v>4422</v>
      </c>
      <c r="DD8" s="60">
        <v>640</v>
      </c>
      <c r="DE8" s="32">
        <v>730</v>
      </c>
      <c r="DF8" s="60">
        <v>800</v>
      </c>
      <c r="DG8" s="32">
        <v>940</v>
      </c>
      <c r="DH8" s="67">
        <v>200000</v>
      </c>
      <c r="DI8" s="29" t="s">
        <v>4573</v>
      </c>
      <c r="DJ8" s="163" t="s">
        <v>4435</v>
      </c>
      <c r="DK8" s="297" t="s">
        <v>4566</v>
      </c>
    </row>
    <row r="9" spans="1:115">
      <c r="A9" s="18">
        <v>4</v>
      </c>
      <c r="B9" s="326"/>
      <c r="C9" s="326"/>
      <c r="D9" s="433"/>
      <c r="E9" s="343"/>
      <c r="F9" s="326"/>
      <c r="G9" s="337"/>
      <c r="H9" s="337"/>
      <c r="I9" s="337"/>
      <c r="J9" s="41" t="s">
        <v>4399</v>
      </c>
      <c r="K9" s="306" t="s">
        <v>4383</v>
      </c>
      <c r="L9" s="163" t="s">
        <v>5792</v>
      </c>
      <c r="M9" s="306" t="s">
        <v>4508</v>
      </c>
      <c r="N9" s="163" t="s">
        <v>4701</v>
      </c>
      <c r="O9" s="18" t="s">
        <v>4507</v>
      </c>
      <c r="P9" s="163" t="s">
        <v>6312</v>
      </c>
      <c r="Q9" s="163" t="s">
        <v>4420</v>
      </c>
      <c r="R9" s="163" t="s">
        <v>6312</v>
      </c>
      <c r="S9" s="163" t="s">
        <v>5792</v>
      </c>
      <c r="T9" s="163" t="s">
        <v>4420</v>
      </c>
      <c r="U9" s="163" t="s">
        <v>5792</v>
      </c>
      <c r="V9" s="163" t="s">
        <v>6049</v>
      </c>
      <c r="W9" s="18">
        <v>6</v>
      </c>
      <c r="X9" s="231">
        <v>0</v>
      </c>
      <c r="Y9" s="18">
        <v>0</v>
      </c>
      <c r="Z9" s="306" t="s">
        <v>520</v>
      </c>
      <c r="AA9" s="21">
        <f>INDEX('[2]Cross-Section Database'!$C$2:$V$2928,MATCH(Z9,'[2]Cross-Section Database'!$B$2:$B$2928,0),3)</f>
        <v>204.72399999999999</v>
      </c>
      <c r="AB9" s="21">
        <f>INDEX('[2]Cross-Section Database'!$C$2:$V$2928,MATCH(Z9,'[2]Cross-Section Database'!$B$2:$B$2928,0),4)</f>
        <v>166.11599999999999</v>
      </c>
      <c r="AC9" s="21">
        <f>INDEX('[2]Cross-Section Database'!$C$2:$V$2928,MATCH(Z9,'[2]Cross-Section Database'!$B$2:$B$2928,0),6)</f>
        <v>11.811</v>
      </c>
      <c r="AD9" s="21">
        <f>INDEX('[2]Cross-Section Database'!$C$2:$V$2928,MATCH(Z9,'[2]Cross-Section Database'!$B$2:$B$2928,0),5)</f>
        <v>7.238999999999999</v>
      </c>
      <c r="AE9" s="21">
        <v>610</v>
      </c>
      <c r="AF9" s="306" t="s">
        <v>498</v>
      </c>
      <c r="AG9" s="21">
        <f>INDEX('[2]Cross-Section Database'!$C$2:$V$2928,MATCH(AF9,'[2]Cross-Section Database'!$B$2:$B$2928,0),3)</f>
        <v>259.08</v>
      </c>
      <c r="AH9" s="21">
        <f>INDEX('[2]Cross-Section Database'!$C$2:$V$2928,MATCH(AF9,'[2]Cross-Section Database'!$B$2:$B$2928,0),4)</f>
        <v>146.04999999999998</v>
      </c>
      <c r="AI9" s="21">
        <f>INDEX('[2]Cross-Section Database'!$C$2:$V$2928,MATCH(AF9,'[2]Cross-Section Database'!$B$2:$B$2928,0),6)</f>
        <v>9.1439999999999984</v>
      </c>
      <c r="AJ9" s="21">
        <f>INDEX('[2]Cross-Section Database'!$C$2:$V$2928,MATCH(AF9,'[2]Cross-Section Database'!$B$2:$B$2928,0),5)</f>
        <v>6.0959999999999992</v>
      </c>
      <c r="AK9" s="21">
        <v>1194</v>
      </c>
      <c r="AL9" s="21">
        <f>INDEX('[2]Cross-Section Database'!$C$2:$V$3928,MATCH(AF9,'[2]Cross-Section Database'!$B$2:$B$3928,0),11)</f>
        <v>49115308.220799997</v>
      </c>
      <c r="AM9" s="24">
        <f>INDEX('[2]Cross-Section Database'!$C$2:$V$3928,MATCH(AF9,'[2]Cross-Section Database'!$B$2:$B$3928,0),12)</f>
        <v>426063.66399999999</v>
      </c>
      <c r="AN9" s="103">
        <v>6.35</v>
      </c>
      <c r="AO9" s="21">
        <f t="shared" si="2"/>
        <v>165.1</v>
      </c>
      <c r="AP9" s="21">
        <f t="shared" si="3"/>
        <v>279.39999999999998</v>
      </c>
      <c r="AQ9" s="21">
        <f t="shared" ref="AQ9:AQ15" si="7">(AP9-AG9)-AR9</f>
        <v>10.159999999999997</v>
      </c>
      <c r="AR9" s="47">
        <f t="shared" si="0"/>
        <v>10.159999999999997</v>
      </c>
      <c r="AS9" s="306" t="s">
        <v>5807</v>
      </c>
      <c r="AT9" s="163" t="s">
        <v>6134</v>
      </c>
      <c r="AU9" s="21" t="s">
        <v>6134</v>
      </c>
      <c r="AV9" s="21">
        <v>19.05</v>
      </c>
      <c r="AW9" s="163">
        <v>241</v>
      </c>
      <c r="AX9" s="21">
        <f t="shared" si="4"/>
        <v>76.199999999999989</v>
      </c>
      <c r="AY9" s="21">
        <f t="shared" si="5"/>
        <v>76.199999999999989</v>
      </c>
      <c r="AZ9" s="21">
        <v>0</v>
      </c>
      <c r="BA9" s="21">
        <f t="shared" si="6"/>
        <v>88.899999999999991</v>
      </c>
      <c r="BB9" s="21">
        <f t="shared" si="1"/>
        <v>127</v>
      </c>
      <c r="BC9" s="15" t="s">
        <v>6313</v>
      </c>
      <c r="BD9" s="163" t="s">
        <v>6209</v>
      </c>
      <c r="BE9" s="163" t="s">
        <v>6209</v>
      </c>
      <c r="BF9" s="163">
        <v>2</v>
      </c>
      <c r="BG9" s="163">
        <v>4</v>
      </c>
      <c r="BH9" s="202" t="s">
        <v>5792</v>
      </c>
      <c r="BI9" s="203" t="s">
        <v>5792</v>
      </c>
      <c r="BJ9" s="203" t="s">
        <v>5792</v>
      </c>
      <c r="BK9" s="203" t="s">
        <v>5792</v>
      </c>
      <c r="BL9" s="203" t="s">
        <v>5792</v>
      </c>
      <c r="BM9" s="203" t="s">
        <v>5792</v>
      </c>
      <c r="BN9" s="203" t="s">
        <v>5792</v>
      </c>
      <c r="BO9" s="203" t="s">
        <v>5792</v>
      </c>
      <c r="BP9" s="202" t="s">
        <v>5792</v>
      </c>
      <c r="BQ9" s="203" t="s">
        <v>5792</v>
      </c>
      <c r="BR9" s="203" t="s">
        <v>5792</v>
      </c>
      <c r="BS9" s="203" t="s">
        <v>5792</v>
      </c>
      <c r="BT9" s="203" t="s">
        <v>5792</v>
      </c>
      <c r="BU9" s="203" t="s">
        <v>5792</v>
      </c>
      <c r="BV9" s="218" t="s">
        <v>5792</v>
      </c>
      <c r="BW9" s="203" t="s">
        <v>5792</v>
      </c>
      <c r="BX9" s="203" t="s">
        <v>5792</v>
      </c>
      <c r="BY9" s="203" t="s">
        <v>5792</v>
      </c>
      <c r="BZ9" s="203" t="s">
        <v>5792</v>
      </c>
      <c r="CA9" s="203" t="s">
        <v>5792</v>
      </c>
      <c r="CB9" s="218" t="s">
        <v>5792</v>
      </c>
      <c r="CC9" s="303" t="s">
        <v>4425</v>
      </c>
      <c r="CD9" s="60">
        <v>300</v>
      </c>
      <c r="CE9" s="10">
        <v>352</v>
      </c>
      <c r="CF9" s="60">
        <v>450</v>
      </c>
      <c r="CG9" s="47">
        <v>534.5</v>
      </c>
      <c r="CH9" s="67">
        <v>200000</v>
      </c>
      <c r="CI9" s="300" t="s">
        <v>4425</v>
      </c>
      <c r="CJ9" s="60">
        <v>300</v>
      </c>
      <c r="CK9" s="47">
        <v>293</v>
      </c>
      <c r="CL9" s="47">
        <v>450</v>
      </c>
      <c r="CM9" s="47">
        <v>460.22</v>
      </c>
      <c r="CN9" s="67">
        <v>200000</v>
      </c>
      <c r="CO9" s="300" t="s">
        <v>4421</v>
      </c>
      <c r="CP9" s="47">
        <v>250</v>
      </c>
      <c r="CQ9" s="47">
        <v>321</v>
      </c>
      <c r="CR9" s="47">
        <v>475</v>
      </c>
      <c r="CS9" s="47">
        <v>490.90600000000001</v>
      </c>
      <c r="CT9" s="61">
        <v>200000</v>
      </c>
      <c r="CU9" s="207" t="s">
        <v>5792</v>
      </c>
      <c r="CV9" s="208" t="s">
        <v>5792</v>
      </c>
      <c r="CW9" s="208" t="s">
        <v>5792</v>
      </c>
      <c r="CX9" s="209" t="s">
        <v>5792</v>
      </c>
      <c r="CY9" s="207" t="s">
        <v>5792</v>
      </c>
      <c r="CZ9" s="208" t="s">
        <v>5792</v>
      </c>
      <c r="DA9" s="209" t="s">
        <v>5792</v>
      </c>
      <c r="DB9" s="283" t="s">
        <v>5792</v>
      </c>
      <c r="DC9" s="163" t="s">
        <v>4422</v>
      </c>
      <c r="DD9" s="60">
        <v>640</v>
      </c>
      <c r="DE9" s="32">
        <v>730</v>
      </c>
      <c r="DF9" s="60">
        <v>800</v>
      </c>
      <c r="DG9" s="32">
        <v>940</v>
      </c>
      <c r="DH9" s="67">
        <v>200000</v>
      </c>
      <c r="DI9" s="41" t="s">
        <v>4573</v>
      </c>
      <c r="DJ9" s="163" t="s">
        <v>4435</v>
      </c>
      <c r="DK9" s="297" t="s">
        <v>4566</v>
      </c>
    </row>
    <row r="10" spans="1:115">
      <c r="A10" s="18">
        <v>5</v>
      </c>
      <c r="B10" s="326"/>
      <c r="C10" s="326"/>
      <c r="D10" s="433"/>
      <c r="E10" s="343"/>
      <c r="F10" s="326"/>
      <c r="G10" s="337"/>
      <c r="H10" s="337"/>
      <c r="I10" s="337"/>
      <c r="J10" s="41" t="s">
        <v>4400</v>
      </c>
      <c r="K10" s="306" t="s">
        <v>4383</v>
      </c>
      <c r="L10" s="163" t="s">
        <v>5792</v>
      </c>
      <c r="M10" s="306" t="s">
        <v>4508</v>
      </c>
      <c r="N10" s="163" t="s">
        <v>4701</v>
      </c>
      <c r="O10" s="18" t="s">
        <v>4507</v>
      </c>
      <c r="P10" s="163" t="s">
        <v>6312</v>
      </c>
      <c r="Q10" s="163" t="s">
        <v>4420</v>
      </c>
      <c r="R10" s="163" t="s">
        <v>6169</v>
      </c>
      <c r="S10" s="163">
        <v>6</v>
      </c>
      <c r="T10" s="163" t="s">
        <v>4420</v>
      </c>
      <c r="U10" s="163" t="s">
        <v>5792</v>
      </c>
      <c r="V10" s="163" t="s">
        <v>6049</v>
      </c>
      <c r="W10" s="18">
        <v>6</v>
      </c>
      <c r="X10" s="231">
        <v>0</v>
      </c>
      <c r="Y10" s="18">
        <v>0</v>
      </c>
      <c r="Z10" s="306" t="s">
        <v>520</v>
      </c>
      <c r="AA10" s="21">
        <f>INDEX('[2]Cross-Section Database'!$C$2:$V$2928,MATCH(Z10,'[2]Cross-Section Database'!$B$2:$B$2928,0),3)</f>
        <v>204.72399999999999</v>
      </c>
      <c r="AB10" s="21">
        <f>INDEX('[2]Cross-Section Database'!$C$2:$V$2928,MATCH(Z10,'[2]Cross-Section Database'!$B$2:$B$2928,0),4)</f>
        <v>166.11599999999999</v>
      </c>
      <c r="AC10" s="21">
        <f>INDEX('[2]Cross-Section Database'!$C$2:$V$2928,MATCH(Z10,'[2]Cross-Section Database'!$B$2:$B$2928,0),6)</f>
        <v>11.811</v>
      </c>
      <c r="AD10" s="21">
        <f>INDEX('[2]Cross-Section Database'!$C$2:$V$2928,MATCH(Z10,'[2]Cross-Section Database'!$B$2:$B$2928,0),5)</f>
        <v>7.238999999999999</v>
      </c>
      <c r="AE10" s="21">
        <v>610</v>
      </c>
      <c r="AF10" s="306" t="s">
        <v>498</v>
      </c>
      <c r="AG10" s="21">
        <f>INDEX('[2]Cross-Section Database'!$C$2:$V$2928,MATCH(AF10,'[2]Cross-Section Database'!$B$2:$B$2928,0),3)</f>
        <v>259.08</v>
      </c>
      <c r="AH10" s="21">
        <f>INDEX('[2]Cross-Section Database'!$C$2:$V$2928,MATCH(AF10,'[2]Cross-Section Database'!$B$2:$B$2928,0),4)</f>
        <v>146.04999999999998</v>
      </c>
      <c r="AI10" s="21">
        <f>INDEX('[2]Cross-Section Database'!$C$2:$V$2928,MATCH(AF10,'[2]Cross-Section Database'!$B$2:$B$2928,0),6)</f>
        <v>9.1439999999999984</v>
      </c>
      <c r="AJ10" s="21">
        <f>INDEX('[2]Cross-Section Database'!$C$2:$V$2928,MATCH(AF10,'[2]Cross-Section Database'!$B$2:$B$2928,0),5)</f>
        <v>6.0959999999999992</v>
      </c>
      <c r="AK10" s="21">
        <v>1194</v>
      </c>
      <c r="AL10" s="21">
        <f>INDEX('[2]Cross-Section Database'!$C$2:$V$3928,MATCH(AF10,'[2]Cross-Section Database'!$B$2:$B$3928,0),11)</f>
        <v>49115308.220799997</v>
      </c>
      <c r="AM10" s="24">
        <f>INDEX('[2]Cross-Section Database'!$C$2:$V$3928,MATCH(AF10,'[2]Cross-Section Database'!$B$2:$B$3928,0),12)</f>
        <v>426063.66399999999</v>
      </c>
      <c r="AN10" s="103">
        <v>12.7</v>
      </c>
      <c r="AO10" s="21">
        <f t="shared" si="2"/>
        <v>165.1</v>
      </c>
      <c r="AP10" s="21">
        <f t="shared" si="3"/>
        <v>279.39999999999998</v>
      </c>
      <c r="AQ10" s="21">
        <f t="shared" si="7"/>
        <v>10.159999999999997</v>
      </c>
      <c r="AR10" s="47">
        <f t="shared" si="0"/>
        <v>10.159999999999997</v>
      </c>
      <c r="AS10" s="306" t="s">
        <v>5807</v>
      </c>
      <c r="AT10" s="163" t="s">
        <v>6134</v>
      </c>
      <c r="AU10" s="21" t="s">
        <v>6134</v>
      </c>
      <c r="AV10" s="21">
        <v>19.05</v>
      </c>
      <c r="AW10" s="163">
        <v>241</v>
      </c>
      <c r="AX10" s="21">
        <f t="shared" si="4"/>
        <v>76.199999999999989</v>
      </c>
      <c r="AY10" s="21">
        <f t="shared" si="5"/>
        <v>76.199999999999989</v>
      </c>
      <c r="AZ10" s="21">
        <v>0</v>
      </c>
      <c r="BA10" s="21">
        <f t="shared" si="6"/>
        <v>88.899999999999991</v>
      </c>
      <c r="BB10" s="21">
        <f t="shared" si="1"/>
        <v>127</v>
      </c>
      <c r="BC10" s="15" t="s">
        <v>6313</v>
      </c>
      <c r="BD10" s="163" t="s">
        <v>6209</v>
      </c>
      <c r="BE10" s="163" t="s">
        <v>6209</v>
      </c>
      <c r="BF10" s="163">
        <v>2</v>
      </c>
      <c r="BG10" s="163">
        <v>4</v>
      </c>
      <c r="BH10" s="202" t="s">
        <v>5792</v>
      </c>
      <c r="BI10" s="203" t="s">
        <v>5792</v>
      </c>
      <c r="BJ10" s="203" t="s">
        <v>5792</v>
      </c>
      <c r="BK10" s="203" t="s">
        <v>5792</v>
      </c>
      <c r="BL10" s="203" t="s">
        <v>5792</v>
      </c>
      <c r="BM10" s="203" t="s">
        <v>5792</v>
      </c>
      <c r="BN10" s="203" t="s">
        <v>5792</v>
      </c>
      <c r="BO10" s="203" t="s">
        <v>5792</v>
      </c>
      <c r="BP10" s="202" t="s">
        <v>5792</v>
      </c>
      <c r="BQ10" s="203" t="s">
        <v>5792</v>
      </c>
      <c r="BR10" s="203" t="s">
        <v>5792</v>
      </c>
      <c r="BS10" s="203" t="s">
        <v>5792</v>
      </c>
      <c r="BT10" s="203" t="s">
        <v>5792</v>
      </c>
      <c r="BU10" s="203" t="s">
        <v>5792</v>
      </c>
      <c r="BV10" s="218" t="s">
        <v>5792</v>
      </c>
      <c r="BW10" s="203" t="s">
        <v>5792</v>
      </c>
      <c r="BX10" s="203" t="s">
        <v>5792</v>
      </c>
      <c r="BY10" s="203" t="s">
        <v>5792</v>
      </c>
      <c r="BZ10" s="203" t="s">
        <v>5792</v>
      </c>
      <c r="CA10" s="203" t="s">
        <v>5792</v>
      </c>
      <c r="CB10" s="218" t="s">
        <v>5792</v>
      </c>
      <c r="CC10" s="303" t="s">
        <v>4425</v>
      </c>
      <c r="CD10" s="60">
        <v>300</v>
      </c>
      <c r="CE10" s="10">
        <v>352</v>
      </c>
      <c r="CF10" s="60">
        <v>450</v>
      </c>
      <c r="CG10" s="47">
        <v>534.5</v>
      </c>
      <c r="CH10" s="67">
        <v>200000</v>
      </c>
      <c r="CI10" s="300" t="s">
        <v>4425</v>
      </c>
      <c r="CJ10" s="60">
        <v>300</v>
      </c>
      <c r="CK10" s="47">
        <v>293</v>
      </c>
      <c r="CL10" s="47">
        <v>450</v>
      </c>
      <c r="CM10" s="47">
        <v>460.22</v>
      </c>
      <c r="CN10" s="67">
        <v>200000</v>
      </c>
      <c r="CO10" s="300" t="s">
        <v>4421</v>
      </c>
      <c r="CP10" s="47">
        <v>250</v>
      </c>
      <c r="CQ10" s="47">
        <v>314</v>
      </c>
      <c r="CR10" s="47">
        <v>475</v>
      </c>
      <c r="CS10" s="47">
        <v>484.7</v>
      </c>
      <c r="CT10" s="61">
        <v>200000</v>
      </c>
      <c r="CU10" s="207" t="s">
        <v>5792</v>
      </c>
      <c r="CV10" s="208" t="s">
        <v>5792</v>
      </c>
      <c r="CW10" s="208" t="s">
        <v>5792</v>
      </c>
      <c r="CX10" s="209" t="s">
        <v>5792</v>
      </c>
      <c r="CY10" s="207" t="s">
        <v>5792</v>
      </c>
      <c r="CZ10" s="208" t="s">
        <v>5792</v>
      </c>
      <c r="DA10" s="209" t="s">
        <v>5792</v>
      </c>
      <c r="DB10" s="283" t="s">
        <v>5792</v>
      </c>
      <c r="DC10" s="163" t="s">
        <v>4422</v>
      </c>
      <c r="DD10" s="60">
        <v>640</v>
      </c>
      <c r="DE10" s="32">
        <v>730</v>
      </c>
      <c r="DF10" s="60">
        <v>800</v>
      </c>
      <c r="DG10" s="32">
        <v>940</v>
      </c>
      <c r="DH10" s="67">
        <v>200000</v>
      </c>
      <c r="DI10" s="41" t="s">
        <v>4760</v>
      </c>
      <c r="DJ10" s="163" t="s">
        <v>4435</v>
      </c>
      <c r="DK10" s="297" t="s">
        <v>4566</v>
      </c>
    </row>
    <row r="11" spans="1:115">
      <c r="A11" s="18">
        <v>6</v>
      </c>
      <c r="B11" s="326"/>
      <c r="C11" s="326"/>
      <c r="D11" s="433"/>
      <c r="E11" s="343"/>
      <c r="F11" s="326"/>
      <c r="G11" s="337"/>
      <c r="H11" s="337"/>
      <c r="I11" s="337"/>
      <c r="J11" s="41" t="s">
        <v>4401</v>
      </c>
      <c r="K11" s="306" t="s">
        <v>4383</v>
      </c>
      <c r="L11" s="163" t="s">
        <v>5792</v>
      </c>
      <c r="M11" s="306" t="s">
        <v>4508</v>
      </c>
      <c r="N11" s="163" t="s">
        <v>4701</v>
      </c>
      <c r="O11" s="18" t="s">
        <v>4507</v>
      </c>
      <c r="P11" s="163" t="s">
        <v>6312</v>
      </c>
      <c r="Q11" s="163" t="s">
        <v>4420</v>
      </c>
      <c r="R11" s="163" t="s">
        <v>6169</v>
      </c>
      <c r="S11" s="163">
        <v>6</v>
      </c>
      <c r="T11" s="163" t="s">
        <v>4420</v>
      </c>
      <c r="U11" s="163" t="s">
        <v>5792</v>
      </c>
      <c r="V11" s="163" t="s">
        <v>6049</v>
      </c>
      <c r="W11" s="18">
        <v>6</v>
      </c>
      <c r="X11" s="231">
        <v>0</v>
      </c>
      <c r="Y11" s="18">
        <v>0</v>
      </c>
      <c r="Z11" s="306" t="s">
        <v>520</v>
      </c>
      <c r="AA11" s="21">
        <f>INDEX('[2]Cross-Section Database'!$C$2:$V$2928,MATCH(Z11,'[2]Cross-Section Database'!$B$2:$B$2928,0),3)</f>
        <v>204.72399999999999</v>
      </c>
      <c r="AB11" s="21">
        <f>INDEX('[2]Cross-Section Database'!$C$2:$V$2928,MATCH(Z11,'[2]Cross-Section Database'!$B$2:$B$2928,0),4)</f>
        <v>166.11599999999999</v>
      </c>
      <c r="AC11" s="21">
        <f>INDEX('[2]Cross-Section Database'!$C$2:$V$2928,MATCH(Z11,'[2]Cross-Section Database'!$B$2:$B$2928,0),6)</f>
        <v>11.811</v>
      </c>
      <c r="AD11" s="21">
        <f>INDEX('[2]Cross-Section Database'!$C$2:$V$2928,MATCH(Z11,'[2]Cross-Section Database'!$B$2:$B$2928,0),5)</f>
        <v>7.238999999999999</v>
      </c>
      <c r="AE11" s="21">
        <v>610</v>
      </c>
      <c r="AF11" s="306" t="s">
        <v>498</v>
      </c>
      <c r="AG11" s="21">
        <f>INDEX('[2]Cross-Section Database'!$C$2:$V$2928,MATCH(AF11,'[2]Cross-Section Database'!$B$2:$B$2928,0),3)</f>
        <v>259.08</v>
      </c>
      <c r="AH11" s="21">
        <f>INDEX('[2]Cross-Section Database'!$C$2:$V$2928,MATCH(AF11,'[2]Cross-Section Database'!$B$2:$B$2928,0),4)</f>
        <v>146.04999999999998</v>
      </c>
      <c r="AI11" s="21">
        <f>INDEX('[2]Cross-Section Database'!$C$2:$V$2928,MATCH(AF11,'[2]Cross-Section Database'!$B$2:$B$2928,0),6)</f>
        <v>9.1439999999999984</v>
      </c>
      <c r="AJ11" s="21">
        <f>INDEX('[2]Cross-Section Database'!$C$2:$V$2928,MATCH(AF11,'[2]Cross-Section Database'!$B$2:$B$2928,0),5)</f>
        <v>6.0959999999999992</v>
      </c>
      <c r="AK11" s="21">
        <v>1194</v>
      </c>
      <c r="AL11" s="21">
        <f>INDEX('[2]Cross-Section Database'!$C$2:$V$3928,MATCH(AF11,'[2]Cross-Section Database'!$B$2:$B$3928,0),11)</f>
        <v>49115308.220799997</v>
      </c>
      <c r="AM11" s="24">
        <f>INDEX('[2]Cross-Section Database'!$C$2:$V$3928,MATCH(AF11,'[2]Cross-Section Database'!$B$2:$B$3928,0),12)</f>
        <v>426063.66399999999</v>
      </c>
      <c r="AN11" s="103">
        <v>9.5250000000000004</v>
      </c>
      <c r="AO11" s="21">
        <f t="shared" si="2"/>
        <v>165.1</v>
      </c>
      <c r="AP11" s="21">
        <f t="shared" si="3"/>
        <v>279.39999999999998</v>
      </c>
      <c r="AQ11" s="21">
        <f t="shared" si="7"/>
        <v>10.159999999999997</v>
      </c>
      <c r="AR11" s="47">
        <f t="shared" si="0"/>
        <v>10.159999999999997</v>
      </c>
      <c r="AS11" s="306" t="s">
        <v>5807</v>
      </c>
      <c r="AT11" s="163" t="s">
        <v>6134</v>
      </c>
      <c r="AU11" s="21" t="s">
        <v>6134</v>
      </c>
      <c r="AV11" s="21">
        <v>19.05</v>
      </c>
      <c r="AW11" s="163">
        <v>241</v>
      </c>
      <c r="AX11" s="21">
        <f t="shared" si="4"/>
        <v>76.199999999999989</v>
      </c>
      <c r="AY11" s="21">
        <f t="shared" si="5"/>
        <v>76.199999999999989</v>
      </c>
      <c r="AZ11" s="21">
        <v>0</v>
      </c>
      <c r="BA11" s="21">
        <f t="shared" si="6"/>
        <v>88.899999999999991</v>
      </c>
      <c r="BB11" s="21">
        <f t="shared" si="1"/>
        <v>127</v>
      </c>
      <c r="BC11" s="15" t="s">
        <v>6313</v>
      </c>
      <c r="BD11" s="163" t="s">
        <v>6209</v>
      </c>
      <c r="BE11" s="163" t="s">
        <v>6209</v>
      </c>
      <c r="BF11" s="163">
        <v>2</v>
      </c>
      <c r="BG11" s="163">
        <v>4</v>
      </c>
      <c r="BH11" s="202" t="s">
        <v>5792</v>
      </c>
      <c r="BI11" s="203" t="s">
        <v>5792</v>
      </c>
      <c r="BJ11" s="203" t="s">
        <v>5792</v>
      </c>
      <c r="BK11" s="203" t="s">
        <v>5792</v>
      </c>
      <c r="BL11" s="203" t="s">
        <v>5792</v>
      </c>
      <c r="BM11" s="203" t="s">
        <v>5792</v>
      </c>
      <c r="BN11" s="203" t="s">
        <v>5792</v>
      </c>
      <c r="BO11" s="203" t="s">
        <v>5792</v>
      </c>
      <c r="BP11" s="202" t="s">
        <v>5792</v>
      </c>
      <c r="BQ11" s="203" t="s">
        <v>5792</v>
      </c>
      <c r="BR11" s="203" t="s">
        <v>5792</v>
      </c>
      <c r="BS11" s="203" t="s">
        <v>5792</v>
      </c>
      <c r="BT11" s="203" t="s">
        <v>5792</v>
      </c>
      <c r="BU11" s="203" t="s">
        <v>5792</v>
      </c>
      <c r="BV11" s="218" t="s">
        <v>5792</v>
      </c>
      <c r="BW11" s="203" t="s">
        <v>5792</v>
      </c>
      <c r="BX11" s="203" t="s">
        <v>5792</v>
      </c>
      <c r="BY11" s="203" t="s">
        <v>5792</v>
      </c>
      <c r="BZ11" s="203" t="s">
        <v>5792</v>
      </c>
      <c r="CA11" s="203" t="s">
        <v>5792</v>
      </c>
      <c r="CB11" s="218" t="s">
        <v>5792</v>
      </c>
      <c r="CC11" s="303" t="s">
        <v>4425</v>
      </c>
      <c r="CD11" s="60">
        <v>300</v>
      </c>
      <c r="CE11" s="10">
        <v>352</v>
      </c>
      <c r="CF11" s="60">
        <v>450</v>
      </c>
      <c r="CG11" s="47">
        <v>534.5</v>
      </c>
      <c r="CH11" s="67">
        <v>200000</v>
      </c>
      <c r="CI11" s="300" t="s">
        <v>4425</v>
      </c>
      <c r="CJ11" s="60">
        <v>300</v>
      </c>
      <c r="CK11" s="47">
        <v>293</v>
      </c>
      <c r="CL11" s="47">
        <v>450</v>
      </c>
      <c r="CM11" s="47">
        <v>460.22</v>
      </c>
      <c r="CN11" s="67">
        <v>200000</v>
      </c>
      <c r="CO11" s="300" t="s">
        <v>4421</v>
      </c>
      <c r="CP11" s="47">
        <v>250</v>
      </c>
      <c r="CQ11" s="47">
        <v>313.7</v>
      </c>
      <c r="CR11" s="47">
        <v>475</v>
      </c>
      <c r="CS11" s="47">
        <v>472.29</v>
      </c>
      <c r="CT11" s="61">
        <v>200000</v>
      </c>
      <c r="CU11" s="207" t="s">
        <v>5792</v>
      </c>
      <c r="CV11" s="208" t="s">
        <v>5792</v>
      </c>
      <c r="CW11" s="208" t="s">
        <v>5792</v>
      </c>
      <c r="CX11" s="209" t="s">
        <v>5792</v>
      </c>
      <c r="CY11" s="207" t="s">
        <v>5792</v>
      </c>
      <c r="CZ11" s="208" t="s">
        <v>5792</v>
      </c>
      <c r="DA11" s="209" t="s">
        <v>5792</v>
      </c>
      <c r="DB11" s="283" t="s">
        <v>5792</v>
      </c>
      <c r="DC11" s="163" t="s">
        <v>4422</v>
      </c>
      <c r="DD11" s="60">
        <v>640</v>
      </c>
      <c r="DE11" s="32">
        <v>730</v>
      </c>
      <c r="DF11" s="60">
        <v>800</v>
      </c>
      <c r="DG11" s="32">
        <v>940</v>
      </c>
      <c r="DH11" s="67">
        <v>200000</v>
      </c>
      <c r="DI11" s="41" t="s">
        <v>4780</v>
      </c>
      <c r="DJ11" s="163" t="s">
        <v>4435</v>
      </c>
      <c r="DK11" s="297" t="s">
        <v>4566</v>
      </c>
    </row>
    <row r="12" spans="1:115">
      <c r="A12" s="18">
        <v>7</v>
      </c>
      <c r="B12" s="326"/>
      <c r="C12" s="326"/>
      <c r="D12" s="433"/>
      <c r="E12" s="343"/>
      <c r="F12" s="326"/>
      <c r="G12" s="337"/>
      <c r="H12" s="337"/>
      <c r="I12" s="337"/>
      <c r="J12" s="41" t="s">
        <v>4402</v>
      </c>
      <c r="K12" s="306" t="s">
        <v>4383</v>
      </c>
      <c r="L12" s="163" t="s">
        <v>5792</v>
      </c>
      <c r="M12" s="306" t="s">
        <v>4508</v>
      </c>
      <c r="N12" s="163" t="s">
        <v>4701</v>
      </c>
      <c r="O12" s="18" t="s">
        <v>4507</v>
      </c>
      <c r="P12" s="163" t="s">
        <v>6312</v>
      </c>
      <c r="Q12" s="163" t="s">
        <v>4420</v>
      </c>
      <c r="R12" s="163" t="s">
        <v>6169</v>
      </c>
      <c r="S12" s="163">
        <v>6</v>
      </c>
      <c r="T12" s="163" t="s">
        <v>4420</v>
      </c>
      <c r="U12" s="163" t="s">
        <v>5792</v>
      </c>
      <c r="V12" s="163" t="s">
        <v>6049</v>
      </c>
      <c r="W12" s="18">
        <v>6</v>
      </c>
      <c r="X12" s="231">
        <v>0</v>
      </c>
      <c r="Y12" s="18">
        <v>0</v>
      </c>
      <c r="Z12" s="306" t="s">
        <v>520</v>
      </c>
      <c r="AA12" s="21">
        <f>INDEX('[2]Cross-Section Database'!$C$2:$V$2928,MATCH(Z12,'[2]Cross-Section Database'!$B$2:$B$2928,0),3)</f>
        <v>204.72399999999999</v>
      </c>
      <c r="AB12" s="21">
        <f>INDEX('[2]Cross-Section Database'!$C$2:$V$2928,MATCH(Z12,'[2]Cross-Section Database'!$B$2:$B$2928,0),4)</f>
        <v>166.11599999999999</v>
      </c>
      <c r="AC12" s="21">
        <f>INDEX('[2]Cross-Section Database'!$C$2:$V$2928,MATCH(Z12,'[2]Cross-Section Database'!$B$2:$B$2928,0),6)</f>
        <v>11.811</v>
      </c>
      <c r="AD12" s="21">
        <f>INDEX('[2]Cross-Section Database'!$C$2:$V$2928,MATCH(Z12,'[2]Cross-Section Database'!$B$2:$B$2928,0),5)</f>
        <v>7.238999999999999</v>
      </c>
      <c r="AE12" s="21">
        <v>610</v>
      </c>
      <c r="AF12" s="306" t="s">
        <v>498</v>
      </c>
      <c r="AG12" s="21">
        <f>INDEX('[2]Cross-Section Database'!$C$2:$V$2928,MATCH(AF12,'[2]Cross-Section Database'!$B$2:$B$2928,0),3)</f>
        <v>259.08</v>
      </c>
      <c r="AH12" s="21">
        <f>INDEX('[2]Cross-Section Database'!$C$2:$V$2928,MATCH(AF12,'[2]Cross-Section Database'!$B$2:$B$2928,0),4)</f>
        <v>146.04999999999998</v>
      </c>
      <c r="AI12" s="21">
        <f>INDEX('[2]Cross-Section Database'!$C$2:$V$2928,MATCH(AF12,'[2]Cross-Section Database'!$B$2:$B$2928,0),6)</f>
        <v>9.1439999999999984</v>
      </c>
      <c r="AJ12" s="21">
        <f>INDEX('[2]Cross-Section Database'!$C$2:$V$2928,MATCH(AF12,'[2]Cross-Section Database'!$B$2:$B$2928,0),5)</f>
        <v>6.0959999999999992</v>
      </c>
      <c r="AK12" s="21">
        <v>1194</v>
      </c>
      <c r="AL12" s="21">
        <f>INDEX('[2]Cross-Section Database'!$C$2:$V$3928,MATCH(AF12,'[2]Cross-Section Database'!$B$2:$B$3928,0),11)</f>
        <v>49115308.220799997</v>
      </c>
      <c r="AM12" s="24">
        <f>INDEX('[2]Cross-Section Database'!$C$2:$V$3928,MATCH(AF12,'[2]Cross-Section Database'!$B$2:$B$3928,0),12)</f>
        <v>426063.66399999999</v>
      </c>
      <c r="AN12" s="103">
        <v>6.35</v>
      </c>
      <c r="AO12" s="21">
        <f t="shared" si="2"/>
        <v>165.1</v>
      </c>
      <c r="AP12" s="21">
        <f t="shared" si="3"/>
        <v>279.39999999999998</v>
      </c>
      <c r="AQ12" s="21">
        <f t="shared" si="7"/>
        <v>10.159999999999997</v>
      </c>
      <c r="AR12" s="47">
        <f t="shared" si="0"/>
        <v>10.159999999999997</v>
      </c>
      <c r="AS12" s="306" t="s">
        <v>5807</v>
      </c>
      <c r="AT12" s="163" t="s">
        <v>6134</v>
      </c>
      <c r="AU12" s="21" t="s">
        <v>6134</v>
      </c>
      <c r="AV12" s="21">
        <v>19.05</v>
      </c>
      <c r="AW12" s="163">
        <v>241</v>
      </c>
      <c r="AX12" s="21">
        <f t="shared" si="4"/>
        <v>76.199999999999989</v>
      </c>
      <c r="AY12" s="21">
        <f t="shared" si="5"/>
        <v>76.199999999999989</v>
      </c>
      <c r="AZ12" s="21">
        <v>0</v>
      </c>
      <c r="BA12" s="21">
        <f t="shared" si="6"/>
        <v>88.899999999999991</v>
      </c>
      <c r="BB12" s="21">
        <f t="shared" si="1"/>
        <v>127</v>
      </c>
      <c r="BC12" s="15" t="s">
        <v>6313</v>
      </c>
      <c r="BD12" s="163" t="s">
        <v>6209</v>
      </c>
      <c r="BE12" s="163" t="s">
        <v>6209</v>
      </c>
      <c r="BF12" s="163">
        <v>2</v>
      </c>
      <c r="BG12" s="163">
        <v>4</v>
      </c>
      <c r="BH12" s="202" t="s">
        <v>5792</v>
      </c>
      <c r="BI12" s="203" t="s">
        <v>5792</v>
      </c>
      <c r="BJ12" s="203" t="s">
        <v>5792</v>
      </c>
      <c r="BK12" s="203" t="s">
        <v>5792</v>
      </c>
      <c r="BL12" s="203" t="s">
        <v>5792</v>
      </c>
      <c r="BM12" s="203" t="s">
        <v>5792</v>
      </c>
      <c r="BN12" s="203" t="s">
        <v>5792</v>
      </c>
      <c r="BO12" s="203" t="s">
        <v>5792</v>
      </c>
      <c r="BP12" s="202" t="s">
        <v>5792</v>
      </c>
      <c r="BQ12" s="203" t="s">
        <v>5792</v>
      </c>
      <c r="BR12" s="203" t="s">
        <v>5792</v>
      </c>
      <c r="BS12" s="203" t="s">
        <v>5792</v>
      </c>
      <c r="BT12" s="203" t="s">
        <v>5792</v>
      </c>
      <c r="BU12" s="203" t="s">
        <v>5792</v>
      </c>
      <c r="BV12" s="218" t="s">
        <v>5792</v>
      </c>
      <c r="BW12" s="203" t="s">
        <v>5792</v>
      </c>
      <c r="BX12" s="203" t="s">
        <v>5792</v>
      </c>
      <c r="BY12" s="203" t="s">
        <v>5792</v>
      </c>
      <c r="BZ12" s="203" t="s">
        <v>5792</v>
      </c>
      <c r="CA12" s="203" t="s">
        <v>5792</v>
      </c>
      <c r="CB12" s="218" t="s">
        <v>5792</v>
      </c>
      <c r="CC12" s="303" t="s">
        <v>4425</v>
      </c>
      <c r="CD12" s="60">
        <v>300</v>
      </c>
      <c r="CE12" s="10">
        <v>352</v>
      </c>
      <c r="CF12" s="60">
        <v>450</v>
      </c>
      <c r="CG12" s="47">
        <v>534.5</v>
      </c>
      <c r="CH12" s="67">
        <v>200000</v>
      </c>
      <c r="CI12" s="300" t="s">
        <v>4425</v>
      </c>
      <c r="CJ12" s="60">
        <v>300</v>
      </c>
      <c r="CK12" s="47">
        <v>293</v>
      </c>
      <c r="CL12" s="47">
        <v>450</v>
      </c>
      <c r="CM12" s="47">
        <v>460.22</v>
      </c>
      <c r="CN12" s="67">
        <v>200000</v>
      </c>
      <c r="CO12" s="300" t="s">
        <v>4421</v>
      </c>
      <c r="CP12" s="47">
        <v>250</v>
      </c>
      <c r="CQ12" s="47">
        <v>321</v>
      </c>
      <c r="CR12" s="47">
        <v>475</v>
      </c>
      <c r="CS12" s="47">
        <v>490.90600000000001</v>
      </c>
      <c r="CT12" s="61">
        <v>200000</v>
      </c>
      <c r="CU12" s="207" t="s">
        <v>5792</v>
      </c>
      <c r="CV12" s="208" t="s">
        <v>5792</v>
      </c>
      <c r="CW12" s="208" t="s">
        <v>5792</v>
      </c>
      <c r="CX12" s="209" t="s">
        <v>5792</v>
      </c>
      <c r="CY12" s="207" t="s">
        <v>5792</v>
      </c>
      <c r="CZ12" s="208" t="s">
        <v>5792</v>
      </c>
      <c r="DA12" s="209" t="s">
        <v>5792</v>
      </c>
      <c r="DB12" s="283" t="s">
        <v>5792</v>
      </c>
      <c r="DC12" s="163" t="s">
        <v>4422</v>
      </c>
      <c r="DD12" s="60">
        <v>640</v>
      </c>
      <c r="DE12" s="32">
        <v>730</v>
      </c>
      <c r="DF12" s="60">
        <v>800</v>
      </c>
      <c r="DG12" s="32">
        <v>940</v>
      </c>
      <c r="DH12" s="67">
        <v>200000</v>
      </c>
      <c r="DI12" s="41" t="s">
        <v>4770</v>
      </c>
      <c r="DJ12" s="163" t="s">
        <v>4435</v>
      </c>
      <c r="DK12" s="297" t="s">
        <v>4566</v>
      </c>
    </row>
    <row r="13" spans="1:115">
      <c r="A13" s="18">
        <v>8</v>
      </c>
      <c r="B13" s="326"/>
      <c r="C13" s="326"/>
      <c r="D13" s="433"/>
      <c r="E13" s="343"/>
      <c r="F13" s="326"/>
      <c r="G13" s="337"/>
      <c r="H13" s="337"/>
      <c r="I13" s="337"/>
      <c r="J13" s="41" t="s">
        <v>4403</v>
      </c>
      <c r="K13" s="306" t="s">
        <v>4383</v>
      </c>
      <c r="L13" s="163" t="s">
        <v>5792</v>
      </c>
      <c r="M13" s="306" t="s">
        <v>4508</v>
      </c>
      <c r="N13" s="163" t="s">
        <v>4701</v>
      </c>
      <c r="O13" s="18" t="s">
        <v>4507</v>
      </c>
      <c r="P13" s="163" t="s">
        <v>6312</v>
      </c>
      <c r="Q13" s="163" t="s">
        <v>4420</v>
      </c>
      <c r="R13" s="163" t="s">
        <v>6169</v>
      </c>
      <c r="S13" s="163">
        <v>10</v>
      </c>
      <c r="T13" s="163" t="s">
        <v>4420</v>
      </c>
      <c r="U13" s="163" t="s">
        <v>5792</v>
      </c>
      <c r="V13" s="163" t="s">
        <v>6049</v>
      </c>
      <c r="W13" s="18">
        <v>6</v>
      </c>
      <c r="X13" s="231">
        <v>0</v>
      </c>
      <c r="Y13" s="18">
        <v>0</v>
      </c>
      <c r="Z13" s="306" t="s">
        <v>520</v>
      </c>
      <c r="AA13" s="21">
        <f>INDEX('[2]Cross-Section Database'!$C$2:$V$2928,MATCH(Z13,'[2]Cross-Section Database'!$B$2:$B$2928,0),3)</f>
        <v>204.72399999999999</v>
      </c>
      <c r="AB13" s="21">
        <f>INDEX('[2]Cross-Section Database'!$C$2:$V$2928,MATCH(Z13,'[2]Cross-Section Database'!$B$2:$B$2928,0),4)</f>
        <v>166.11599999999999</v>
      </c>
      <c r="AC13" s="21">
        <f>INDEX('[2]Cross-Section Database'!$C$2:$V$2928,MATCH(Z13,'[2]Cross-Section Database'!$B$2:$B$2928,0),6)</f>
        <v>11.811</v>
      </c>
      <c r="AD13" s="21">
        <f>INDEX('[2]Cross-Section Database'!$C$2:$V$2928,MATCH(Z13,'[2]Cross-Section Database'!$B$2:$B$2928,0),5)</f>
        <v>7.238999999999999</v>
      </c>
      <c r="AE13" s="21">
        <v>610</v>
      </c>
      <c r="AF13" s="306" t="s">
        <v>498</v>
      </c>
      <c r="AG13" s="21">
        <f>INDEX('[2]Cross-Section Database'!$C$2:$V$2928,MATCH(AF13,'[2]Cross-Section Database'!$B$2:$B$2928,0),3)</f>
        <v>259.08</v>
      </c>
      <c r="AH13" s="21">
        <f>INDEX('[2]Cross-Section Database'!$C$2:$V$2928,MATCH(AF13,'[2]Cross-Section Database'!$B$2:$B$2928,0),4)</f>
        <v>146.04999999999998</v>
      </c>
      <c r="AI13" s="21">
        <f>INDEX('[2]Cross-Section Database'!$C$2:$V$2928,MATCH(AF13,'[2]Cross-Section Database'!$B$2:$B$2928,0),6)</f>
        <v>9.1439999999999984</v>
      </c>
      <c r="AJ13" s="21">
        <f>INDEX('[2]Cross-Section Database'!$C$2:$V$2928,MATCH(AF13,'[2]Cross-Section Database'!$B$2:$B$2928,0),5)</f>
        <v>6.0959999999999992</v>
      </c>
      <c r="AK13" s="21">
        <v>1194</v>
      </c>
      <c r="AL13" s="21">
        <f>INDEX('[2]Cross-Section Database'!$C$2:$V$3928,MATCH(AF13,'[2]Cross-Section Database'!$B$2:$B$3928,0),11)</f>
        <v>49115308.220799997</v>
      </c>
      <c r="AM13" s="24">
        <f>INDEX('[2]Cross-Section Database'!$C$2:$V$3928,MATCH(AF13,'[2]Cross-Section Database'!$B$2:$B$3928,0),12)</f>
        <v>426063.66399999999</v>
      </c>
      <c r="AN13" s="103">
        <v>6.35</v>
      </c>
      <c r="AO13" s="21">
        <f t="shared" si="2"/>
        <v>165.1</v>
      </c>
      <c r="AP13" s="21">
        <f t="shared" si="3"/>
        <v>279.39999999999998</v>
      </c>
      <c r="AQ13" s="21">
        <f t="shared" si="7"/>
        <v>10.159999999999997</v>
      </c>
      <c r="AR13" s="47">
        <f t="shared" si="0"/>
        <v>10.159999999999997</v>
      </c>
      <c r="AS13" s="306" t="s">
        <v>5807</v>
      </c>
      <c r="AT13" s="163" t="s">
        <v>6134</v>
      </c>
      <c r="AU13" s="21" t="s">
        <v>6134</v>
      </c>
      <c r="AV13" s="21">
        <v>19.05</v>
      </c>
      <c r="AW13" s="163">
        <v>241</v>
      </c>
      <c r="AX13" s="21">
        <f t="shared" si="4"/>
        <v>76.199999999999989</v>
      </c>
      <c r="AY13" s="21">
        <f t="shared" si="5"/>
        <v>76.199999999999989</v>
      </c>
      <c r="AZ13" s="21">
        <v>0</v>
      </c>
      <c r="BA13" s="21">
        <f t="shared" si="6"/>
        <v>88.899999999999991</v>
      </c>
      <c r="BB13" s="21">
        <f t="shared" si="1"/>
        <v>127</v>
      </c>
      <c r="BC13" s="15" t="s">
        <v>6313</v>
      </c>
      <c r="BD13" s="163" t="s">
        <v>6209</v>
      </c>
      <c r="BE13" s="163" t="s">
        <v>6209</v>
      </c>
      <c r="BF13" s="163">
        <v>2</v>
      </c>
      <c r="BG13" s="163">
        <v>4</v>
      </c>
      <c r="BH13" s="202" t="s">
        <v>5792</v>
      </c>
      <c r="BI13" s="203" t="s">
        <v>5792</v>
      </c>
      <c r="BJ13" s="203" t="s">
        <v>5792</v>
      </c>
      <c r="BK13" s="203" t="s">
        <v>5792</v>
      </c>
      <c r="BL13" s="203" t="s">
        <v>5792</v>
      </c>
      <c r="BM13" s="203" t="s">
        <v>5792</v>
      </c>
      <c r="BN13" s="203" t="s">
        <v>5792</v>
      </c>
      <c r="BO13" s="203" t="s">
        <v>5792</v>
      </c>
      <c r="BP13" s="202" t="s">
        <v>5792</v>
      </c>
      <c r="BQ13" s="203" t="s">
        <v>5792</v>
      </c>
      <c r="BR13" s="203" t="s">
        <v>5792</v>
      </c>
      <c r="BS13" s="203" t="s">
        <v>5792</v>
      </c>
      <c r="BT13" s="203" t="s">
        <v>5792</v>
      </c>
      <c r="BU13" s="203" t="s">
        <v>5792</v>
      </c>
      <c r="BV13" s="218" t="s">
        <v>5792</v>
      </c>
      <c r="BW13" s="203" t="s">
        <v>5792</v>
      </c>
      <c r="BX13" s="203" t="s">
        <v>5792</v>
      </c>
      <c r="BY13" s="203" t="s">
        <v>5792</v>
      </c>
      <c r="BZ13" s="203" t="s">
        <v>5792</v>
      </c>
      <c r="CA13" s="203" t="s">
        <v>5792</v>
      </c>
      <c r="CB13" s="218" t="s">
        <v>5792</v>
      </c>
      <c r="CC13" s="303" t="s">
        <v>4425</v>
      </c>
      <c r="CD13" s="60">
        <v>300</v>
      </c>
      <c r="CE13" s="10">
        <v>352</v>
      </c>
      <c r="CF13" s="60">
        <v>450</v>
      </c>
      <c r="CG13" s="47">
        <v>534.5</v>
      </c>
      <c r="CH13" s="67">
        <v>200000</v>
      </c>
      <c r="CI13" s="300" t="s">
        <v>4425</v>
      </c>
      <c r="CJ13" s="60">
        <v>300</v>
      </c>
      <c r="CK13" s="47">
        <v>293</v>
      </c>
      <c r="CL13" s="47">
        <v>450</v>
      </c>
      <c r="CM13" s="47">
        <v>460.22</v>
      </c>
      <c r="CN13" s="67">
        <v>200000</v>
      </c>
      <c r="CO13" s="300" t="s">
        <v>4421</v>
      </c>
      <c r="CP13" s="47">
        <v>250</v>
      </c>
      <c r="CQ13" s="47">
        <v>320.60000000000002</v>
      </c>
      <c r="CR13" s="47">
        <v>475</v>
      </c>
      <c r="CS13" s="47">
        <v>490.90600000000001</v>
      </c>
      <c r="CT13" s="61">
        <v>200000</v>
      </c>
      <c r="CU13" s="207" t="s">
        <v>5792</v>
      </c>
      <c r="CV13" s="208" t="s">
        <v>5792</v>
      </c>
      <c r="CW13" s="208" t="s">
        <v>5792</v>
      </c>
      <c r="CX13" s="209" t="s">
        <v>5792</v>
      </c>
      <c r="CY13" s="207" t="s">
        <v>5792</v>
      </c>
      <c r="CZ13" s="208" t="s">
        <v>5792</v>
      </c>
      <c r="DA13" s="209" t="s">
        <v>5792</v>
      </c>
      <c r="DB13" s="283" t="s">
        <v>5792</v>
      </c>
      <c r="DC13" s="163" t="s">
        <v>4422</v>
      </c>
      <c r="DD13" s="60">
        <v>640</v>
      </c>
      <c r="DE13" s="32">
        <v>730</v>
      </c>
      <c r="DF13" s="60">
        <v>800</v>
      </c>
      <c r="DG13" s="32">
        <v>940</v>
      </c>
      <c r="DH13" s="67">
        <v>200000</v>
      </c>
      <c r="DI13" s="41" t="s">
        <v>4770</v>
      </c>
      <c r="DJ13" s="163" t="s">
        <v>4435</v>
      </c>
      <c r="DK13" s="297" t="s">
        <v>4566</v>
      </c>
    </row>
    <row r="14" spans="1:115">
      <c r="A14" s="18">
        <v>9</v>
      </c>
      <c r="B14" s="326"/>
      <c r="C14" s="326"/>
      <c r="D14" s="433"/>
      <c r="E14" s="343"/>
      <c r="F14" s="326"/>
      <c r="G14" s="337"/>
      <c r="H14" s="337"/>
      <c r="I14" s="337"/>
      <c r="J14" s="41" t="s">
        <v>4404</v>
      </c>
      <c r="K14" s="306" t="s">
        <v>4383</v>
      </c>
      <c r="L14" s="163" t="s">
        <v>5792</v>
      </c>
      <c r="M14" s="306" t="s">
        <v>4508</v>
      </c>
      <c r="N14" s="163" t="s">
        <v>4701</v>
      </c>
      <c r="O14" s="18" t="s">
        <v>4507</v>
      </c>
      <c r="P14" s="163" t="s">
        <v>6312</v>
      </c>
      <c r="Q14" s="163" t="s">
        <v>4420</v>
      </c>
      <c r="R14" s="163" t="s">
        <v>6312</v>
      </c>
      <c r="S14" s="163" t="s">
        <v>5792</v>
      </c>
      <c r="T14" s="163" t="s">
        <v>4420</v>
      </c>
      <c r="U14" s="163" t="s">
        <v>5792</v>
      </c>
      <c r="V14" s="163" t="s">
        <v>6049</v>
      </c>
      <c r="W14" s="18">
        <v>6</v>
      </c>
      <c r="X14" s="231">
        <v>0</v>
      </c>
      <c r="Y14" s="18">
        <v>0</v>
      </c>
      <c r="Z14" s="306" t="s">
        <v>520</v>
      </c>
      <c r="AA14" s="21">
        <f>INDEX('[2]Cross-Section Database'!$C$2:$V$2928,MATCH(Z14,'[2]Cross-Section Database'!$B$2:$B$2928,0),3)</f>
        <v>204.72399999999999</v>
      </c>
      <c r="AB14" s="21">
        <f>INDEX('[2]Cross-Section Database'!$C$2:$V$2928,MATCH(Z14,'[2]Cross-Section Database'!$B$2:$B$2928,0),4)</f>
        <v>166.11599999999999</v>
      </c>
      <c r="AC14" s="21">
        <f>INDEX('[2]Cross-Section Database'!$C$2:$V$2928,MATCH(Z14,'[2]Cross-Section Database'!$B$2:$B$2928,0),6)</f>
        <v>11.811</v>
      </c>
      <c r="AD14" s="21">
        <f>INDEX('[2]Cross-Section Database'!$C$2:$V$2928,MATCH(Z14,'[2]Cross-Section Database'!$B$2:$B$2928,0),5)</f>
        <v>7.238999999999999</v>
      </c>
      <c r="AE14" s="21">
        <v>610</v>
      </c>
      <c r="AF14" s="306" t="s">
        <v>498</v>
      </c>
      <c r="AG14" s="21">
        <f>INDEX('[2]Cross-Section Database'!$C$2:$V$2928,MATCH(AF14,'[2]Cross-Section Database'!$B$2:$B$2928,0),3)</f>
        <v>259.08</v>
      </c>
      <c r="AH14" s="21">
        <f>INDEX('[2]Cross-Section Database'!$C$2:$V$2928,MATCH(AF14,'[2]Cross-Section Database'!$B$2:$B$2928,0),4)</f>
        <v>146.04999999999998</v>
      </c>
      <c r="AI14" s="21">
        <f>INDEX('[2]Cross-Section Database'!$C$2:$V$2928,MATCH(AF14,'[2]Cross-Section Database'!$B$2:$B$2928,0),6)</f>
        <v>9.1439999999999984</v>
      </c>
      <c r="AJ14" s="21">
        <f>INDEX('[2]Cross-Section Database'!$C$2:$V$2928,MATCH(AF14,'[2]Cross-Section Database'!$B$2:$B$2928,0),5)</f>
        <v>6.0959999999999992</v>
      </c>
      <c r="AK14" s="21">
        <v>1194</v>
      </c>
      <c r="AL14" s="21">
        <f>INDEX('[2]Cross-Section Database'!$C$2:$V$3928,MATCH(AF14,'[2]Cross-Section Database'!$B$2:$B$3928,0),11)</f>
        <v>49115308.220799997</v>
      </c>
      <c r="AM14" s="24">
        <f>INDEX('[2]Cross-Section Database'!$C$2:$V$3928,MATCH(AF14,'[2]Cross-Section Database'!$B$2:$B$3928,0),12)</f>
        <v>426063.66399999999</v>
      </c>
      <c r="AN14" s="103">
        <v>19.05</v>
      </c>
      <c r="AO14" s="21">
        <f t="shared" si="2"/>
        <v>165.1</v>
      </c>
      <c r="AP14" s="21">
        <f t="shared" si="3"/>
        <v>279.39999999999998</v>
      </c>
      <c r="AQ14" s="21">
        <f t="shared" si="7"/>
        <v>10.159999999999997</v>
      </c>
      <c r="AR14" s="47">
        <f t="shared" si="0"/>
        <v>10.159999999999997</v>
      </c>
      <c r="AS14" s="306" t="s">
        <v>5807</v>
      </c>
      <c r="AT14" s="163" t="s">
        <v>6134</v>
      </c>
      <c r="AU14" s="21" t="s">
        <v>6134</v>
      </c>
      <c r="AV14" s="21">
        <v>19.05</v>
      </c>
      <c r="AW14" s="163">
        <v>241</v>
      </c>
      <c r="AX14" s="21">
        <f t="shared" si="4"/>
        <v>76.199999999999989</v>
      </c>
      <c r="AY14" s="21">
        <f t="shared" si="5"/>
        <v>76.199999999999989</v>
      </c>
      <c r="AZ14" s="21">
        <v>0</v>
      </c>
      <c r="BA14" s="21">
        <f t="shared" si="6"/>
        <v>88.899999999999991</v>
      </c>
      <c r="BB14" s="21">
        <f t="shared" si="1"/>
        <v>127</v>
      </c>
      <c r="BC14" s="15" t="s">
        <v>6313</v>
      </c>
      <c r="BD14" s="163" t="s">
        <v>6209</v>
      </c>
      <c r="BE14" s="163" t="s">
        <v>6209</v>
      </c>
      <c r="BF14" s="163">
        <v>2</v>
      </c>
      <c r="BG14" s="163">
        <v>4</v>
      </c>
      <c r="BH14" s="202" t="s">
        <v>5792</v>
      </c>
      <c r="BI14" s="203" t="s">
        <v>5792</v>
      </c>
      <c r="BJ14" s="203" t="s">
        <v>5792</v>
      </c>
      <c r="BK14" s="203" t="s">
        <v>5792</v>
      </c>
      <c r="BL14" s="203" t="s">
        <v>5792</v>
      </c>
      <c r="BM14" s="203" t="s">
        <v>5792</v>
      </c>
      <c r="BN14" s="203" t="s">
        <v>5792</v>
      </c>
      <c r="BO14" s="203" t="s">
        <v>5792</v>
      </c>
      <c r="BP14" s="202" t="s">
        <v>5792</v>
      </c>
      <c r="BQ14" s="203" t="s">
        <v>5792</v>
      </c>
      <c r="BR14" s="203" t="s">
        <v>5792</v>
      </c>
      <c r="BS14" s="203" t="s">
        <v>5792</v>
      </c>
      <c r="BT14" s="203" t="s">
        <v>5792</v>
      </c>
      <c r="BU14" s="203" t="s">
        <v>5792</v>
      </c>
      <c r="BV14" s="218" t="s">
        <v>5792</v>
      </c>
      <c r="BW14" s="203" t="s">
        <v>5792</v>
      </c>
      <c r="BX14" s="203" t="s">
        <v>5792</v>
      </c>
      <c r="BY14" s="203" t="s">
        <v>5792</v>
      </c>
      <c r="BZ14" s="203" t="s">
        <v>5792</v>
      </c>
      <c r="CA14" s="203" t="s">
        <v>5792</v>
      </c>
      <c r="CB14" s="218" t="s">
        <v>5792</v>
      </c>
      <c r="CC14" s="303" t="s">
        <v>4425</v>
      </c>
      <c r="CD14" s="60">
        <v>300</v>
      </c>
      <c r="CE14" s="10">
        <v>334</v>
      </c>
      <c r="CF14" s="60">
        <v>450</v>
      </c>
      <c r="CG14" s="47">
        <v>522</v>
      </c>
      <c r="CH14" s="67">
        <v>200000</v>
      </c>
      <c r="CI14" s="300" t="s">
        <v>4425</v>
      </c>
      <c r="CJ14" s="60">
        <v>300</v>
      </c>
      <c r="CK14" s="47">
        <v>313.5</v>
      </c>
      <c r="CL14" s="47">
        <v>450</v>
      </c>
      <c r="CM14" s="47">
        <v>479</v>
      </c>
      <c r="CN14" s="67">
        <v>200000</v>
      </c>
      <c r="CO14" s="300" t="s">
        <v>4421</v>
      </c>
      <c r="CP14" s="47">
        <v>250</v>
      </c>
      <c r="CQ14" s="47">
        <v>220.6</v>
      </c>
      <c r="CR14" s="47">
        <v>475</v>
      </c>
      <c r="CS14" s="47">
        <v>403.34</v>
      </c>
      <c r="CT14" s="61">
        <v>200000</v>
      </c>
      <c r="CU14" s="207" t="s">
        <v>5792</v>
      </c>
      <c r="CV14" s="208" t="s">
        <v>5792</v>
      </c>
      <c r="CW14" s="208" t="s">
        <v>5792</v>
      </c>
      <c r="CX14" s="209" t="s">
        <v>5792</v>
      </c>
      <c r="CY14" s="207" t="s">
        <v>5792</v>
      </c>
      <c r="CZ14" s="208" t="s">
        <v>5792</v>
      </c>
      <c r="DA14" s="209" t="s">
        <v>5792</v>
      </c>
      <c r="DB14" s="283" t="s">
        <v>5792</v>
      </c>
      <c r="DC14" s="163" t="s">
        <v>4422</v>
      </c>
      <c r="DD14" s="60">
        <v>640</v>
      </c>
      <c r="DE14" s="32">
        <v>730</v>
      </c>
      <c r="DF14" s="60">
        <v>800</v>
      </c>
      <c r="DG14" s="32">
        <v>940</v>
      </c>
      <c r="DH14" s="67">
        <v>200000</v>
      </c>
      <c r="DI14" s="41" t="s">
        <v>4781</v>
      </c>
      <c r="DJ14" s="163" t="s">
        <v>4435</v>
      </c>
      <c r="DK14" s="297" t="s">
        <v>4566</v>
      </c>
    </row>
    <row r="15" spans="1:115">
      <c r="A15" s="18">
        <v>10</v>
      </c>
      <c r="B15" s="326"/>
      <c r="C15" s="326"/>
      <c r="D15" s="433"/>
      <c r="E15" s="343"/>
      <c r="F15" s="326"/>
      <c r="G15" s="337"/>
      <c r="H15" s="337"/>
      <c r="I15" s="337"/>
      <c r="J15" s="41" t="s">
        <v>4405</v>
      </c>
      <c r="K15" s="306" t="s">
        <v>4383</v>
      </c>
      <c r="L15" s="163" t="s">
        <v>5792</v>
      </c>
      <c r="M15" s="306" t="s">
        <v>4508</v>
      </c>
      <c r="N15" s="163" t="s">
        <v>4701</v>
      </c>
      <c r="O15" s="18" t="s">
        <v>4507</v>
      </c>
      <c r="P15" s="163" t="s">
        <v>6312</v>
      </c>
      <c r="Q15" s="163" t="s">
        <v>4420</v>
      </c>
      <c r="R15" s="163" t="s">
        <v>6169</v>
      </c>
      <c r="S15" s="163">
        <v>10</v>
      </c>
      <c r="T15" s="163" t="s">
        <v>4420</v>
      </c>
      <c r="U15" s="163" t="s">
        <v>5792</v>
      </c>
      <c r="V15" s="163" t="s">
        <v>6049</v>
      </c>
      <c r="W15" s="18">
        <v>6</v>
      </c>
      <c r="X15" s="231">
        <v>0</v>
      </c>
      <c r="Y15" s="18">
        <v>0</v>
      </c>
      <c r="Z15" s="306" t="s">
        <v>520</v>
      </c>
      <c r="AA15" s="21">
        <f>INDEX('[2]Cross-Section Database'!$C$2:$V$2928,MATCH(Z15,'[2]Cross-Section Database'!$B$2:$B$2928,0),3)</f>
        <v>204.72399999999999</v>
      </c>
      <c r="AB15" s="21">
        <f>INDEX('[2]Cross-Section Database'!$C$2:$V$2928,MATCH(Z15,'[2]Cross-Section Database'!$B$2:$B$2928,0),4)</f>
        <v>166.11599999999999</v>
      </c>
      <c r="AC15" s="21">
        <f>INDEX('[2]Cross-Section Database'!$C$2:$V$2928,MATCH(Z15,'[2]Cross-Section Database'!$B$2:$B$2928,0),6)</f>
        <v>11.811</v>
      </c>
      <c r="AD15" s="21">
        <f>INDEX('[2]Cross-Section Database'!$C$2:$V$2928,MATCH(Z15,'[2]Cross-Section Database'!$B$2:$B$2928,0),5)</f>
        <v>7.238999999999999</v>
      </c>
      <c r="AE15" s="21">
        <v>610</v>
      </c>
      <c r="AF15" s="306" t="s">
        <v>498</v>
      </c>
      <c r="AG15" s="21">
        <f>INDEX('[2]Cross-Section Database'!$C$2:$V$2928,MATCH(AF15,'[2]Cross-Section Database'!$B$2:$B$2928,0),3)</f>
        <v>259.08</v>
      </c>
      <c r="AH15" s="21">
        <f>INDEX('[2]Cross-Section Database'!$C$2:$V$2928,MATCH(AF15,'[2]Cross-Section Database'!$B$2:$B$2928,0),4)</f>
        <v>146.04999999999998</v>
      </c>
      <c r="AI15" s="21">
        <f>INDEX('[2]Cross-Section Database'!$C$2:$V$2928,MATCH(AF15,'[2]Cross-Section Database'!$B$2:$B$2928,0),6)</f>
        <v>9.1439999999999984</v>
      </c>
      <c r="AJ15" s="21">
        <f>INDEX('[2]Cross-Section Database'!$C$2:$V$2928,MATCH(AF15,'[2]Cross-Section Database'!$B$2:$B$2928,0),5)</f>
        <v>6.0959999999999992</v>
      </c>
      <c r="AK15" s="21">
        <v>1194</v>
      </c>
      <c r="AL15" s="21">
        <f>INDEX('[2]Cross-Section Database'!$C$2:$V$3928,MATCH(AF15,'[2]Cross-Section Database'!$B$2:$B$3928,0),11)</f>
        <v>49115308.220799997</v>
      </c>
      <c r="AM15" s="24">
        <f>INDEX('[2]Cross-Section Database'!$C$2:$V$3928,MATCH(AF15,'[2]Cross-Section Database'!$B$2:$B$3928,0),12)</f>
        <v>426063.66399999999</v>
      </c>
      <c r="AN15" s="103">
        <v>19.05</v>
      </c>
      <c r="AO15" s="21">
        <f t="shared" si="2"/>
        <v>165.1</v>
      </c>
      <c r="AP15" s="21">
        <f t="shared" si="3"/>
        <v>279.39999999999998</v>
      </c>
      <c r="AQ15" s="21">
        <f t="shared" si="7"/>
        <v>10.159999999999997</v>
      </c>
      <c r="AR15" s="47">
        <f t="shared" si="0"/>
        <v>10.159999999999997</v>
      </c>
      <c r="AS15" s="306" t="s">
        <v>5807</v>
      </c>
      <c r="AT15" s="163" t="s">
        <v>6134</v>
      </c>
      <c r="AU15" s="21" t="s">
        <v>6134</v>
      </c>
      <c r="AV15" s="21">
        <v>19.05</v>
      </c>
      <c r="AW15" s="163">
        <v>241</v>
      </c>
      <c r="AX15" s="21">
        <f t="shared" si="4"/>
        <v>76.199999999999989</v>
      </c>
      <c r="AY15" s="21">
        <f t="shared" si="5"/>
        <v>76.199999999999989</v>
      </c>
      <c r="AZ15" s="21">
        <v>0</v>
      </c>
      <c r="BA15" s="21">
        <f t="shared" si="6"/>
        <v>88.899999999999991</v>
      </c>
      <c r="BB15" s="21">
        <f t="shared" si="1"/>
        <v>127</v>
      </c>
      <c r="BC15" s="15" t="s">
        <v>6313</v>
      </c>
      <c r="BD15" s="163" t="s">
        <v>6209</v>
      </c>
      <c r="BE15" s="163" t="s">
        <v>6209</v>
      </c>
      <c r="BF15" s="163">
        <v>2</v>
      </c>
      <c r="BG15" s="163">
        <v>4</v>
      </c>
      <c r="BH15" s="202" t="s">
        <v>5792</v>
      </c>
      <c r="BI15" s="203" t="s">
        <v>5792</v>
      </c>
      <c r="BJ15" s="203" t="s">
        <v>5792</v>
      </c>
      <c r="BK15" s="203" t="s">
        <v>5792</v>
      </c>
      <c r="BL15" s="203" t="s">
        <v>5792</v>
      </c>
      <c r="BM15" s="203" t="s">
        <v>5792</v>
      </c>
      <c r="BN15" s="203" t="s">
        <v>5792</v>
      </c>
      <c r="BO15" s="203" t="s">
        <v>5792</v>
      </c>
      <c r="BP15" s="202" t="s">
        <v>5792</v>
      </c>
      <c r="BQ15" s="203" t="s">
        <v>5792</v>
      </c>
      <c r="BR15" s="203" t="s">
        <v>5792</v>
      </c>
      <c r="BS15" s="203" t="s">
        <v>5792</v>
      </c>
      <c r="BT15" s="203" t="s">
        <v>5792</v>
      </c>
      <c r="BU15" s="203" t="s">
        <v>5792</v>
      </c>
      <c r="BV15" s="218" t="s">
        <v>5792</v>
      </c>
      <c r="BW15" s="203" t="s">
        <v>5792</v>
      </c>
      <c r="BX15" s="203" t="s">
        <v>5792</v>
      </c>
      <c r="BY15" s="203" t="s">
        <v>5792</v>
      </c>
      <c r="BZ15" s="203" t="s">
        <v>5792</v>
      </c>
      <c r="CA15" s="203" t="s">
        <v>5792</v>
      </c>
      <c r="CB15" s="218" t="s">
        <v>5792</v>
      </c>
      <c r="CC15" s="303" t="s">
        <v>4425</v>
      </c>
      <c r="CD15" s="60">
        <v>300</v>
      </c>
      <c r="CE15" s="10">
        <v>334</v>
      </c>
      <c r="CF15" s="60">
        <v>450</v>
      </c>
      <c r="CG15" s="47">
        <v>522</v>
      </c>
      <c r="CH15" s="67">
        <v>200000</v>
      </c>
      <c r="CI15" s="300" t="s">
        <v>4425</v>
      </c>
      <c r="CJ15" s="60">
        <v>300</v>
      </c>
      <c r="CK15" s="47">
        <v>313.5</v>
      </c>
      <c r="CL15" s="47">
        <v>450</v>
      </c>
      <c r="CM15" s="47">
        <v>479</v>
      </c>
      <c r="CN15" s="67">
        <v>200000</v>
      </c>
      <c r="CO15" s="300" t="s">
        <v>4421</v>
      </c>
      <c r="CP15" s="47">
        <v>250</v>
      </c>
      <c r="CQ15" s="47">
        <v>220.6</v>
      </c>
      <c r="CR15" s="47">
        <v>475</v>
      </c>
      <c r="CS15" s="47">
        <v>403.34</v>
      </c>
      <c r="CT15" s="61">
        <v>200000</v>
      </c>
      <c r="CU15" s="207" t="s">
        <v>5792</v>
      </c>
      <c r="CV15" s="208" t="s">
        <v>5792</v>
      </c>
      <c r="CW15" s="208" t="s">
        <v>5792</v>
      </c>
      <c r="CX15" s="209" t="s">
        <v>5792</v>
      </c>
      <c r="CY15" s="207" t="s">
        <v>5792</v>
      </c>
      <c r="CZ15" s="208" t="s">
        <v>5792</v>
      </c>
      <c r="DA15" s="209" t="s">
        <v>5792</v>
      </c>
      <c r="DB15" s="283" t="s">
        <v>5792</v>
      </c>
      <c r="DC15" s="163" t="s">
        <v>4422</v>
      </c>
      <c r="DD15" s="60">
        <v>640</v>
      </c>
      <c r="DE15" s="32">
        <v>730</v>
      </c>
      <c r="DF15" s="60">
        <v>800</v>
      </c>
      <c r="DG15" s="32">
        <v>940</v>
      </c>
      <c r="DH15" s="67">
        <v>200000</v>
      </c>
      <c r="DI15" s="29" t="s">
        <v>15</v>
      </c>
      <c r="DJ15" s="163" t="s">
        <v>4435</v>
      </c>
      <c r="DK15" s="297" t="s">
        <v>4566</v>
      </c>
    </row>
    <row r="16" spans="1:115">
      <c r="A16" s="18">
        <v>11</v>
      </c>
      <c r="B16" s="326"/>
      <c r="C16" s="326"/>
      <c r="D16" s="433"/>
      <c r="E16" s="343"/>
      <c r="F16" s="326"/>
      <c r="G16" s="337"/>
      <c r="H16" s="337"/>
      <c r="I16" s="337"/>
      <c r="J16" s="41" t="s">
        <v>4406</v>
      </c>
      <c r="K16" s="306" t="s">
        <v>4383</v>
      </c>
      <c r="L16" s="163" t="s">
        <v>5792</v>
      </c>
      <c r="M16" s="306" t="s">
        <v>4508</v>
      </c>
      <c r="N16" s="163" t="s">
        <v>4701</v>
      </c>
      <c r="O16" s="18" t="s">
        <v>4507</v>
      </c>
      <c r="P16" s="163" t="s">
        <v>6312</v>
      </c>
      <c r="Q16" s="163" t="s">
        <v>4420</v>
      </c>
      <c r="R16" s="163" t="s">
        <v>6312</v>
      </c>
      <c r="S16" s="163" t="s">
        <v>5792</v>
      </c>
      <c r="T16" s="163" t="s">
        <v>4420</v>
      </c>
      <c r="U16" s="163" t="s">
        <v>5792</v>
      </c>
      <c r="V16" s="163" t="s">
        <v>6049</v>
      </c>
      <c r="W16" s="18">
        <v>6</v>
      </c>
      <c r="X16" s="231">
        <v>0</v>
      </c>
      <c r="Y16" s="18">
        <v>0</v>
      </c>
      <c r="Z16" s="306" t="s">
        <v>514</v>
      </c>
      <c r="AA16" s="21">
        <f>INDEX('[2]Cross-Section Database'!$C$2:$V$2928,MATCH(Z16,'[2]Cross-Section Database'!$B$2:$B$2928,0),3)</f>
        <v>209.54999999999998</v>
      </c>
      <c r="AB16" s="21">
        <f>INDEX('[2]Cross-Section Database'!$C$2:$V$2928,MATCH(Z16,'[2]Cross-Section Database'!$B$2:$B$2928,0),4)</f>
        <v>204.97800000000001</v>
      </c>
      <c r="AC16" s="21">
        <f>INDEX('[2]Cross-Section Database'!$C$2:$V$2928,MATCH(Z16,'[2]Cross-Section Database'!$B$2:$B$2928,0),6)</f>
        <v>14.224</v>
      </c>
      <c r="AD16" s="21">
        <f>INDEX('[2]Cross-Section Database'!$C$2:$V$2928,MATCH(Z16,'[2]Cross-Section Database'!$B$2:$B$2928,0),5)</f>
        <v>9.1439999999999984</v>
      </c>
      <c r="AE16" s="21">
        <v>610</v>
      </c>
      <c r="AF16" s="306" t="s">
        <v>462</v>
      </c>
      <c r="AG16" s="21">
        <f>INDEX('[2]Cross-Section Database'!$C$2:$V$2928,MATCH(AF16,'[2]Cross-Section Database'!$B$2:$B$2928,0),3)</f>
        <v>309.87999999999994</v>
      </c>
      <c r="AH16" s="21">
        <f>INDEX('[2]Cross-Section Database'!$C$2:$V$2928,MATCH(AF16,'[2]Cross-Section Database'!$B$2:$B$2928,0),4)</f>
        <v>164.846</v>
      </c>
      <c r="AI16" s="21">
        <f>INDEX('[2]Cross-Section Database'!$C$2:$V$2928,MATCH(AF16,'[2]Cross-Section Database'!$B$2:$B$2928,0),6)</f>
        <v>9.6519999999999992</v>
      </c>
      <c r="AJ16" s="21">
        <f>INDEX('[2]Cross-Section Database'!$C$2:$V$2928,MATCH(AF16,'[2]Cross-Section Database'!$B$2:$B$2928,0),5)</f>
        <v>5.8419999999999996</v>
      </c>
      <c r="AK16" s="21">
        <v>1194</v>
      </c>
      <c r="AL16" s="21">
        <f>INDEX('[2]Cross-Section Database'!$C$2:$V$3928,MATCH(AF16,'[2]Cross-Section Database'!$B$2:$B$3928,0),11)</f>
        <v>84911210.822399989</v>
      </c>
      <c r="AM16" s="24">
        <f>INDEX('[2]Cross-Section Database'!$C$2:$V$3928,MATCH(AF16,'[2]Cross-Section Database'!$B$2:$B$3928,0),12)</f>
        <v>609598.78079999995</v>
      </c>
      <c r="AN16" s="103">
        <v>9.5250000000000004</v>
      </c>
      <c r="AO16" s="21">
        <f>7.5*25.4</f>
        <v>190.5</v>
      </c>
      <c r="AP16" s="21">
        <f>12.1*25.4</f>
        <v>307.33999999999997</v>
      </c>
      <c r="AQ16" s="21">
        <v>0</v>
      </c>
      <c r="AR16" s="47">
        <v>0</v>
      </c>
      <c r="AS16" s="306" t="s">
        <v>5807</v>
      </c>
      <c r="AT16" s="163" t="s">
        <v>6134</v>
      </c>
      <c r="AU16" s="21" t="s">
        <v>6134</v>
      </c>
      <c r="AV16" s="21">
        <v>19.05</v>
      </c>
      <c r="AW16" s="163">
        <v>241</v>
      </c>
      <c r="AX16" s="21">
        <f t="shared" si="4"/>
        <v>76.199999999999989</v>
      </c>
      <c r="AY16" s="21">
        <f t="shared" si="5"/>
        <v>76.199999999999989</v>
      </c>
      <c r="AZ16" s="21">
        <v>0</v>
      </c>
      <c r="BA16" s="21">
        <f>4*25.4</f>
        <v>101.6</v>
      </c>
      <c r="BB16" s="21">
        <f t="shared" si="1"/>
        <v>154.94</v>
      </c>
      <c r="BC16" s="15" t="s">
        <v>6313</v>
      </c>
      <c r="BD16" s="163" t="s">
        <v>6209</v>
      </c>
      <c r="BE16" s="163" t="s">
        <v>6209</v>
      </c>
      <c r="BF16" s="163">
        <v>2</v>
      </c>
      <c r="BG16" s="163">
        <v>4</v>
      </c>
      <c r="BH16" s="202" t="s">
        <v>5792</v>
      </c>
      <c r="BI16" s="203" t="s">
        <v>5792</v>
      </c>
      <c r="BJ16" s="203" t="s">
        <v>5792</v>
      </c>
      <c r="BK16" s="203" t="s">
        <v>5792</v>
      </c>
      <c r="BL16" s="203" t="s">
        <v>5792</v>
      </c>
      <c r="BM16" s="203" t="s">
        <v>5792</v>
      </c>
      <c r="BN16" s="203" t="s">
        <v>5792</v>
      </c>
      <c r="BO16" s="203" t="s">
        <v>5792</v>
      </c>
      <c r="BP16" s="202" t="s">
        <v>5792</v>
      </c>
      <c r="BQ16" s="203" t="s">
        <v>5792</v>
      </c>
      <c r="BR16" s="203" t="s">
        <v>5792</v>
      </c>
      <c r="BS16" s="203" t="s">
        <v>5792</v>
      </c>
      <c r="BT16" s="203" t="s">
        <v>5792</v>
      </c>
      <c r="BU16" s="203" t="s">
        <v>5792</v>
      </c>
      <c r="BV16" s="218" t="s">
        <v>5792</v>
      </c>
      <c r="BW16" s="203" t="s">
        <v>5792</v>
      </c>
      <c r="BX16" s="203" t="s">
        <v>5792</v>
      </c>
      <c r="BY16" s="203" t="s">
        <v>5792</v>
      </c>
      <c r="BZ16" s="203" t="s">
        <v>5792</v>
      </c>
      <c r="CA16" s="203" t="s">
        <v>5792</v>
      </c>
      <c r="CB16" s="218" t="s">
        <v>5792</v>
      </c>
      <c r="CC16" s="303" t="s">
        <v>4425</v>
      </c>
      <c r="CD16" s="60">
        <v>300</v>
      </c>
      <c r="CE16" s="10">
        <v>312</v>
      </c>
      <c r="CF16" s="60">
        <v>450</v>
      </c>
      <c r="CG16" s="47">
        <v>512</v>
      </c>
      <c r="CH16" s="67">
        <v>200000</v>
      </c>
      <c r="CI16" s="300" t="s">
        <v>4425</v>
      </c>
      <c r="CJ16" s="60">
        <v>300</v>
      </c>
      <c r="CK16" s="47">
        <v>421</v>
      </c>
      <c r="CL16" s="47">
        <v>450</v>
      </c>
      <c r="CM16" s="47">
        <v>554.33849999999995</v>
      </c>
      <c r="CN16" s="67">
        <v>200000</v>
      </c>
      <c r="CO16" s="300" t="s">
        <v>4421</v>
      </c>
      <c r="CP16" s="47">
        <v>250</v>
      </c>
      <c r="CQ16" s="47">
        <v>433.68</v>
      </c>
      <c r="CR16" s="47">
        <v>475</v>
      </c>
      <c r="CS16" s="47">
        <v>752.2</v>
      </c>
      <c r="CT16" s="61">
        <v>200000</v>
      </c>
      <c r="CU16" s="207" t="s">
        <v>5792</v>
      </c>
      <c r="CV16" s="208" t="s">
        <v>5792</v>
      </c>
      <c r="CW16" s="208" t="s">
        <v>5792</v>
      </c>
      <c r="CX16" s="209" t="s">
        <v>5792</v>
      </c>
      <c r="CY16" s="207" t="s">
        <v>5792</v>
      </c>
      <c r="CZ16" s="208" t="s">
        <v>5792</v>
      </c>
      <c r="DA16" s="209" t="s">
        <v>5792</v>
      </c>
      <c r="DB16" s="283" t="s">
        <v>5792</v>
      </c>
      <c r="DC16" s="163" t="s">
        <v>4422</v>
      </c>
      <c r="DD16" s="60">
        <v>640</v>
      </c>
      <c r="DE16" s="32">
        <v>730</v>
      </c>
      <c r="DF16" s="60">
        <v>800</v>
      </c>
      <c r="DG16" s="32">
        <v>940</v>
      </c>
      <c r="DH16" s="67">
        <v>200000</v>
      </c>
      <c r="DI16" s="41" t="s">
        <v>4770</v>
      </c>
      <c r="DJ16" s="163" t="s">
        <v>4435</v>
      </c>
      <c r="DK16" s="297" t="s">
        <v>4566</v>
      </c>
    </row>
    <row r="17" spans="1:115">
      <c r="A17" s="18">
        <v>12</v>
      </c>
      <c r="B17" s="326"/>
      <c r="C17" s="326"/>
      <c r="D17" s="433"/>
      <c r="E17" s="343"/>
      <c r="F17" s="326"/>
      <c r="G17" s="337"/>
      <c r="H17" s="337"/>
      <c r="I17" s="337"/>
      <c r="J17" s="41" t="s">
        <v>4407</v>
      </c>
      <c r="K17" s="306" t="s">
        <v>4383</v>
      </c>
      <c r="L17" s="163" t="s">
        <v>5792</v>
      </c>
      <c r="M17" s="306" t="s">
        <v>4508</v>
      </c>
      <c r="N17" s="163" t="s">
        <v>4701</v>
      </c>
      <c r="O17" s="18" t="s">
        <v>4507</v>
      </c>
      <c r="P17" s="163" t="s">
        <v>6312</v>
      </c>
      <c r="Q17" s="163" t="s">
        <v>4420</v>
      </c>
      <c r="R17" s="163" t="s">
        <v>6312</v>
      </c>
      <c r="S17" s="163" t="s">
        <v>5792</v>
      </c>
      <c r="T17" s="163" t="s">
        <v>4420</v>
      </c>
      <c r="U17" s="163" t="s">
        <v>5792</v>
      </c>
      <c r="V17" s="163" t="s">
        <v>6049</v>
      </c>
      <c r="W17" s="18">
        <v>6</v>
      </c>
      <c r="X17" s="231">
        <v>0</v>
      </c>
      <c r="Y17" s="18">
        <v>0</v>
      </c>
      <c r="Z17" s="306" t="s">
        <v>514</v>
      </c>
      <c r="AA17" s="21">
        <f>INDEX('[2]Cross-Section Database'!$C$2:$V$2928,MATCH(Z17,'[2]Cross-Section Database'!$B$2:$B$2928,0),3)</f>
        <v>209.54999999999998</v>
      </c>
      <c r="AB17" s="21">
        <f>INDEX('[2]Cross-Section Database'!$C$2:$V$2928,MATCH(Z17,'[2]Cross-Section Database'!$B$2:$B$2928,0),4)</f>
        <v>204.97800000000001</v>
      </c>
      <c r="AC17" s="21">
        <f>INDEX('[2]Cross-Section Database'!$C$2:$V$2928,MATCH(Z17,'[2]Cross-Section Database'!$B$2:$B$2928,0),6)</f>
        <v>14.224</v>
      </c>
      <c r="AD17" s="21">
        <f>INDEX('[2]Cross-Section Database'!$C$2:$V$2928,MATCH(Z17,'[2]Cross-Section Database'!$B$2:$B$2928,0),5)</f>
        <v>9.1439999999999984</v>
      </c>
      <c r="AE17" s="21">
        <v>610</v>
      </c>
      <c r="AF17" s="306" t="s">
        <v>462</v>
      </c>
      <c r="AG17" s="21">
        <f>INDEX('[2]Cross-Section Database'!$C$2:$V$2928,MATCH(AF17,'[2]Cross-Section Database'!$B$2:$B$2928,0),3)</f>
        <v>309.87999999999994</v>
      </c>
      <c r="AH17" s="21">
        <f>INDEX('[2]Cross-Section Database'!$C$2:$V$2928,MATCH(AF17,'[2]Cross-Section Database'!$B$2:$B$2928,0),4)</f>
        <v>164.846</v>
      </c>
      <c r="AI17" s="21">
        <f>INDEX('[2]Cross-Section Database'!$C$2:$V$2928,MATCH(AF17,'[2]Cross-Section Database'!$B$2:$B$2928,0),6)</f>
        <v>9.6519999999999992</v>
      </c>
      <c r="AJ17" s="21">
        <f>INDEX('[2]Cross-Section Database'!$C$2:$V$2928,MATCH(AF17,'[2]Cross-Section Database'!$B$2:$B$2928,0),5)</f>
        <v>5.8419999999999996</v>
      </c>
      <c r="AK17" s="21">
        <v>1194</v>
      </c>
      <c r="AL17" s="21">
        <f>INDEX('[2]Cross-Section Database'!$C$2:$V$3928,MATCH(AF17,'[2]Cross-Section Database'!$B$2:$B$3928,0),11)</f>
        <v>84911210.822399989</v>
      </c>
      <c r="AM17" s="24">
        <f>INDEX('[2]Cross-Section Database'!$C$2:$V$3928,MATCH(AF17,'[2]Cross-Section Database'!$B$2:$B$3928,0),12)</f>
        <v>609598.78079999995</v>
      </c>
      <c r="AN17" s="103">
        <v>12.7</v>
      </c>
      <c r="AO17" s="21">
        <f t="shared" ref="AO17:AO29" si="8">7.5*25.4</f>
        <v>190.5</v>
      </c>
      <c r="AP17" s="21">
        <f t="shared" ref="AP17:AP29" si="9">12.1*25.4</f>
        <v>307.33999999999997</v>
      </c>
      <c r="AQ17" s="21">
        <v>0</v>
      </c>
      <c r="AR17" s="47">
        <v>0</v>
      </c>
      <c r="AS17" s="306" t="s">
        <v>5807</v>
      </c>
      <c r="AT17" s="163" t="s">
        <v>6134</v>
      </c>
      <c r="AU17" s="21" t="s">
        <v>6134</v>
      </c>
      <c r="AV17" s="21">
        <v>19.05</v>
      </c>
      <c r="AW17" s="163">
        <v>241</v>
      </c>
      <c r="AX17" s="21">
        <f t="shared" si="4"/>
        <v>76.199999999999989</v>
      </c>
      <c r="AY17" s="21">
        <f t="shared" si="5"/>
        <v>76.199999999999989</v>
      </c>
      <c r="AZ17" s="21">
        <v>0</v>
      </c>
      <c r="BA17" s="21">
        <f t="shared" ref="BA17:BA29" si="10">4*25.4</f>
        <v>101.6</v>
      </c>
      <c r="BB17" s="21">
        <f t="shared" si="1"/>
        <v>154.94</v>
      </c>
      <c r="BC17" s="15" t="s">
        <v>6313</v>
      </c>
      <c r="BD17" s="163" t="s">
        <v>6209</v>
      </c>
      <c r="BE17" s="163" t="s">
        <v>6209</v>
      </c>
      <c r="BF17" s="163">
        <v>2</v>
      </c>
      <c r="BG17" s="163">
        <v>4</v>
      </c>
      <c r="BH17" s="202" t="s">
        <v>5792</v>
      </c>
      <c r="BI17" s="203" t="s">
        <v>5792</v>
      </c>
      <c r="BJ17" s="203" t="s">
        <v>5792</v>
      </c>
      <c r="BK17" s="203" t="s">
        <v>5792</v>
      </c>
      <c r="BL17" s="203" t="s">
        <v>5792</v>
      </c>
      <c r="BM17" s="203" t="s">
        <v>5792</v>
      </c>
      <c r="BN17" s="203" t="s">
        <v>5792</v>
      </c>
      <c r="BO17" s="203" t="s">
        <v>5792</v>
      </c>
      <c r="BP17" s="202" t="s">
        <v>5792</v>
      </c>
      <c r="BQ17" s="203" t="s">
        <v>5792</v>
      </c>
      <c r="BR17" s="203" t="s">
        <v>5792</v>
      </c>
      <c r="BS17" s="203" t="s">
        <v>5792</v>
      </c>
      <c r="BT17" s="203" t="s">
        <v>5792</v>
      </c>
      <c r="BU17" s="203" t="s">
        <v>5792</v>
      </c>
      <c r="BV17" s="218" t="s">
        <v>5792</v>
      </c>
      <c r="BW17" s="203" t="s">
        <v>5792</v>
      </c>
      <c r="BX17" s="203" t="s">
        <v>5792</v>
      </c>
      <c r="BY17" s="203" t="s">
        <v>5792</v>
      </c>
      <c r="BZ17" s="203" t="s">
        <v>5792</v>
      </c>
      <c r="CA17" s="203" t="s">
        <v>5792</v>
      </c>
      <c r="CB17" s="218" t="s">
        <v>5792</v>
      </c>
      <c r="CC17" s="303" t="s">
        <v>4425</v>
      </c>
      <c r="CD17" s="60">
        <v>300</v>
      </c>
      <c r="CE17" s="10">
        <v>312</v>
      </c>
      <c r="CF17" s="60">
        <v>450</v>
      </c>
      <c r="CG17" s="47">
        <v>512</v>
      </c>
      <c r="CH17" s="67">
        <v>200000</v>
      </c>
      <c r="CI17" s="300" t="s">
        <v>4425</v>
      </c>
      <c r="CJ17" s="60">
        <v>300</v>
      </c>
      <c r="CK17" s="47">
        <v>421</v>
      </c>
      <c r="CL17" s="47">
        <v>450</v>
      </c>
      <c r="CM17" s="47">
        <v>554.33849999999995</v>
      </c>
      <c r="CN17" s="67">
        <v>200000</v>
      </c>
      <c r="CO17" s="300" t="s">
        <v>4421</v>
      </c>
      <c r="CP17" s="47">
        <v>250</v>
      </c>
      <c r="CQ17" s="47">
        <v>292.3</v>
      </c>
      <c r="CR17" s="47">
        <v>475</v>
      </c>
      <c r="CS17" s="47">
        <v>490.21699999999998</v>
      </c>
      <c r="CT17" s="61">
        <v>200000</v>
      </c>
      <c r="CU17" s="207" t="s">
        <v>5792</v>
      </c>
      <c r="CV17" s="208" t="s">
        <v>5792</v>
      </c>
      <c r="CW17" s="208" t="s">
        <v>5792</v>
      </c>
      <c r="CX17" s="209" t="s">
        <v>5792</v>
      </c>
      <c r="CY17" s="207" t="s">
        <v>5792</v>
      </c>
      <c r="CZ17" s="208" t="s">
        <v>5792</v>
      </c>
      <c r="DA17" s="209" t="s">
        <v>5792</v>
      </c>
      <c r="DB17" s="283" t="s">
        <v>5792</v>
      </c>
      <c r="DC17" s="163" t="s">
        <v>4422</v>
      </c>
      <c r="DD17" s="60">
        <v>640</v>
      </c>
      <c r="DE17" s="32">
        <v>730</v>
      </c>
      <c r="DF17" s="60">
        <v>800</v>
      </c>
      <c r="DG17" s="32">
        <v>940</v>
      </c>
      <c r="DH17" s="67">
        <v>200000</v>
      </c>
      <c r="DI17" s="41" t="s">
        <v>15</v>
      </c>
      <c r="DJ17" s="163" t="s">
        <v>4435</v>
      </c>
      <c r="DK17" s="297" t="s">
        <v>4566</v>
      </c>
    </row>
    <row r="18" spans="1:115">
      <c r="A18" s="18">
        <v>13</v>
      </c>
      <c r="B18" s="326"/>
      <c r="C18" s="326"/>
      <c r="D18" s="433"/>
      <c r="E18" s="343"/>
      <c r="F18" s="326"/>
      <c r="G18" s="337"/>
      <c r="H18" s="337"/>
      <c r="I18" s="337"/>
      <c r="J18" s="41" t="s">
        <v>4408</v>
      </c>
      <c r="K18" s="306" t="s">
        <v>4383</v>
      </c>
      <c r="L18" s="163" t="s">
        <v>5792</v>
      </c>
      <c r="M18" s="306" t="s">
        <v>4508</v>
      </c>
      <c r="N18" s="163" t="s">
        <v>4701</v>
      </c>
      <c r="O18" s="18" t="s">
        <v>4507</v>
      </c>
      <c r="P18" s="163" t="s">
        <v>6312</v>
      </c>
      <c r="Q18" s="163" t="s">
        <v>4420</v>
      </c>
      <c r="R18" s="163" t="s">
        <v>6312</v>
      </c>
      <c r="S18" s="163" t="s">
        <v>5792</v>
      </c>
      <c r="T18" s="163" t="s">
        <v>4420</v>
      </c>
      <c r="U18" s="163" t="s">
        <v>5792</v>
      </c>
      <c r="V18" s="163" t="s">
        <v>6049</v>
      </c>
      <c r="W18" s="18">
        <v>6</v>
      </c>
      <c r="X18" s="231">
        <v>0</v>
      </c>
      <c r="Y18" s="18">
        <v>0</v>
      </c>
      <c r="Z18" s="306" t="s">
        <v>514</v>
      </c>
      <c r="AA18" s="21">
        <f>INDEX('[2]Cross-Section Database'!$C$2:$V$2928,MATCH(Z18,'[2]Cross-Section Database'!$B$2:$B$2928,0),3)</f>
        <v>209.54999999999998</v>
      </c>
      <c r="AB18" s="21">
        <f>INDEX('[2]Cross-Section Database'!$C$2:$V$2928,MATCH(Z18,'[2]Cross-Section Database'!$B$2:$B$2928,0),4)</f>
        <v>204.97800000000001</v>
      </c>
      <c r="AC18" s="21">
        <f>INDEX('[2]Cross-Section Database'!$C$2:$V$2928,MATCH(Z18,'[2]Cross-Section Database'!$B$2:$B$2928,0),6)</f>
        <v>14.224</v>
      </c>
      <c r="AD18" s="21">
        <f>INDEX('[2]Cross-Section Database'!$C$2:$V$2928,MATCH(Z18,'[2]Cross-Section Database'!$B$2:$B$2928,0),5)</f>
        <v>9.1439999999999984</v>
      </c>
      <c r="AE18" s="21">
        <v>610</v>
      </c>
      <c r="AF18" s="306" t="s">
        <v>462</v>
      </c>
      <c r="AG18" s="21">
        <f>INDEX('[2]Cross-Section Database'!$C$2:$V$2928,MATCH(AF18,'[2]Cross-Section Database'!$B$2:$B$2928,0),3)</f>
        <v>309.87999999999994</v>
      </c>
      <c r="AH18" s="21">
        <f>INDEX('[2]Cross-Section Database'!$C$2:$V$2928,MATCH(AF18,'[2]Cross-Section Database'!$B$2:$B$2928,0),4)</f>
        <v>164.846</v>
      </c>
      <c r="AI18" s="21">
        <f>INDEX('[2]Cross-Section Database'!$C$2:$V$2928,MATCH(AF18,'[2]Cross-Section Database'!$B$2:$B$2928,0),6)</f>
        <v>9.6519999999999992</v>
      </c>
      <c r="AJ18" s="21">
        <f>INDEX('[2]Cross-Section Database'!$C$2:$V$2928,MATCH(AF18,'[2]Cross-Section Database'!$B$2:$B$2928,0),5)</f>
        <v>5.8419999999999996</v>
      </c>
      <c r="AK18" s="21">
        <v>1194</v>
      </c>
      <c r="AL18" s="21">
        <f>INDEX('[2]Cross-Section Database'!$C$2:$V$3928,MATCH(AF18,'[2]Cross-Section Database'!$B$2:$B$3928,0),11)</f>
        <v>84911210.822399989</v>
      </c>
      <c r="AM18" s="24">
        <f>INDEX('[2]Cross-Section Database'!$C$2:$V$3928,MATCH(AF18,'[2]Cross-Section Database'!$B$2:$B$3928,0),12)</f>
        <v>609598.78079999995</v>
      </c>
      <c r="AN18" s="103">
        <v>15.875</v>
      </c>
      <c r="AO18" s="21">
        <f t="shared" si="8"/>
        <v>190.5</v>
      </c>
      <c r="AP18" s="21">
        <f t="shared" si="9"/>
        <v>307.33999999999997</v>
      </c>
      <c r="AQ18" s="21">
        <v>0</v>
      </c>
      <c r="AR18" s="47">
        <v>0</v>
      </c>
      <c r="AS18" s="306" t="s">
        <v>5807</v>
      </c>
      <c r="AT18" s="163" t="s">
        <v>6134</v>
      </c>
      <c r="AU18" s="21" t="s">
        <v>6134</v>
      </c>
      <c r="AV18" s="21">
        <v>19.05</v>
      </c>
      <c r="AW18" s="163">
        <v>241</v>
      </c>
      <c r="AX18" s="21">
        <f t="shared" si="4"/>
        <v>76.199999999999989</v>
      </c>
      <c r="AY18" s="21">
        <f t="shared" si="5"/>
        <v>76.199999999999989</v>
      </c>
      <c r="AZ18" s="21">
        <v>0</v>
      </c>
      <c r="BA18" s="21">
        <f t="shared" si="10"/>
        <v>101.6</v>
      </c>
      <c r="BB18" s="21">
        <f t="shared" si="1"/>
        <v>154.94</v>
      </c>
      <c r="BC18" s="15" t="s">
        <v>6313</v>
      </c>
      <c r="BD18" s="163" t="s">
        <v>6209</v>
      </c>
      <c r="BE18" s="163" t="s">
        <v>6209</v>
      </c>
      <c r="BF18" s="163">
        <v>2</v>
      </c>
      <c r="BG18" s="163">
        <v>4</v>
      </c>
      <c r="BH18" s="202" t="s">
        <v>5792</v>
      </c>
      <c r="BI18" s="203" t="s">
        <v>5792</v>
      </c>
      <c r="BJ18" s="203" t="s">
        <v>5792</v>
      </c>
      <c r="BK18" s="203" t="s">
        <v>5792</v>
      </c>
      <c r="BL18" s="203" t="s">
        <v>5792</v>
      </c>
      <c r="BM18" s="203" t="s">
        <v>5792</v>
      </c>
      <c r="BN18" s="203" t="s">
        <v>5792</v>
      </c>
      <c r="BO18" s="203" t="s">
        <v>5792</v>
      </c>
      <c r="BP18" s="202" t="s">
        <v>5792</v>
      </c>
      <c r="BQ18" s="203" t="s">
        <v>5792</v>
      </c>
      <c r="BR18" s="203" t="s">
        <v>5792</v>
      </c>
      <c r="BS18" s="203" t="s">
        <v>5792</v>
      </c>
      <c r="BT18" s="203" t="s">
        <v>5792</v>
      </c>
      <c r="BU18" s="203" t="s">
        <v>5792</v>
      </c>
      <c r="BV18" s="218" t="s">
        <v>5792</v>
      </c>
      <c r="BW18" s="203" t="s">
        <v>5792</v>
      </c>
      <c r="BX18" s="203" t="s">
        <v>5792</v>
      </c>
      <c r="BY18" s="203" t="s">
        <v>5792</v>
      </c>
      <c r="BZ18" s="203" t="s">
        <v>5792</v>
      </c>
      <c r="CA18" s="203" t="s">
        <v>5792</v>
      </c>
      <c r="CB18" s="218" t="s">
        <v>5792</v>
      </c>
      <c r="CC18" s="303" t="s">
        <v>4425</v>
      </c>
      <c r="CD18" s="60">
        <v>300</v>
      </c>
      <c r="CE18" s="10">
        <v>312</v>
      </c>
      <c r="CF18" s="60">
        <v>450</v>
      </c>
      <c r="CG18" s="47">
        <v>512</v>
      </c>
      <c r="CH18" s="67">
        <v>200000</v>
      </c>
      <c r="CI18" s="300" t="s">
        <v>4425</v>
      </c>
      <c r="CJ18" s="60">
        <v>300</v>
      </c>
      <c r="CK18" s="47">
        <v>421</v>
      </c>
      <c r="CL18" s="47">
        <v>450</v>
      </c>
      <c r="CM18" s="47">
        <v>554.33849999999995</v>
      </c>
      <c r="CN18" s="67">
        <v>200000</v>
      </c>
      <c r="CO18" s="300" t="s">
        <v>4421</v>
      </c>
      <c r="CP18" s="47">
        <v>250</v>
      </c>
      <c r="CQ18" s="47">
        <v>281.99</v>
      </c>
      <c r="CR18" s="47">
        <v>475</v>
      </c>
      <c r="CS18" s="47">
        <v>504</v>
      </c>
      <c r="CT18" s="61">
        <v>200000</v>
      </c>
      <c r="CU18" s="207" t="s">
        <v>5792</v>
      </c>
      <c r="CV18" s="208" t="s">
        <v>5792</v>
      </c>
      <c r="CW18" s="208" t="s">
        <v>5792</v>
      </c>
      <c r="CX18" s="209" t="s">
        <v>5792</v>
      </c>
      <c r="CY18" s="207" t="s">
        <v>5792</v>
      </c>
      <c r="CZ18" s="208" t="s">
        <v>5792</v>
      </c>
      <c r="DA18" s="209" t="s">
        <v>5792</v>
      </c>
      <c r="DB18" s="283" t="s">
        <v>5792</v>
      </c>
      <c r="DC18" s="163" t="s">
        <v>4422</v>
      </c>
      <c r="DD18" s="60">
        <v>640</v>
      </c>
      <c r="DE18" s="32">
        <v>730</v>
      </c>
      <c r="DF18" s="60">
        <v>800</v>
      </c>
      <c r="DG18" s="32">
        <v>940</v>
      </c>
      <c r="DH18" s="67">
        <v>200000</v>
      </c>
      <c r="DI18" s="41" t="s">
        <v>15</v>
      </c>
      <c r="DJ18" s="163" t="s">
        <v>4435</v>
      </c>
      <c r="DK18" s="297" t="s">
        <v>4566</v>
      </c>
    </row>
    <row r="19" spans="1:115">
      <c r="A19" s="18">
        <v>14</v>
      </c>
      <c r="B19" s="326"/>
      <c r="C19" s="326"/>
      <c r="D19" s="433"/>
      <c r="E19" s="343"/>
      <c r="F19" s="326"/>
      <c r="G19" s="337"/>
      <c r="H19" s="337"/>
      <c r="I19" s="337"/>
      <c r="J19" s="41" t="s">
        <v>4409</v>
      </c>
      <c r="K19" s="306" t="s">
        <v>4383</v>
      </c>
      <c r="L19" s="163" t="s">
        <v>5792</v>
      </c>
      <c r="M19" s="306" t="s">
        <v>4508</v>
      </c>
      <c r="N19" s="163" t="s">
        <v>4701</v>
      </c>
      <c r="O19" s="18" t="s">
        <v>4507</v>
      </c>
      <c r="P19" s="163" t="s">
        <v>6312</v>
      </c>
      <c r="Q19" s="163" t="s">
        <v>4420</v>
      </c>
      <c r="R19" s="163" t="s">
        <v>6169</v>
      </c>
      <c r="S19" s="163">
        <v>6</v>
      </c>
      <c r="T19" s="163" t="s">
        <v>4420</v>
      </c>
      <c r="U19" s="163" t="s">
        <v>5792</v>
      </c>
      <c r="V19" s="163" t="s">
        <v>6049</v>
      </c>
      <c r="W19" s="18">
        <v>6</v>
      </c>
      <c r="X19" s="231">
        <v>0</v>
      </c>
      <c r="Y19" s="18">
        <v>0</v>
      </c>
      <c r="Z19" s="306" t="s">
        <v>514</v>
      </c>
      <c r="AA19" s="21">
        <f>INDEX('[2]Cross-Section Database'!$C$2:$V$2928,MATCH(Z19,'[2]Cross-Section Database'!$B$2:$B$2928,0),3)</f>
        <v>209.54999999999998</v>
      </c>
      <c r="AB19" s="21">
        <f>INDEX('[2]Cross-Section Database'!$C$2:$V$2928,MATCH(Z19,'[2]Cross-Section Database'!$B$2:$B$2928,0),4)</f>
        <v>204.97800000000001</v>
      </c>
      <c r="AC19" s="21">
        <f>INDEX('[2]Cross-Section Database'!$C$2:$V$2928,MATCH(Z19,'[2]Cross-Section Database'!$B$2:$B$2928,0),6)</f>
        <v>14.224</v>
      </c>
      <c r="AD19" s="21">
        <f>INDEX('[2]Cross-Section Database'!$C$2:$V$2928,MATCH(Z19,'[2]Cross-Section Database'!$B$2:$B$2928,0),5)</f>
        <v>9.1439999999999984</v>
      </c>
      <c r="AE19" s="21">
        <v>610</v>
      </c>
      <c r="AF19" s="306" t="s">
        <v>462</v>
      </c>
      <c r="AG19" s="21">
        <f>INDEX('[2]Cross-Section Database'!$C$2:$V$2928,MATCH(AF19,'[2]Cross-Section Database'!$B$2:$B$2928,0),3)</f>
        <v>309.87999999999994</v>
      </c>
      <c r="AH19" s="21">
        <f>INDEX('[2]Cross-Section Database'!$C$2:$V$2928,MATCH(AF19,'[2]Cross-Section Database'!$B$2:$B$2928,0),4)</f>
        <v>164.846</v>
      </c>
      <c r="AI19" s="21">
        <f>INDEX('[2]Cross-Section Database'!$C$2:$V$2928,MATCH(AF19,'[2]Cross-Section Database'!$B$2:$B$2928,0),6)</f>
        <v>9.6519999999999992</v>
      </c>
      <c r="AJ19" s="21">
        <f>INDEX('[2]Cross-Section Database'!$C$2:$V$2928,MATCH(AF19,'[2]Cross-Section Database'!$B$2:$B$2928,0),5)</f>
        <v>5.8419999999999996</v>
      </c>
      <c r="AK19" s="21">
        <v>1194</v>
      </c>
      <c r="AL19" s="21">
        <f>INDEX('[2]Cross-Section Database'!$C$2:$V$3928,MATCH(AF19,'[2]Cross-Section Database'!$B$2:$B$3928,0),11)</f>
        <v>84911210.822399989</v>
      </c>
      <c r="AM19" s="24">
        <f>INDEX('[2]Cross-Section Database'!$C$2:$V$3928,MATCH(AF19,'[2]Cross-Section Database'!$B$2:$B$3928,0),12)</f>
        <v>609598.78079999995</v>
      </c>
      <c r="AN19" s="103">
        <v>9.5250000000000004</v>
      </c>
      <c r="AO19" s="21">
        <f t="shared" si="8"/>
        <v>190.5</v>
      </c>
      <c r="AP19" s="21">
        <f t="shared" si="9"/>
        <v>307.33999999999997</v>
      </c>
      <c r="AQ19" s="21">
        <v>0</v>
      </c>
      <c r="AR19" s="47">
        <v>0</v>
      </c>
      <c r="AS19" s="306" t="s">
        <v>5807</v>
      </c>
      <c r="AT19" s="163" t="s">
        <v>6134</v>
      </c>
      <c r="AU19" s="21" t="s">
        <v>6134</v>
      </c>
      <c r="AV19" s="21">
        <v>19.05</v>
      </c>
      <c r="AW19" s="163">
        <v>241</v>
      </c>
      <c r="AX19" s="21">
        <f t="shared" si="4"/>
        <v>76.199999999999989</v>
      </c>
      <c r="AY19" s="21">
        <f t="shared" si="5"/>
        <v>76.199999999999989</v>
      </c>
      <c r="AZ19" s="21">
        <v>0</v>
      </c>
      <c r="BA19" s="21">
        <f t="shared" si="10"/>
        <v>101.6</v>
      </c>
      <c r="BB19" s="21">
        <f t="shared" si="1"/>
        <v>154.94</v>
      </c>
      <c r="BC19" s="15" t="s">
        <v>6313</v>
      </c>
      <c r="BD19" s="163" t="s">
        <v>6209</v>
      </c>
      <c r="BE19" s="163" t="s">
        <v>6209</v>
      </c>
      <c r="BF19" s="163">
        <v>2</v>
      </c>
      <c r="BG19" s="163">
        <v>4</v>
      </c>
      <c r="BH19" s="202" t="s">
        <v>5792</v>
      </c>
      <c r="BI19" s="203" t="s">
        <v>5792</v>
      </c>
      <c r="BJ19" s="203" t="s">
        <v>5792</v>
      </c>
      <c r="BK19" s="203" t="s">
        <v>5792</v>
      </c>
      <c r="BL19" s="203" t="s">
        <v>5792</v>
      </c>
      <c r="BM19" s="203" t="s">
        <v>5792</v>
      </c>
      <c r="BN19" s="203" t="s">
        <v>5792</v>
      </c>
      <c r="BO19" s="203" t="s">
        <v>5792</v>
      </c>
      <c r="BP19" s="202" t="s">
        <v>5792</v>
      </c>
      <c r="BQ19" s="203" t="s">
        <v>5792</v>
      </c>
      <c r="BR19" s="203" t="s">
        <v>5792</v>
      </c>
      <c r="BS19" s="203" t="s">
        <v>5792</v>
      </c>
      <c r="BT19" s="203" t="s">
        <v>5792</v>
      </c>
      <c r="BU19" s="203" t="s">
        <v>5792</v>
      </c>
      <c r="BV19" s="218" t="s">
        <v>5792</v>
      </c>
      <c r="BW19" s="203" t="s">
        <v>5792</v>
      </c>
      <c r="BX19" s="203" t="s">
        <v>5792</v>
      </c>
      <c r="BY19" s="203" t="s">
        <v>5792</v>
      </c>
      <c r="BZ19" s="203" t="s">
        <v>5792</v>
      </c>
      <c r="CA19" s="203" t="s">
        <v>5792</v>
      </c>
      <c r="CB19" s="218" t="s">
        <v>5792</v>
      </c>
      <c r="CC19" s="303" t="s">
        <v>4425</v>
      </c>
      <c r="CD19" s="60">
        <v>300</v>
      </c>
      <c r="CE19" s="10">
        <v>312</v>
      </c>
      <c r="CF19" s="60">
        <v>450</v>
      </c>
      <c r="CG19" s="47">
        <v>512</v>
      </c>
      <c r="CH19" s="67">
        <v>200000</v>
      </c>
      <c r="CI19" s="300" t="s">
        <v>4425</v>
      </c>
      <c r="CJ19" s="60">
        <v>300</v>
      </c>
      <c r="CK19" s="47">
        <v>421</v>
      </c>
      <c r="CL19" s="47">
        <v>450</v>
      </c>
      <c r="CM19" s="47">
        <v>554.33849999999995</v>
      </c>
      <c r="CN19" s="67">
        <v>200000</v>
      </c>
      <c r="CO19" s="300" t="s">
        <v>4421</v>
      </c>
      <c r="CP19" s="47">
        <v>250</v>
      </c>
      <c r="CQ19" s="47">
        <v>433.68</v>
      </c>
      <c r="CR19" s="47">
        <v>475</v>
      </c>
      <c r="CS19" s="47">
        <v>752.2</v>
      </c>
      <c r="CT19" s="61">
        <v>200000</v>
      </c>
      <c r="CU19" s="207" t="s">
        <v>5792</v>
      </c>
      <c r="CV19" s="208" t="s">
        <v>5792</v>
      </c>
      <c r="CW19" s="208" t="s">
        <v>5792</v>
      </c>
      <c r="CX19" s="209" t="s">
        <v>5792</v>
      </c>
      <c r="CY19" s="207" t="s">
        <v>5792</v>
      </c>
      <c r="CZ19" s="208" t="s">
        <v>5792</v>
      </c>
      <c r="DA19" s="209" t="s">
        <v>5792</v>
      </c>
      <c r="DB19" s="283" t="s">
        <v>5792</v>
      </c>
      <c r="DC19" s="163" t="s">
        <v>4422</v>
      </c>
      <c r="DD19" s="60">
        <v>640</v>
      </c>
      <c r="DE19" s="32">
        <v>730</v>
      </c>
      <c r="DF19" s="60">
        <v>800</v>
      </c>
      <c r="DG19" s="32">
        <v>940</v>
      </c>
      <c r="DH19" s="67">
        <v>200000</v>
      </c>
      <c r="DI19" s="29" t="s">
        <v>4770</v>
      </c>
      <c r="DJ19" s="163" t="s">
        <v>4435</v>
      </c>
      <c r="DK19" s="297" t="s">
        <v>4566</v>
      </c>
    </row>
    <row r="20" spans="1:115">
      <c r="A20" s="18">
        <v>15</v>
      </c>
      <c r="B20" s="326"/>
      <c r="C20" s="326"/>
      <c r="D20" s="433"/>
      <c r="E20" s="343"/>
      <c r="F20" s="326"/>
      <c r="G20" s="337"/>
      <c r="H20" s="337"/>
      <c r="I20" s="337"/>
      <c r="J20" s="41" t="s">
        <v>4410</v>
      </c>
      <c r="K20" s="306" t="s">
        <v>4383</v>
      </c>
      <c r="L20" s="163" t="s">
        <v>5792</v>
      </c>
      <c r="M20" s="306" t="s">
        <v>4508</v>
      </c>
      <c r="N20" s="163" t="s">
        <v>4701</v>
      </c>
      <c r="O20" s="18" t="s">
        <v>4507</v>
      </c>
      <c r="P20" s="163" t="s">
        <v>6312</v>
      </c>
      <c r="Q20" s="163" t="s">
        <v>4420</v>
      </c>
      <c r="R20" s="163" t="s">
        <v>6169</v>
      </c>
      <c r="S20" s="163">
        <v>6</v>
      </c>
      <c r="T20" s="163" t="s">
        <v>4420</v>
      </c>
      <c r="U20" s="163" t="s">
        <v>5792</v>
      </c>
      <c r="V20" s="163" t="s">
        <v>6049</v>
      </c>
      <c r="W20" s="18">
        <v>6</v>
      </c>
      <c r="X20" s="231">
        <v>0</v>
      </c>
      <c r="Y20" s="18">
        <v>0</v>
      </c>
      <c r="Z20" s="306" t="s">
        <v>514</v>
      </c>
      <c r="AA20" s="21">
        <f>INDEX('[2]Cross-Section Database'!$C$2:$V$2928,MATCH(Z20,'[2]Cross-Section Database'!$B$2:$B$2928,0),3)</f>
        <v>209.54999999999998</v>
      </c>
      <c r="AB20" s="21">
        <f>INDEX('[2]Cross-Section Database'!$C$2:$V$2928,MATCH(Z20,'[2]Cross-Section Database'!$B$2:$B$2928,0),4)</f>
        <v>204.97800000000001</v>
      </c>
      <c r="AC20" s="21">
        <f>INDEX('[2]Cross-Section Database'!$C$2:$V$2928,MATCH(Z20,'[2]Cross-Section Database'!$B$2:$B$2928,0),6)</f>
        <v>14.224</v>
      </c>
      <c r="AD20" s="21">
        <f>INDEX('[2]Cross-Section Database'!$C$2:$V$2928,MATCH(Z20,'[2]Cross-Section Database'!$B$2:$B$2928,0),5)</f>
        <v>9.1439999999999984</v>
      </c>
      <c r="AE20" s="21">
        <v>610</v>
      </c>
      <c r="AF20" s="306" t="s">
        <v>462</v>
      </c>
      <c r="AG20" s="21">
        <f>INDEX('[2]Cross-Section Database'!$C$2:$V$2928,MATCH(AF20,'[2]Cross-Section Database'!$B$2:$B$2928,0),3)</f>
        <v>309.87999999999994</v>
      </c>
      <c r="AH20" s="21">
        <f>INDEX('[2]Cross-Section Database'!$C$2:$V$2928,MATCH(AF20,'[2]Cross-Section Database'!$B$2:$B$2928,0),4)</f>
        <v>164.846</v>
      </c>
      <c r="AI20" s="21">
        <f>INDEX('[2]Cross-Section Database'!$C$2:$V$2928,MATCH(AF20,'[2]Cross-Section Database'!$B$2:$B$2928,0),6)</f>
        <v>9.6519999999999992</v>
      </c>
      <c r="AJ20" s="21">
        <f>INDEX('[2]Cross-Section Database'!$C$2:$V$2928,MATCH(AF20,'[2]Cross-Section Database'!$B$2:$B$2928,0),5)</f>
        <v>5.8419999999999996</v>
      </c>
      <c r="AK20" s="21">
        <v>1194</v>
      </c>
      <c r="AL20" s="21">
        <f>INDEX('[2]Cross-Section Database'!$C$2:$V$3928,MATCH(AF20,'[2]Cross-Section Database'!$B$2:$B$3928,0),11)</f>
        <v>84911210.822399989</v>
      </c>
      <c r="AM20" s="24">
        <f>INDEX('[2]Cross-Section Database'!$C$2:$V$3928,MATCH(AF20,'[2]Cross-Section Database'!$B$2:$B$3928,0),12)</f>
        <v>609598.78079999995</v>
      </c>
      <c r="AN20" s="103">
        <v>12.7</v>
      </c>
      <c r="AO20" s="21">
        <f t="shared" si="8"/>
        <v>190.5</v>
      </c>
      <c r="AP20" s="21">
        <f t="shared" si="9"/>
        <v>307.33999999999997</v>
      </c>
      <c r="AQ20" s="21">
        <v>0</v>
      </c>
      <c r="AR20" s="47">
        <v>0</v>
      </c>
      <c r="AS20" s="306" t="s">
        <v>5807</v>
      </c>
      <c r="AT20" s="163" t="s">
        <v>6134</v>
      </c>
      <c r="AU20" s="21" t="s">
        <v>6134</v>
      </c>
      <c r="AV20" s="21">
        <v>19.05</v>
      </c>
      <c r="AW20" s="163">
        <v>241</v>
      </c>
      <c r="AX20" s="21">
        <f t="shared" si="4"/>
        <v>76.199999999999989</v>
      </c>
      <c r="AY20" s="21">
        <f t="shared" si="5"/>
        <v>76.199999999999989</v>
      </c>
      <c r="AZ20" s="21">
        <v>0</v>
      </c>
      <c r="BA20" s="21">
        <f t="shared" si="10"/>
        <v>101.6</v>
      </c>
      <c r="BB20" s="21">
        <f t="shared" si="1"/>
        <v>154.94</v>
      </c>
      <c r="BC20" s="15" t="s">
        <v>6313</v>
      </c>
      <c r="BD20" s="163" t="s">
        <v>6209</v>
      </c>
      <c r="BE20" s="163" t="s">
        <v>6209</v>
      </c>
      <c r="BF20" s="163">
        <v>2</v>
      </c>
      <c r="BG20" s="163">
        <v>4</v>
      </c>
      <c r="BH20" s="202" t="s">
        <v>5792</v>
      </c>
      <c r="BI20" s="203" t="s">
        <v>5792</v>
      </c>
      <c r="BJ20" s="203" t="s">
        <v>5792</v>
      </c>
      <c r="BK20" s="203" t="s">
        <v>5792</v>
      </c>
      <c r="BL20" s="203" t="s">
        <v>5792</v>
      </c>
      <c r="BM20" s="203" t="s">
        <v>5792</v>
      </c>
      <c r="BN20" s="203" t="s">
        <v>5792</v>
      </c>
      <c r="BO20" s="203" t="s">
        <v>5792</v>
      </c>
      <c r="BP20" s="202" t="s">
        <v>5792</v>
      </c>
      <c r="BQ20" s="203" t="s">
        <v>5792</v>
      </c>
      <c r="BR20" s="203" t="s">
        <v>5792</v>
      </c>
      <c r="BS20" s="203" t="s">
        <v>5792</v>
      </c>
      <c r="BT20" s="203" t="s">
        <v>5792</v>
      </c>
      <c r="BU20" s="203" t="s">
        <v>5792</v>
      </c>
      <c r="BV20" s="218" t="s">
        <v>5792</v>
      </c>
      <c r="BW20" s="203" t="s">
        <v>5792</v>
      </c>
      <c r="BX20" s="203" t="s">
        <v>5792</v>
      </c>
      <c r="BY20" s="203" t="s">
        <v>5792</v>
      </c>
      <c r="BZ20" s="203" t="s">
        <v>5792</v>
      </c>
      <c r="CA20" s="203" t="s">
        <v>5792</v>
      </c>
      <c r="CB20" s="218" t="s">
        <v>5792</v>
      </c>
      <c r="CC20" s="303" t="s">
        <v>4425</v>
      </c>
      <c r="CD20" s="60">
        <v>300</v>
      </c>
      <c r="CE20" s="10">
        <v>312</v>
      </c>
      <c r="CF20" s="60">
        <v>450</v>
      </c>
      <c r="CG20" s="47">
        <v>512</v>
      </c>
      <c r="CH20" s="67">
        <v>200000</v>
      </c>
      <c r="CI20" s="300" t="s">
        <v>4425</v>
      </c>
      <c r="CJ20" s="60">
        <v>300</v>
      </c>
      <c r="CK20" s="47">
        <v>421</v>
      </c>
      <c r="CL20" s="47">
        <v>450</v>
      </c>
      <c r="CM20" s="47">
        <v>554.33849999999995</v>
      </c>
      <c r="CN20" s="67">
        <v>200000</v>
      </c>
      <c r="CO20" s="300" t="s">
        <v>4421</v>
      </c>
      <c r="CP20" s="47">
        <v>250</v>
      </c>
      <c r="CQ20" s="47">
        <v>292.3</v>
      </c>
      <c r="CR20" s="47">
        <v>475</v>
      </c>
      <c r="CS20" s="47">
        <v>490.21699999999998</v>
      </c>
      <c r="CT20" s="61">
        <v>200000</v>
      </c>
      <c r="CU20" s="207" t="s">
        <v>5792</v>
      </c>
      <c r="CV20" s="208" t="s">
        <v>5792</v>
      </c>
      <c r="CW20" s="208" t="s">
        <v>5792</v>
      </c>
      <c r="CX20" s="209" t="s">
        <v>5792</v>
      </c>
      <c r="CY20" s="207" t="s">
        <v>5792</v>
      </c>
      <c r="CZ20" s="208" t="s">
        <v>5792</v>
      </c>
      <c r="DA20" s="209" t="s">
        <v>5792</v>
      </c>
      <c r="DB20" s="283" t="s">
        <v>5792</v>
      </c>
      <c r="DC20" s="163" t="s">
        <v>4422</v>
      </c>
      <c r="DD20" s="60">
        <v>640</v>
      </c>
      <c r="DE20" s="32">
        <v>730</v>
      </c>
      <c r="DF20" s="60">
        <v>800</v>
      </c>
      <c r="DG20" s="32">
        <v>940</v>
      </c>
      <c r="DH20" s="67">
        <v>200000</v>
      </c>
      <c r="DI20" s="29" t="s">
        <v>15</v>
      </c>
      <c r="DJ20" s="163" t="s">
        <v>4435</v>
      </c>
      <c r="DK20" s="297" t="s">
        <v>4566</v>
      </c>
    </row>
    <row r="21" spans="1:115">
      <c r="A21" s="18">
        <v>16</v>
      </c>
      <c r="B21" s="326"/>
      <c r="C21" s="326"/>
      <c r="D21" s="433"/>
      <c r="E21" s="343"/>
      <c r="F21" s="326"/>
      <c r="G21" s="337"/>
      <c r="H21" s="337"/>
      <c r="I21" s="337"/>
      <c r="J21" s="41" t="s">
        <v>4411</v>
      </c>
      <c r="K21" s="306" t="s">
        <v>4383</v>
      </c>
      <c r="L21" s="163" t="s">
        <v>5792</v>
      </c>
      <c r="M21" s="306" t="s">
        <v>4508</v>
      </c>
      <c r="N21" s="163" t="s">
        <v>4701</v>
      </c>
      <c r="O21" s="18" t="s">
        <v>4507</v>
      </c>
      <c r="P21" s="163" t="s">
        <v>6312</v>
      </c>
      <c r="Q21" s="163" t="s">
        <v>4420</v>
      </c>
      <c r="R21" s="163" t="s">
        <v>6169</v>
      </c>
      <c r="S21" s="163">
        <v>6</v>
      </c>
      <c r="T21" s="163" t="s">
        <v>4420</v>
      </c>
      <c r="U21" s="163" t="s">
        <v>5792</v>
      </c>
      <c r="V21" s="163" t="s">
        <v>6049</v>
      </c>
      <c r="W21" s="18">
        <v>6</v>
      </c>
      <c r="X21" s="231">
        <v>0</v>
      </c>
      <c r="Y21" s="18">
        <v>0</v>
      </c>
      <c r="Z21" s="306" t="s">
        <v>514</v>
      </c>
      <c r="AA21" s="21">
        <f>INDEX('[2]Cross-Section Database'!$C$2:$V$2928,MATCH(Z21,'[2]Cross-Section Database'!$B$2:$B$2928,0),3)</f>
        <v>209.54999999999998</v>
      </c>
      <c r="AB21" s="21">
        <f>INDEX('[2]Cross-Section Database'!$C$2:$V$2928,MATCH(Z21,'[2]Cross-Section Database'!$B$2:$B$2928,0),4)</f>
        <v>204.97800000000001</v>
      </c>
      <c r="AC21" s="21">
        <f>INDEX('[2]Cross-Section Database'!$C$2:$V$2928,MATCH(Z21,'[2]Cross-Section Database'!$B$2:$B$2928,0),6)</f>
        <v>14.224</v>
      </c>
      <c r="AD21" s="21">
        <f>INDEX('[2]Cross-Section Database'!$C$2:$V$2928,MATCH(Z21,'[2]Cross-Section Database'!$B$2:$B$2928,0),5)</f>
        <v>9.1439999999999984</v>
      </c>
      <c r="AE21" s="21">
        <v>610</v>
      </c>
      <c r="AF21" s="306" t="s">
        <v>462</v>
      </c>
      <c r="AG21" s="21">
        <f>INDEX('[2]Cross-Section Database'!$C$2:$V$2928,MATCH(AF21,'[2]Cross-Section Database'!$B$2:$B$2928,0),3)</f>
        <v>309.87999999999994</v>
      </c>
      <c r="AH21" s="21">
        <f>INDEX('[2]Cross-Section Database'!$C$2:$V$2928,MATCH(AF21,'[2]Cross-Section Database'!$B$2:$B$2928,0),4)</f>
        <v>164.846</v>
      </c>
      <c r="AI21" s="21">
        <f>INDEX('[2]Cross-Section Database'!$C$2:$V$2928,MATCH(AF21,'[2]Cross-Section Database'!$B$2:$B$2928,0),6)</f>
        <v>9.6519999999999992</v>
      </c>
      <c r="AJ21" s="21">
        <f>INDEX('[2]Cross-Section Database'!$C$2:$V$2928,MATCH(AF21,'[2]Cross-Section Database'!$B$2:$B$2928,0),5)</f>
        <v>5.8419999999999996</v>
      </c>
      <c r="AK21" s="21">
        <v>1194</v>
      </c>
      <c r="AL21" s="21">
        <f>INDEX('[2]Cross-Section Database'!$C$2:$V$3928,MATCH(AF21,'[2]Cross-Section Database'!$B$2:$B$3928,0),11)</f>
        <v>84911210.822399989</v>
      </c>
      <c r="AM21" s="24">
        <f>INDEX('[2]Cross-Section Database'!$C$2:$V$3928,MATCH(AF21,'[2]Cross-Section Database'!$B$2:$B$3928,0),12)</f>
        <v>609598.78079999995</v>
      </c>
      <c r="AN21" s="103">
        <v>15.875</v>
      </c>
      <c r="AO21" s="21">
        <f t="shared" si="8"/>
        <v>190.5</v>
      </c>
      <c r="AP21" s="21">
        <f t="shared" si="9"/>
        <v>307.33999999999997</v>
      </c>
      <c r="AQ21" s="21">
        <v>0</v>
      </c>
      <c r="AR21" s="47">
        <v>0</v>
      </c>
      <c r="AS21" s="306" t="s">
        <v>5807</v>
      </c>
      <c r="AT21" s="163" t="s">
        <v>6134</v>
      </c>
      <c r="AU21" s="21" t="s">
        <v>6134</v>
      </c>
      <c r="AV21" s="21">
        <v>19.05</v>
      </c>
      <c r="AW21" s="163">
        <v>241</v>
      </c>
      <c r="AX21" s="21">
        <f t="shared" si="4"/>
        <v>76.199999999999989</v>
      </c>
      <c r="AY21" s="21">
        <f t="shared" si="5"/>
        <v>76.199999999999989</v>
      </c>
      <c r="AZ21" s="21">
        <v>0</v>
      </c>
      <c r="BA21" s="21">
        <f t="shared" si="10"/>
        <v>101.6</v>
      </c>
      <c r="BB21" s="21">
        <f t="shared" si="1"/>
        <v>154.94</v>
      </c>
      <c r="BC21" s="15" t="s">
        <v>6313</v>
      </c>
      <c r="BD21" s="163" t="s">
        <v>6209</v>
      </c>
      <c r="BE21" s="163" t="s">
        <v>6209</v>
      </c>
      <c r="BF21" s="163">
        <v>2</v>
      </c>
      <c r="BG21" s="163">
        <v>4</v>
      </c>
      <c r="BH21" s="202" t="s">
        <v>5792</v>
      </c>
      <c r="BI21" s="203" t="s">
        <v>5792</v>
      </c>
      <c r="BJ21" s="203" t="s">
        <v>5792</v>
      </c>
      <c r="BK21" s="203" t="s">
        <v>5792</v>
      </c>
      <c r="BL21" s="203" t="s">
        <v>5792</v>
      </c>
      <c r="BM21" s="203" t="s">
        <v>5792</v>
      </c>
      <c r="BN21" s="203" t="s">
        <v>5792</v>
      </c>
      <c r="BO21" s="203" t="s">
        <v>5792</v>
      </c>
      <c r="BP21" s="202" t="s">
        <v>5792</v>
      </c>
      <c r="BQ21" s="203" t="s">
        <v>5792</v>
      </c>
      <c r="BR21" s="203" t="s">
        <v>5792</v>
      </c>
      <c r="BS21" s="203" t="s">
        <v>5792</v>
      </c>
      <c r="BT21" s="203" t="s">
        <v>5792</v>
      </c>
      <c r="BU21" s="203" t="s">
        <v>5792</v>
      </c>
      <c r="BV21" s="218" t="s">
        <v>5792</v>
      </c>
      <c r="BW21" s="203" t="s">
        <v>5792</v>
      </c>
      <c r="BX21" s="203" t="s">
        <v>5792</v>
      </c>
      <c r="BY21" s="203" t="s">
        <v>5792</v>
      </c>
      <c r="BZ21" s="203" t="s">
        <v>5792</v>
      </c>
      <c r="CA21" s="203" t="s">
        <v>5792</v>
      </c>
      <c r="CB21" s="218" t="s">
        <v>5792</v>
      </c>
      <c r="CC21" s="303" t="s">
        <v>4425</v>
      </c>
      <c r="CD21" s="60">
        <v>300</v>
      </c>
      <c r="CE21" s="10">
        <v>312</v>
      </c>
      <c r="CF21" s="60">
        <v>450</v>
      </c>
      <c r="CG21" s="47">
        <v>512</v>
      </c>
      <c r="CH21" s="67">
        <v>200000</v>
      </c>
      <c r="CI21" s="300" t="s">
        <v>4425</v>
      </c>
      <c r="CJ21" s="60">
        <v>300</v>
      </c>
      <c r="CK21" s="47">
        <v>421</v>
      </c>
      <c r="CL21" s="47">
        <v>450</v>
      </c>
      <c r="CM21" s="47">
        <v>554.33849999999995</v>
      </c>
      <c r="CN21" s="67">
        <v>200000</v>
      </c>
      <c r="CO21" s="300" t="s">
        <v>4421</v>
      </c>
      <c r="CP21" s="47">
        <v>250</v>
      </c>
      <c r="CQ21" s="47">
        <v>281.99</v>
      </c>
      <c r="CR21" s="47">
        <v>475</v>
      </c>
      <c r="CS21" s="47">
        <v>504</v>
      </c>
      <c r="CT21" s="61">
        <v>200000</v>
      </c>
      <c r="CU21" s="207" t="s">
        <v>5792</v>
      </c>
      <c r="CV21" s="208" t="s">
        <v>5792</v>
      </c>
      <c r="CW21" s="208" t="s">
        <v>5792</v>
      </c>
      <c r="CX21" s="209" t="s">
        <v>5792</v>
      </c>
      <c r="CY21" s="207" t="s">
        <v>5792</v>
      </c>
      <c r="CZ21" s="208" t="s">
        <v>5792</v>
      </c>
      <c r="DA21" s="209" t="s">
        <v>5792</v>
      </c>
      <c r="DB21" s="283" t="s">
        <v>5792</v>
      </c>
      <c r="DC21" s="163" t="s">
        <v>4422</v>
      </c>
      <c r="DD21" s="60">
        <v>640</v>
      </c>
      <c r="DE21" s="32">
        <v>730</v>
      </c>
      <c r="DF21" s="60">
        <v>800</v>
      </c>
      <c r="DG21" s="32">
        <v>940</v>
      </c>
      <c r="DH21" s="67">
        <v>200000</v>
      </c>
      <c r="DI21" s="29" t="s">
        <v>15</v>
      </c>
      <c r="DJ21" s="163" t="s">
        <v>4435</v>
      </c>
      <c r="DK21" s="297" t="s">
        <v>4566</v>
      </c>
    </row>
    <row r="22" spans="1:115">
      <c r="A22" s="18">
        <v>17</v>
      </c>
      <c r="B22" s="326"/>
      <c r="C22" s="326"/>
      <c r="D22" s="433"/>
      <c r="E22" s="343"/>
      <c r="F22" s="326"/>
      <c r="G22" s="337"/>
      <c r="H22" s="337"/>
      <c r="I22" s="337"/>
      <c r="J22" s="41" t="s">
        <v>4412</v>
      </c>
      <c r="K22" s="306" t="s">
        <v>4383</v>
      </c>
      <c r="L22" s="163" t="s">
        <v>5792</v>
      </c>
      <c r="M22" s="306" t="s">
        <v>4508</v>
      </c>
      <c r="N22" s="163" t="s">
        <v>4701</v>
      </c>
      <c r="O22" s="18" t="s">
        <v>4507</v>
      </c>
      <c r="P22" s="163" t="s">
        <v>6312</v>
      </c>
      <c r="Q22" s="163" t="s">
        <v>4420</v>
      </c>
      <c r="R22" s="163" t="s">
        <v>6312</v>
      </c>
      <c r="S22" s="163" t="s">
        <v>5792</v>
      </c>
      <c r="T22" s="163" t="s">
        <v>4420</v>
      </c>
      <c r="U22" s="163" t="s">
        <v>5792</v>
      </c>
      <c r="V22" s="163" t="s">
        <v>6049</v>
      </c>
      <c r="W22" s="18">
        <v>6</v>
      </c>
      <c r="X22" s="231">
        <v>0</v>
      </c>
      <c r="Y22" s="18">
        <v>0</v>
      </c>
      <c r="Z22" s="306" t="s">
        <v>522</v>
      </c>
      <c r="AA22" s="21">
        <f>INDEX('[2]Cross-Section Database'!$C$2:$V$2928,MATCH(Z22,'[2]Cross-Section Database'!$B$2:$B$2928,0),3)</f>
        <v>201.42199999999997</v>
      </c>
      <c r="AB22" s="21">
        <f>INDEX('[2]Cross-Section Database'!$C$2:$V$2928,MATCH(Z22,'[2]Cross-Section Database'!$B$2:$B$2928,0),4)</f>
        <v>165.1</v>
      </c>
      <c r="AC22" s="21">
        <f>INDEX('[2]Cross-Section Database'!$C$2:$V$2928,MATCH(Z22,'[2]Cross-Section Database'!$B$2:$B$2928,0),6)</f>
        <v>10.16</v>
      </c>
      <c r="AD22" s="21">
        <f>INDEX('[2]Cross-Section Database'!$C$2:$V$2928,MATCH(Z22,'[2]Cross-Section Database'!$B$2:$B$2928,0),5)</f>
        <v>6.2229999999999999</v>
      </c>
      <c r="AE22" s="21">
        <v>610</v>
      </c>
      <c r="AF22" s="306" t="s">
        <v>462</v>
      </c>
      <c r="AG22" s="21">
        <f>INDEX('[2]Cross-Section Database'!$C$2:$V$2928,MATCH(AF22,'[2]Cross-Section Database'!$B$2:$B$2928,0),3)</f>
        <v>309.87999999999994</v>
      </c>
      <c r="AH22" s="21">
        <f>INDEX('[2]Cross-Section Database'!$C$2:$V$2928,MATCH(AF22,'[2]Cross-Section Database'!$B$2:$B$2928,0),4)</f>
        <v>164.846</v>
      </c>
      <c r="AI22" s="21">
        <f>INDEX('[2]Cross-Section Database'!$C$2:$V$2928,MATCH(AF22,'[2]Cross-Section Database'!$B$2:$B$2928,0),6)</f>
        <v>9.6519999999999992</v>
      </c>
      <c r="AJ22" s="21">
        <f>INDEX('[2]Cross-Section Database'!$C$2:$V$2928,MATCH(AF22,'[2]Cross-Section Database'!$B$2:$B$2928,0),5)</f>
        <v>5.8419999999999996</v>
      </c>
      <c r="AK22" s="21">
        <v>1194</v>
      </c>
      <c r="AL22" s="21">
        <f>INDEX('[2]Cross-Section Database'!$C$2:$V$3928,MATCH(AF22,'[2]Cross-Section Database'!$B$2:$B$3928,0),11)</f>
        <v>84911210.822399989</v>
      </c>
      <c r="AM22" s="24">
        <f>INDEX('[2]Cross-Section Database'!$C$2:$V$3928,MATCH(AF22,'[2]Cross-Section Database'!$B$2:$B$3928,0),12)</f>
        <v>609598.78079999995</v>
      </c>
      <c r="AN22" s="103">
        <v>9.5250000000000004</v>
      </c>
      <c r="AO22" s="21">
        <f t="shared" si="8"/>
        <v>190.5</v>
      </c>
      <c r="AP22" s="21">
        <f t="shared" si="9"/>
        <v>307.33999999999997</v>
      </c>
      <c r="AQ22" s="21">
        <v>0</v>
      </c>
      <c r="AR22" s="47">
        <v>0</v>
      </c>
      <c r="AS22" s="306" t="s">
        <v>5807</v>
      </c>
      <c r="AT22" s="163" t="s">
        <v>6134</v>
      </c>
      <c r="AU22" s="21" t="s">
        <v>6134</v>
      </c>
      <c r="AV22" s="21">
        <v>19.05</v>
      </c>
      <c r="AW22" s="163">
        <v>241</v>
      </c>
      <c r="AX22" s="21">
        <f t="shared" si="4"/>
        <v>76.199999999999989</v>
      </c>
      <c r="AY22" s="21">
        <f t="shared" si="5"/>
        <v>76.199999999999989</v>
      </c>
      <c r="AZ22" s="21">
        <v>0</v>
      </c>
      <c r="BA22" s="21">
        <f t="shared" si="10"/>
        <v>101.6</v>
      </c>
      <c r="BB22" s="21">
        <f t="shared" si="1"/>
        <v>154.94</v>
      </c>
      <c r="BC22" s="15" t="s">
        <v>6313</v>
      </c>
      <c r="BD22" s="163" t="s">
        <v>6209</v>
      </c>
      <c r="BE22" s="163" t="s">
        <v>6209</v>
      </c>
      <c r="BF22" s="163">
        <v>2</v>
      </c>
      <c r="BG22" s="163">
        <v>4</v>
      </c>
      <c r="BH22" s="202" t="s">
        <v>5792</v>
      </c>
      <c r="BI22" s="203" t="s">
        <v>5792</v>
      </c>
      <c r="BJ22" s="203" t="s">
        <v>5792</v>
      </c>
      <c r="BK22" s="203" t="s">
        <v>5792</v>
      </c>
      <c r="BL22" s="203" t="s">
        <v>5792</v>
      </c>
      <c r="BM22" s="203" t="s">
        <v>5792</v>
      </c>
      <c r="BN22" s="203" t="s">
        <v>5792</v>
      </c>
      <c r="BO22" s="203" t="s">
        <v>5792</v>
      </c>
      <c r="BP22" s="202" t="s">
        <v>5792</v>
      </c>
      <c r="BQ22" s="203" t="s">
        <v>5792</v>
      </c>
      <c r="BR22" s="203" t="s">
        <v>5792</v>
      </c>
      <c r="BS22" s="203" t="s">
        <v>5792</v>
      </c>
      <c r="BT22" s="203" t="s">
        <v>5792</v>
      </c>
      <c r="BU22" s="203" t="s">
        <v>5792</v>
      </c>
      <c r="BV22" s="218" t="s">
        <v>5792</v>
      </c>
      <c r="BW22" s="203" t="s">
        <v>5792</v>
      </c>
      <c r="BX22" s="203" t="s">
        <v>5792</v>
      </c>
      <c r="BY22" s="203" t="s">
        <v>5792</v>
      </c>
      <c r="BZ22" s="203" t="s">
        <v>5792</v>
      </c>
      <c r="CA22" s="203" t="s">
        <v>5792</v>
      </c>
      <c r="CB22" s="218" t="s">
        <v>5792</v>
      </c>
      <c r="CC22" s="303" t="s">
        <v>4425</v>
      </c>
      <c r="CD22" s="60">
        <v>300</v>
      </c>
      <c r="CE22" s="303">
        <v>399</v>
      </c>
      <c r="CF22" s="60">
        <v>450</v>
      </c>
      <c r="CG22" s="47">
        <v>539</v>
      </c>
      <c r="CH22" s="67">
        <v>200000</v>
      </c>
      <c r="CI22" s="300" t="s">
        <v>4425</v>
      </c>
      <c r="CJ22" s="60">
        <v>300</v>
      </c>
      <c r="CK22" s="47">
        <v>421</v>
      </c>
      <c r="CL22" s="47">
        <v>450</v>
      </c>
      <c r="CM22" s="47">
        <v>554.33849999999995</v>
      </c>
      <c r="CN22" s="67">
        <v>200000</v>
      </c>
      <c r="CO22" s="300" t="s">
        <v>4421</v>
      </c>
      <c r="CP22" s="47">
        <v>250</v>
      </c>
      <c r="CQ22" s="47">
        <v>433.68</v>
      </c>
      <c r="CR22" s="47">
        <v>475</v>
      </c>
      <c r="CS22" s="47">
        <v>752.2</v>
      </c>
      <c r="CT22" s="61">
        <v>200000</v>
      </c>
      <c r="CU22" s="207" t="s">
        <v>5792</v>
      </c>
      <c r="CV22" s="208" t="s">
        <v>5792</v>
      </c>
      <c r="CW22" s="208" t="s">
        <v>5792</v>
      </c>
      <c r="CX22" s="209" t="s">
        <v>5792</v>
      </c>
      <c r="CY22" s="207" t="s">
        <v>5792</v>
      </c>
      <c r="CZ22" s="208" t="s">
        <v>5792</v>
      </c>
      <c r="DA22" s="209" t="s">
        <v>5792</v>
      </c>
      <c r="DB22" s="283" t="s">
        <v>5792</v>
      </c>
      <c r="DC22" s="163" t="s">
        <v>4422</v>
      </c>
      <c r="DD22" s="60">
        <v>640</v>
      </c>
      <c r="DE22" s="32">
        <v>730</v>
      </c>
      <c r="DF22" s="60">
        <v>800</v>
      </c>
      <c r="DG22" s="32">
        <v>940</v>
      </c>
      <c r="DH22" s="67">
        <v>200000</v>
      </c>
      <c r="DI22" s="41" t="s">
        <v>4770</v>
      </c>
      <c r="DJ22" s="163" t="s">
        <v>4435</v>
      </c>
      <c r="DK22" s="297" t="s">
        <v>4566</v>
      </c>
    </row>
    <row r="23" spans="1:115">
      <c r="A23" s="18">
        <v>18</v>
      </c>
      <c r="B23" s="326"/>
      <c r="C23" s="326"/>
      <c r="D23" s="433"/>
      <c r="E23" s="343"/>
      <c r="F23" s="326"/>
      <c r="G23" s="337"/>
      <c r="H23" s="337"/>
      <c r="I23" s="337"/>
      <c r="J23" s="41" t="s">
        <v>4413</v>
      </c>
      <c r="K23" s="306" t="s">
        <v>4383</v>
      </c>
      <c r="L23" s="163" t="s">
        <v>5792</v>
      </c>
      <c r="M23" s="306" t="s">
        <v>4508</v>
      </c>
      <c r="N23" s="163" t="s">
        <v>4701</v>
      </c>
      <c r="O23" s="18" t="s">
        <v>4507</v>
      </c>
      <c r="P23" s="163" t="s">
        <v>6312</v>
      </c>
      <c r="Q23" s="163" t="s">
        <v>4420</v>
      </c>
      <c r="R23" s="163" t="s">
        <v>6312</v>
      </c>
      <c r="S23" s="163" t="s">
        <v>5792</v>
      </c>
      <c r="T23" s="163" t="s">
        <v>4420</v>
      </c>
      <c r="U23" s="163" t="s">
        <v>5792</v>
      </c>
      <c r="V23" s="163" t="s">
        <v>6049</v>
      </c>
      <c r="W23" s="18">
        <v>6</v>
      </c>
      <c r="X23" s="231">
        <v>0</v>
      </c>
      <c r="Y23" s="18">
        <v>0</v>
      </c>
      <c r="Z23" s="306" t="s">
        <v>522</v>
      </c>
      <c r="AA23" s="21">
        <f>INDEX('[2]Cross-Section Database'!$C$2:$V$2928,MATCH(Z23,'[2]Cross-Section Database'!$B$2:$B$2928,0),3)</f>
        <v>201.42199999999997</v>
      </c>
      <c r="AB23" s="21">
        <f>INDEX('[2]Cross-Section Database'!$C$2:$V$2928,MATCH(Z23,'[2]Cross-Section Database'!$B$2:$B$2928,0),4)</f>
        <v>165.1</v>
      </c>
      <c r="AC23" s="21">
        <f>INDEX('[2]Cross-Section Database'!$C$2:$V$2928,MATCH(Z23,'[2]Cross-Section Database'!$B$2:$B$2928,0),6)</f>
        <v>10.16</v>
      </c>
      <c r="AD23" s="21">
        <f>INDEX('[2]Cross-Section Database'!$C$2:$V$2928,MATCH(Z23,'[2]Cross-Section Database'!$B$2:$B$2928,0),5)</f>
        <v>6.2229999999999999</v>
      </c>
      <c r="AE23" s="21">
        <v>610</v>
      </c>
      <c r="AF23" s="306" t="s">
        <v>462</v>
      </c>
      <c r="AG23" s="21">
        <f>INDEX('[2]Cross-Section Database'!$C$2:$V$2928,MATCH(AF23,'[2]Cross-Section Database'!$B$2:$B$2928,0),3)</f>
        <v>309.87999999999994</v>
      </c>
      <c r="AH23" s="21">
        <f>INDEX('[2]Cross-Section Database'!$C$2:$V$2928,MATCH(AF23,'[2]Cross-Section Database'!$B$2:$B$2928,0),4)</f>
        <v>164.846</v>
      </c>
      <c r="AI23" s="21">
        <f>INDEX('[2]Cross-Section Database'!$C$2:$V$2928,MATCH(AF23,'[2]Cross-Section Database'!$B$2:$B$2928,0),6)</f>
        <v>9.6519999999999992</v>
      </c>
      <c r="AJ23" s="21">
        <f>INDEX('[2]Cross-Section Database'!$C$2:$V$2928,MATCH(AF23,'[2]Cross-Section Database'!$B$2:$B$2928,0),5)</f>
        <v>5.8419999999999996</v>
      </c>
      <c r="AK23" s="21">
        <v>1194</v>
      </c>
      <c r="AL23" s="21">
        <f>INDEX('[2]Cross-Section Database'!$C$2:$V$3928,MATCH(AF23,'[2]Cross-Section Database'!$B$2:$B$3928,0),11)</f>
        <v>84911210.822399989</v>
      </c>
      <c r="AM23" s="24">
        <f>INDEX('[2]Cross-Section Database'!$C$2:$V$3928,MATCH(AF23,'[2]Cross-Section Database'!$B$2:$B$3928,0),12)</f>
        <v>609598.78079999995</v>
      </c>
      <c r="AN23" s="103">
        <v>12.7</v>
      </c>
      <c r="AO23" s="21">
        <f t="shared" si="8"/>
        <v>190.5</v>
      </c>
      <c r="AP23" s="21">
        <f t="shared" si="9"/>
        <v>307.33999999999997</v>
      </c>
      <c r="AQ23" s="21">
        <v>0</v>
      </c>
      <c r="AR23" s="47">
        <v>0</v>
      </c>
      <c r="AS23" s="306" t="s">
        <v>5807</v>
      </c>
      <c r="AT23" s="163" t="s">
        <v>6134</v>
      </c>
      <c r="AU23" s="21" t="s">
        <v>6134</v>
      </c>
      <c r="AV23" s="21">
        <v>19.05</v>
      </c>
      <c r="AW23" s="163">
        <v>241</v>
      </c>
      <c r="AX23" s="21">
        <f t="shared" si="4"/>
        <v>76.199999999999989</v>
      </c>
      <c r="AY23" s="21">
        <f t="shared" si="5"/>
        <v>76.199999999999989</v>
      </c>
      <c r="AZ23" s="21">
        <v>0</v>
      </c>
      <c r="BA23" s="21">
        <f t="shared" si="10"/>
        <v>101.6</v>
      </c>
      <c r="BB23" s="21">
        <f t="shared" si="1"/>
        <v>154.94</v>
      </c>
      <c r="BC23" s="15" t="s">
        <v>6313</v>
      </c>
      <c r="BD23" s="163" t="s">
        <v>6209</v>
      </c>
      <c r="BE23" s="163" t="s">
        <v>6209</v>
      </c>
      <c r="BF23" s="163">
        <v>2</v>
      </c>
      <c r="BG23" s="163">
        <v>4</v>
      </c>
      <c r="BH23" s="202" t="s">
        <v>5792</v>
      </c>
      <c r="BI23" s="203" t="s">
        <v>5792</v>
      </c>
      <c r="BJ23" s="203" t="s">
        <v>5792</v>
      </c>
      <c r="BK23" s="203" t="s">
        <v>5792</v>
      </c>
      <c r="BL23" s="203" t="s">
        <v>5792</v>
      </c>
      <c r="BM23" s="203" t="s">
        <v>5792</v>
      </c>
      <c r="BN23" s="203" t="s">
        <v>5792</v>
      </c>
      <c r="BO23" s="203" t="s">
        <v>5792</v>
      </c>
      <c r="BP23" s="202" t="s">
        <v>5792</v>
      </c>
      <c r="BQ23" s="203" t="s">
        <v>5792</v>
      </c>
      <c r="BR23" s="203" t="s">
        <v>5792</v>
      </c>
      <c r="BS23" s="203" t="s">
        <v>5792</v>
      </c>
      <c r="BT23" s="203" t="s">
        <v>5792</v>
      </c>
      <c r="BU23" s="203" t="s">
        <v>5792</v>
      </c>
      <c r="BV23" s="218" t="s">
        <v>5792</v>
      </c>
      <c r="BW23" s="203" t="s">
        <v>5792</v>
      </c>
      <c r="BX23" s="203" t="s">
        <v>5792</v>
      </c>
      <c r="BY23" s="203" t="s">
        <v>5792</v>
      </c>
      <c r="BZ23" s="203" t="s">
        <v>5792</v>
      </c>
      <c r="CA23" s="203" t="s">
        <v>5792</v>
      </c>
      <c r="CB23" s="218" t="s">
        <v>5792</v>
      </c>
      <c r="CC23" s="303" t="s">
        <v>4425</v>
      </c>
      <c r="CD23" s="60">
        <v>300</v>
      </c>
      <c r="CE23" s="303">
        <v>399</v>
      </c>
      <c r="CF23" s="60">
        <v>450</v>
      </c>
      <c r="CG23" s="47">
        <v>539</v>
      </c>
      <c r="CH23" s="67">
        <v>200000</v>
      </c>
      <c r="CI23" s="300" t="s">
        <v>4425</v>
      </c>
      <c r="CJ23" s="60">
        <v>300</v>
      </c>
      <c r="CK23" s="47">
        <v>421</v>
      </c>
      <c r="CL23" s="47">
        <v>450</v>
      </c>
      <c r="CM23" s="47">
        <v>554.33849999999995</v>
      </c>
      <c r="CN23" s="67">
        <v>200000</v>
      </c>
      <c r="CO23" s="300" t="s">
        <v>4421</v>
      </c>
      <c r="CP23" s="47">
        <v>250</v>
      </c>
      <c r="CQ23" s="47">
        <v>292.3</v>
      </c>
      <c r="CR23" s="47">
        <v>475</v>
      </c>
      <c r="CS23" s="47">
        <v>490.21699999999998</v>
      </c>
      <c r="CT23" s="61">
        <v>200000</v>
      </c>
      <c r="CU23" s="207" t="s">
        <v>5792</v>
      </c>
      <c r="CV23" s="208" t="s">
        <v>5792</v>
      </c>
      <c r="CW23" s="208" t="s">
        <v>5792</v>
      </c>
      <c r="CX23" s="209" t="s">
        <v>5792</v>
      </c>
      <c r="CY23" s="207" t="s">
        <v>5792</v>
      </c>
      <c r="CZ23" s="208" t="s">
        <v>5792</v>
      </c>
      <c r="DA23" s="209" t="s">
        <v>5792</v>
      </c>
      <c r="DB23" s="283" t="s">
        <v>5792</v>
      </c>
      <c r="DC23" s="163" t="s">
        <v>4422</v>
      </c>
      <c r="DD23" s="60">
        <v>640</v>
      </c>
      <c r="DE23" s="32">
        <v>730</v>
      </c>
      <c r="DF23" s="60">
        <v>800</v>
      </c>
      <c r="DG23" s="32">
        <v>940</v>
      </c>
      <c r="DH23" s="67">
        <v>200000</v>
      </c>
      <c r="DI23" s="41" t="s">
        <v>4771</v>
      </c>
      <c r="DJ23" s="163" t="s">
        <v>4435</v>
      </c>
      <c r="DK23" s="297" t="s">
        <v>4566</v>
      </c>
    </row>
    <row r="24" spans="1:115">
      <c r="A24" s="18">
        <v>19</v>
      </c>
      <c r="B24" s="326"/>
      <c r="C24" s="326"/>
      <c r="D24" s="433"/>
      <c r="E24" s="343"/>
      <c r="F24" s="326"/>
      <c r="G24" s="337"/>
      <c r="H24" s="337"/>
      <c r="I24" s="337"/>
      <c r="J24" s="41" t="s">
        <v>4414</v>
      </c>
      <c r="K24" s="306" t="s">
        <v>4383</v>
      </c>
      <c r="L24" s="163" t="s">
        <v>5792</v>
      </c>
      <c r="M24" s="306" t="s">
        <v>4508</v>
      </c>
      <c r="N24" s="163" t="s">
        <v>4701</v>
      </c>
      <c r="O24" s="18" t="s">
        <v>4507</v>
      </c>
      <c r="P24" s="163" t="s">
        <v>6312</v>
      </c>
      <c r="Q24" s="163" t="s">
        <v>4420</v>
      </c>
      <c r="R24" s="163" t="s">
        <v>6312</v>
      </c>
      <c r="S24" s="163" t="s">
        <v>5792</v>
      </c>
      <c r="T24" s="163" t="s">
        <v>4420</v>
      </c>
      <c r="U24" s="163" t="s">
        <v>5792</v>
      </c>
      <c r="V24" s="163" t="s">
        <v>6049</v>
      </c>
      <c r="W24" s="18">
        <v>6</v>
      </c>
      <c r="X24" s="231">
        <v>0</v>
      </c>
      <c r="Y24" s="18">
        <v>0</v>
      </c>
      <c r="Z24" s="306" t="s">
        <v>522</v>
      </c>
      <c r="AA24" s="21">
        <f>INDEX('[2]Cross-Section Database'!$C$2:$V$2928,MATCH(Z24,'[2]Cross-Section Database'!$B$2:$B$2928,0),3)</f>
        <v>201.42199999999997</v>
      </c>
      <c r="AB24" s="21">
        <f>INDEX('[2]Cross-Section Database'!$C$2:$V$2928,MATCH(Z24,'[2]Cross-Section Database'!$B$2:$B$2928,0),4)</f>
        <v>165.1</v>
      </c>
      <c r="AC24" s="21">
        <f>INDEX('[2]Cross-Section Database'!$C$2:$V$2928,MATCH(Z24,'[2]Cross-Section Database'!$B$2:$B$2928,0),6)</f>
        <v>10.16</v>
      </c>
      <c r="AD24" s="21">
        <f>INDEX('[2]Cross-Section Database'!$C$2:$V$2928,MATCH(Z24,'[2]Cross-Section Database'!$B$2:$B$2928,0),5)</f>
        <v>6.2229999999999999</v>
      </c>
      <c r="AE24" s="21">
        <v>610</v>
      </c>
      <c r="AF24" s="306" t="s">
        <v>462</v>
      </c>
      <c r="AG24" s="21">
        <f>INDEX('[2]Cross-Section Database'!$C$2:$V$2928,MATCH(AF24,'[2]Cross-Section Database'!$B$2:$B$2928,0),3)</f>
        <v>309.87999999999994</v>
      </c>
      <c r="AH24" s="21">
        <f>INDEX('[2]Cross-Section Database'!$C$2:$V$2928,MATCH(AF24,'[2]Cross-Section Database'!$B$2:$B$2928,0),4)</f>
        <v>164.846</v>
      </c>
      <c r="AI24" s="21">
        <f>INDEX('[2]Cross-Section Database'!$C$2:$V$2928,MATCH(AF24,'[2]Cross-Section Database'!$B$2:$B$2928,0),6)</f>
        <v>9.6519999999999992</v>
      </c>
      <c r="AJ24" s="21">
        <f>INDEX('[2]Cross-Section Database'!$C$2:$V$2928,MATCH(AF24,'[2]Cross-Section Database'!$B$2:$B$2928,0),5)</f>
        <v>5.8419999999999996</v>
      </c>
      <c r="AK24" s="21">
        <v>1194</v>
      </c>
      <c r="AL24" s="21">
        <f>INDEX('[2]Cross-Section Database'!$C$2:$V$3928,MATCH(AF24,'[2]Cross-Section Database'!$B$2:$B$3928,0),11)</f>
        <v>84911210.822399989</v>
      </c>
      <c r="AM24" s="24">
        <f>INDEX('[2]Cross-Section Database'!$C$2:$V$3928,MATCH(AF24,'[2]Cross-Section Database'!$B$2:$B$3928,0),12)</f>
        <v>609598.78079999995</v>
      </c>
      <c r="AN24" s="103">
        <v>15.875</v>
      </c>
      <c r="AO24" s="21">
        <f t="shared" si="8"/>
        <v>190.5</v>
      </c>
      <c r="AP24" s="21">
        <f t="shared" si="9"/>
        <v>307.33999999999997</v>
      </c>
      <c r="AQ24" s="21">
        <v>0</v>
      </c>
      <c r="AR24" s="47">
        <v>0</v>
      </c>
      <c r="AS24" s="306" t="s">
        <v>5807</v>
      </c>
      <c r="AT24" s="163" t="s">
        <v>6134</v>
      </c>
      <c r="AU24" s="21" t="s">
        <v>6134</v>
      </c>
      <c r="AV24" s="21">
        <v>19.05</v>
      </c>
      <c r="AW24" s="163">
        <v>241</v>
      </c>
      <c r="AX24" s="21">
        <f t="shared" si="4"/>
        <v>76.199999999999989</v>
      </c>
      <c r="AY24" s="21">
        <f t="shared" si="5"/>
        <v>76.199999999999989</v>
      </c>
      <c r="AZ24" s="21">
        <v>0</v>
      </c>
      <c r="BA24" s="21">
        <f t="shared" si="10"/>
        <v>101.6</v>
      </c>
      <c r="BB24" s="21">
        <f t="shared" si="1"/>
        <v>154.94</v>
      </c>
      <c r="BC24" s="15" t="s">
        <v>6313</v>
      </c>
      <c r="BD24" s="163" t="s">
        <v>6209</v>
      </c>
      <c r="BE24" s="163" t="s">
        <v>6209</v>
      </c>
      <c r="BF24" s="163">
        <v>2</v>
      </c>
      <c r="BG24" s="163">
        <v>4</v>
      </c>
      <c r="BH24" s="202" t="s">
        <v>5792</v>
      </c>
      <c r="BI24" s="203" t="s">
        <v>5792</v>
      </c>
      <c r="BJ24" s="203" t="s">
        <v>5792</v>
      </c>
      <c r="BK24" s="203" t="s">
        <v>5792</v>
      </c>
      <c r="BL24" s="203" t="s">
        <v>5792</v>
      </c>
      <c r="BM24" s="203" t="s">
        <v>5792</v>
      </c>
      <c r="BN24" s="203" t="s">
        <v>5792</v>
      </c>
      <c r="BO24" s="203" t="s">
        <v>5792</v>
      </c>
      <c r="BP24" s="202" t="s">
        <v>5792</v>
      </c>
      <c r="BQ24" s="203" t="s">
        <v>5792</v>
      </c>
      <c r="BR24" s="203" t="s">
        <v>5792</v>
      </c>
      <c r="BS24" s="203" t="s">
        <v>5792</v>
      </c>
      <c r="BT24" s="203" t="s">
        <v>5792</v>
      </c>
      <c r="BU24" s="203" t="s">
        <v>5792</v>
      </c>
      <c r="BV24" s="218" t="s">
        <v>5792</v>
      </c>
      <c r="BW24" s="203" t="s">
        <v>5792</v>
      </c>
      <c r="BX24" s="203" t="s">
        <v>5792</v>
      </c>
      <c r="BY24" s="203" t="s">
        <v>5792</v>
      </c>
      <c r="BZ24" s="203" t="s">
        <v>5792</v>
      </c>
      <c r="CA24" s="203" t="s">
        <v>5792</v>
      </c>
      <c r="CB24" s="218" t="s">
        <v>5792</v>
      </c>
      <c r="CC24" s="303" t="s">
        <v>4425</v>
      </c>
      <c r="CD24" s="60">
        <v>300</v>
      </c>
      <c r="CE24" s="303">
        <v>399</v>
      </c>
      <c r="CF24" s="60">
        <v>450</v>
      </c>
      <c r="CG24" s="47">
        <v>539</v>
      </c>
      <c r="CH24" s="67">
        <v>200000</v>
      </c>
      <c r="CI24" s="300" t="s">
        <v>4425</v>
      </c>
      <c r="CJ24" s="60">
        <v>300</v>
      </c>
      <c r="CK24" s="47">
        <v>421</v>
      </c>
      <c r="CL24" s="47">
        <v>450</v>
      </c>
      <c r="CM24" s="47">
        <v>554.33849999999995</v>
      </c>
      <c r="CN24" s="67">
        <v>200000</v>
      </c>
      <c r="CO24" s="300" t="s">
        <v>4421</v>
      </c>
      <c r="CP24" s="47">
        <v>250</v>
      </c>
      <c r="CQ24" s="47">
        <v>281.99</v>
      </c>
      <c r="CR24" s="47">
        <v>475</v>
      </c>
      <c r="CS24" s="47">
        <v>504</v>
      </c>
      <c r="CT24" s="61">
        <v>200000</v>
      </c>
      <c r="CU24" s="207" t="s">
        <v>5792</v>
      </c>
      <c r="CV24" s="208" t="s">
        <v>5792</v>
      </c>
      <c r="CW24" s="208" t="s">
        <v>5792</v>
      </c>
      <c r="CX24" s="209" t="s">
        <v>5792</v>
      </c>
      <c r="CY24" s="207" t="s">
        <v>5792</v>
      </c>
      <c r="CZ24" s="208" t="s">
        <v>5792</v>
      </c>
      <c r="DA24" s="209" t="s">
        <v>5792</v>
      </c>
      <c r="DB24" s="283" t="s">
        <v>5792</v>
      </c>
      <c r="DC24" s="163" t="s">
        <v>4422</v>
      </c>
      <c r="DD24" s="60">
        <v>640</v>
      </c>
      <c r="DE24" s="32">
        <v>730</v>
      </c>
      <c r="DF24" s="60">
        <v>800</v>
      </c>
      <c r="DG24" s="32">
        <v>940</v>
      </c>
      <c r="DH24" s="67">
        <v>200000</v>
      </c>
      <c r="DI24" s="41" t="s">
        <v>15</v>
      </c>
      <c r="DJ24" s="163" t="s">
        <v>4435</v>
      </c>
      <c r="DK24" s="297" t="s">
        <v>4566</v>
      </c>
    </row>
    <row r="25" spans="1:115">
      <c r="A25" s="18">
        <v>20</v>
      </c>
      <c r="B25" s="326"/>
      <c r="C25" s="326"/>
      <c r="D25" s="433"/>
      <c r="E25" s="343"/>
      <c r="F25" s="326"/>
      <c r="G25" s="337"/>
      <c r="H25" s="337"/>
      <c r="I25" s="337"/>
      <c r="J25" s="41" t="s">
        <v>4415</v>
      </c>
      <c r="K25" s="306" t="s">
        <v>4383</v>
      </c>
      <c r="L25" s="163" t="s">
        <v>5792</v>
      </c>
      <c r="M25" s="306" t="s">
        <v>4508</v>
      </c>
      <c r="N25" s="163" t="s">
        <v>4701</v>
      </c>
      <c r="O25" s="18" t="s">
        <v>4507</v>
      </c>
      <c r="P25" s="163" t="s">
        <v>6312</v>
      </c>
      <c r="Q25" s="163" t="s">
        <v>4420</v>
      </c>
      <c r="R25" s="163" t="s">
        <v>6169</v>
      </c>
      <c r="S25" s="163">
        <v>6</v>
      </c>
      <c r="T25" s="163" t="s">
        <v>4420</v>
      </c>
      <c r="U25" s="163" t="s">
        <v>5792</v>
      </c>
      <c r="V25" s="163" t="s">
        <v>6049</v>
      </c>
      <c r="W25" s="18">
        <v>6</v>
      </c>
      <c r="X25" s="231">
        <v>0</v>
      </c>
      <c r="Y25" s="18">
        <v>0</v>
      </c>
      <c r="Z25" s="306" t="s">
        <v>522</v>
      </c>
      <c r="AA25" s="21">
        <f>INDEX('[2]Cross-Section Database'!$C$2:$V$2928,MATCH(Z25,'[2]Cross-Section Database'!$B$2:$B$2928,0),3)</f>
        <v>201.42199999999997</v>
      </c>
      <c r="AB25" s="21">
        <f>INDEX('[2]Cross-Section Database'!$C$2:$V$2928,MATCH(Z25,'[2]Cross-Section Database'!$B$2:$B$2928,0),4)</f>
        <v>165.1</v>
      </c>
      <c r="AC25" s="21">
        <f>INDEX('[2]Cross-Section Database'!$C$2:$V$2928,MATCH(Z25,'[2]Cross-Section Database'!$B$2:$B$2928,0),6)</f>
        <v>10.16</v>
      </c>
      <c r="AD25" s="21">
        <f>INDEX('[2]Cross-Section Database'!$C$2:$V$2928,MATCH(Z25,'[2]Cross-Section Database'!$B$2:$B$2928,0),5)</f>
        <v>6.2229999999999999</v>
      </c>
      <c r="AE25" s="21">
        <v>610</v>
      </c>
      <c r="AF25" s="306" t="s">
        <v>462</v>
      </c>
      <c r="AG25" s="21">
        <f>INDEX('[2]Cross-Section Database'!$C$2:$V$2928,MATCH(AF25,'[2]Cross-Section Database'!$B$2:$B$2928,0),3)</f>
        <v>309.87999999999994</v>
      </c>
      <c r="AH25" s="21">
        <f>INDEX('[2]Cross-Section Database'!$C$2:$V$2928,MATCH(AF25,'[2]Cross-Section Database'!$B$2:$B$2928,0),4)</f>
        <v>164.846</v>
      </c>
      <c r="AI25" s="21">
        <f>INDEX('[2]Cross-Section Database'!$C$2:$V$2928,MATCH(AF25,'[2]Cross-Section Database'!$B$2:$B$2928,0),6)</f>
        <v>9.6519999999999992</v>
      </c>
      <c r="AJ25" s="21">
        <f>INDEX('[2]Cross-Section Database'!$C$2:$V$2928,MATCH(AF25,'[2]Cross-Section Database'!$B$2:$B$2928,0),5)</f>
        <v>5.8419999999999996</v>
      </c>
      <c r="AK25" s="21">
        <v>1194</v>
      </c>
      <c r="AL25" s="21">
        <f>INDEX('[2]Cross-Section Database'!$C$2:$V$3928,MATCH(AF25,'[2]Cross-Section Database'!$B$2:$B$3928,0),11)</f>
        <v>84911210.822399989</v>
      </c>
      <c r="AM25" s="24">
        <f>INDEX('[2]Cross-Section Database'!$C$2:$V$3928,MATCH(AF25,'[2]Cross-Section Database'!$B$2:$B$3928,0),12)</f>
        <v>609598.78079999995</v>
      </c>
      <c r="AN25" s="103">
        <v>9.5250000000000004</v>
      </c>
      <c r="AO25" s="21">
        <f t="shared" si="8"/>
        <v>190.5</v>
      </c>
      <c r="AP25" s="21">
        <f t="shared" si="9"/>
        <v>307.33999999999997</v>
      </c>
      <c r="AQ25" s="21">
        <v>0</v>
      </c>
      <c r="AR25" s="47">
        <v>0</v>
      </c>
      <c r="AS25" s="306" t="s">
        <v>5807</v>
      </c>
      <c r="AT25" s="163" t="s">
        <v>6134</v>
      </c>
      <c r="AU25" s="21" t="s">
        <v>6134</v>
      </c>
      <c r="AV25" s="21">
        <v>19.05</v>
      </c>
      <c r="AW25" s="163">
        <v>241</v>
      </c>
      <c r="AX25" s="21">
        <f t="shared" si="4"/>
        <v>76.199999999999989</v>
      </c>
      <c r="AY25" s="21">
        <f t="shared" si="5"/>
        <v>76.199999999999989</v>
      </c>
      <c r="AZ25" s="21">
        <v>0</v>
      </c>
      <c r="BA25" s="21">
        <f t="shared" si="10"/>
        <v>101.6</v>
      </c>
      <c r="BB25" s="21">
        <f t="shared" si="1"/>
        <v>154.94</v>
      </c>
      <c r="BC25" s="15" t="s">
        <v>6313</v>
      </c>
      <c r="BD25" s="163" t="s">
        <v>6209</v>
      </c>
      <c r="BE25" s="163" t="s">
        <v>6209</v>
      </c>
      <c r="BF25" s="163">
        <v>2</v>
      </c>
      <c r="BG25" s="163">
        <v>4</v>
      </c>
      <c r="BH25" s="202" t="s">
        <v>5792</v>
      </c>
      <c r="BI25" s="203" t="s">
        <v>5792</v>
      </c>
      <c r="BJ25" s="203" t="s">
        <v>5792</v>
      </c>
      <c r="BK25" s="203" t="s">
        <v>5792</v>
      </c>
      <c r="BL25" s="203" t="s">
        <v>5792</v>
      </c>
      <c r="BM25" s="203" t="s">
        <v>5792</v>
      </c>
      <c r="BN25" s="203" t="s">
        <v>5792</v>
      </c>
      <c r="BO25" s="203" t="s">
        <v>5792</v>
      </c>
      <c r="BP25" s="202" t="s">
        <v>5792</v>
      </c>
      <c r="BQ25" s="203" t="s">
        <v>5792</v>
      </c>
      <c r="BR25" s="203" t="s">
        <v>5792</v>
      </c>
      <c r="BS25" s="203" t="s">
        <v>5792</v>
      </c>
      <c r="BT25" s="203" t="s">
        <v>5792</v>
      </c>
      <c r="BU25" s="203" t="s">
        <v>5792</v>
      </c>
      <c r="BV25" s="218" t="s">
        <v>5792</v>
      </c>
      <c r="BW25" s="203" t="s">
        <v>5792</v>
      </c>
      <c r="BX25" s="203" t="s">
        <v>5792</v>
      </c>
      <c r="BY25" s="203" t="s">
        <v>5792</v>
      </c>
      <c r="BZ25" s="203" t="s">
        <v>5792</v>
      </c>
      <c r="CA25" s="203" t="s">
        <v>5792</v>
      </c>
      <c r="CB25" s="218" t="s">
        <v>5792</v>
      </c>
      <c r="CC25" s="303" t="s">
        <v>4425</v>
      </c>
      <c r="CD25" s="60">
        <v>300</v>
      </c>
      <c r="CE25" s="303">
        <v>399</v>
      </c>
      <c r="CF25" s="60">
        <v>450</v>
      </c>
      <c r="CG25" s="47">
        <v>539</v>
      </c>
      <c r="CH25" s="67">
        <v>200000</v>
      </c>
      <c r="CI25" s="300" t="s">
        <v>4425</v>
      </c>
      <c r="CJ25" s="60">
        <v>300</v>
      </c>
      <c r="CK25" s="47">
        <v>421</v>
      </c>
      <c r="CL25" s="47">
        <v>450</v>
      </c>
      <c r="CM25" s="47">
        <v>554.33849999999995</v>
      </c>
      <c r="CN25" s="67">
        <v>200000</v>
      </c>
      <c r="CO25" s="300" t="s">
        <v>4421</v>
      </c>
      <c r="CP25" s="47">
        <v>250</v>
      </c>
      <c r="CQ25" s="47">
        <v>433.68</v>
      </c>
      <c r="CR25" s="47">
        <v>475</v>
      </c>
      <c r="CS25" s="47">
        <v>752.2</v>
      </c>
      <c r="CT25" s="61">
        <v>200000</v>
      </c>
      <c r="CU25" s="207" t="s">
        <v>5792</v>
      </c>
      <c r="CV25" s="208" t="s">
        <v>5792</v>
      </c>
      <c r="CW25" s="208" t="s">
        <v>5792</v>
      </c>
      <c r="CX25" s="209" t="s">
        <v>5792</v>
      </c>
      <c r="CY25" s="207" t="s">
        <v>5792</v>
      </c>
      <c r="CZ25" s="208" t="s">
        <v>5792</v>
      </c>
      <c r="DA25" s="209" t="s">
        <v>5792</v>
      </c>
      <c r="DB25" s="283" t="s">
        <v>5792</v>
      </c>
      <c r="DC25" s="163" t="s">
        <v>4422</v>
      </c>
      <c r="DD25" s="60">
        <v>640</v>
      </c>
      <c r="DE25" s="32">
        <v>730</v>
      </c>
      <c r="DF25" s="60">
        <v>800</v>
      </c>
      <c r="DG25" s="32">
        <v>940</v>
      </c>
      <c r="DH25" s="67">
        <v>200000</v>
      </c>
      <c r="DI25" s="29" t="s">
        <v>4770</v>
      </c>
      <c r="DJ25" s="163" t="s">
        <v>4435</v>
      </c>
      <c r="DK25" s="297" t="s">
        <v>4566</v>
      </c>
    </row>
    <row r="26" spans="1:115">
      <c r="A26" s="18">
        <v>21</v>
      </c>
      <c r="B26" s="326"/>
      <c r="C26" s="326"/>
      <c r="D26" s="433"/>
      <c r="E26" s="343"/>
      <c r="F26" s="326"/>
      <c r="G26" s="337"/>
      <c r="H26" s="337"/>
      <c r="I26" s="337"/>
      <c r="J26" s="41" t="s">
        <v>4416</v>
      </c>
      <c r="K26" s="306" t="s">
        <v>4383</v>
      </c>
      <c r="L26" s="163" t="s">
        <v>5792</v>
      </c>
      <c r="M26" s="306" t="s">
        <v>4508</v>
      </c>
      <c r="N26" s="163" t="s">
        <v>4701</v>
      </c>
      <c r="O26" s="18" t="s">
        <v>4507</v>
      </c>
      <c r="P26" s="163" t="s">
        <v>6312</v>
      </c>
      <c r="Q26" s="163" t="s">
        <v>4420</v>
      </c>
      <c r="R26" s="163" t="s">
        <v>6169</v>
      </c>
      <c r="S26" s="163">
        <v>6</v>
      </c>
      <c r="T26" s="163" t="s">
        <v>4420</v>
      </c>
      <c r="U26" s="163" t="s">
        <v>5792</v>
      </c>
      <c r="V26" s="163" t="s">
        <v>6049</v>
      </c>
      <c r="W26" s="18">
        <v>6</v>
      </c>
      <c r="X26" s="231">
        <v>0</v>
      </c>
      <c r="Y26" s="18">
        <v>0</v>
      </c>
      <c r="Z26" s="306" t="s">
        <v>522</v>
      </c>
      <c r="AA26" s="21">
        <f>INDEX('[2]Cross-Section Database'!$C$2:$V$2928,MATCH(Z26,'[2]Cross-Section Database'!$B$2:$B$2928,0),3)</f>
        <v>201.42199999999997</v>
      </c>
      <c r="AB26" s="21">
        <f>INDEX('[2]Cross-Section Database'!$C$2:$V$2928,MATCH(Z26,'[2]Cross-Section Database'!$B$2:$B$2928,0),4)</f>
        <v>165.1</v>
      </c>
      <c r="AC26" s="21">
        <f>INDEX('[2]Cross-Section Database'!$C$2:$V$2928,MATCH(Z26,'[2]Cross-Section Database'!$B$2:$B$2928,0),6)</f>
        <v>10.16</v>
      </c>
      <c r="AD26" s="21">
        <f>INDEX('[2]Cross-Section Database'!$C$2:$V$2928,MATCH(Z26,'[2]Cross-Section Database'!$B$2:$B$2928,0),5)</f>
        <v>6.2229999999999999</v>
      </c>
      <c r="AE26" s="21">
        <v>610</v>
      </c>
      <c r="AF26" s="306" t="s">
        <v>462</v>
      </c>
      <c r="AG26" s="21">
        <f>INDEX('[2]Cross-Section Database'!$C$2:$V$2928,MATCH(AF26,'[2]Cross-Section Database'!$B$2:$B$2928,0),3)</f>
        <v>309.87999999999994</v>
      </c>
      <c r="AH26" s="21">
        <f>INDEX('[2]Cross-Section Database'!$C$2:$V$2928,MATCH(AF26,'[2]Cross-Section Database'!$B$2:$B$2928,0),4)</f>
        <v>164.846</v>
      </c>
      <c r="AI26" s="21">
        <f>INDEX('[2]Cross-Section Database'!$C$2:$V$2928,MATCH(AF26,'[2]Cross-Section Database'!$B$2:$B$2928,0),6)</f>
        <v>9.6519999999999992</v>
      </c>
      <c r="AJ26" s="21">
        <f>INDEX('[2]Cross-Section Database'!$C$2:$V$2928,MATCH(AF26,'[2]Cross-Section Database'!$B$2:$B$2928,0),5)</f>
        <v>5.8419999999999996</v>
      </c>
      <c r="AK26" s="21">
        <v>1194</v>
      </c>
      <c r="AL26" s="21">
        <f>INDEX('[2]Cross-Section Database'!$C$2:$V$3928,MATCH(AF26,'[2]Cross-Section Database'!$B$2:$B$3928,0),11)</f>
        <v>84911210.822399989</v>
      </c>
      <c r="AM26" s="24">
        <f>INDEX('[2]Cross-Section Database'!$C$2:$V$3928,MATCH(AF26,'[2]Cross-Section Database'!$B$2:$B$3928,0),12)</f>
        <v>609598.78079999995</v>
      </c>
      <c r="AN26" s="103">
        <v>12.7</v>
      </c>
      <c r="AO26" s="21">
        <f t="shared" si="8"/>
        <v>190.5</v>
      </c>
      <c r="AP26" s="21">
        <f t="shared" si="9"/>
        <v>307.33999999999997</v>
      </c>
      <c r="AQ26" s="21">
        <v>0</v>
      </c>
      <c r="AR26" s="47">
        <v>0</v>
      </c>
      <c r="AS26" s="306" t="s">
        <v>5807</v>
      </c>
      <c r="AT26" s="163" t="s">
        <v>6134</v>
      </c>
      <c r="AU26" s="21" t="s">
        <v>6134</v>
      </c>
      <c r="AV26" s="21">
        <v>19.05</v>
      </c>
      <c r="AW26" s="163">
        <v>241</v>
      </c>
      <c r="AX26" s="21">
        <f t="shared" si="4"/>
        <v>76.199999999999989</v>
      </c>
      <c r="AY26" s="21">
        <f t="shared" si="5"/>
        <v>76.199999999999989</v>
      </c>
      <c r="AZ26" s="21">
        <v>0</v>
      </c>
      <c r="BA26" s="21">
        <f t="shared" si="10"/>
        <v>101.6</v>
      </c>
      <c r="BB26" s="21">
        <f t="shared" si="1"/>
        <v>154.94</v>
      </c>
      <c r="BC26" s="15" t="s">
        <v>6313</v>
      </c>
      <c r="BD26" s="163" t="s">
        <v>6209</v>
      </c>
      <c r="BE26" s="163" t="s">
        <v>6209</v>
      </c>
      <c r="BF26" s="163">
        <v>2</v>
      </c>
      <c r="BG26" s="163">
        <v>4</v>
      </c>
      <c r="BH26" s="202" t="s">
        <v>5792</v>
      </c>
      <c r="BI26" s="203" t="s">
        <v>5792</v>
      </c>
      <c r="BJ26" s="203" t="s">
        <v>5792</v>
      </c>
      <c r="BK26" s="203" t="s">
        <v>5792</v>
      </c>
      <c r="BL26" s="203" t="s">
        <v>5792</v>
      </c>
      <c r="BM26" s="203" t="s">
        <v>5792</v>
      </c>
      <c r="BN26" s="203" t="s">
        <v>5792</v>
      </c>
      <c r="BO26" s="203" t="s">
        <v>5792</v>
      </c>
      <c r="BP26" s="202" t="s">
        <v>5792</v>
      </c>
      <c r="BQ26" s="203" t="s">
        <v>5792</v>
      </c>
      <c r="BR26" s="203" t="s">
        <v>5792</v>
      </c>
      <c r="BS26" s="203" t="s">
        <v>5792</v>
      </c>
      <c r="BT26" s="203" t="s">
        <v>5792</v>
      </c>
      <c r="BU26" s="203" t="s">
        <v>5792</v>
      </c>
      <c r="BV26" s="218" t="s">
        <v>5792</v>
      </c>
      <c r="BW26" s="203" t="s">
        <v>5792</v>
      </c>
      <c r="BX26" s="203" t="s">
        <v>5792</v>
      </c>
      <c r="BY26" s="203" t="s">
        <v>5792</v>
      </c>
      <c r="BZ26" s="203" t="s">
        <v>5792</v>
      </c>
      <c r="CA26" s="203" t="s">
        <v>5792</v>
      </c>
      <c r="CB26" s="218" t="s">
        <v>5792</v>
      </c>
      <c r="CC26" s="303" t="s">
        <v>4425</v>
      </c>
      <c r="CD26" s="60">
        <v>300</v>
      </c>
      <c r="CE26" s="303">
        <v>399</v>
      </c>
      <c r="CF26" s="60">
        <v>450</v>
      </c>
      <c r="CG26" s="47">
        <v>539</v>
      </c>
      <c r="CH26" s="67">
        <v>200000</v>
      </c>
      <c r="CI26" s="300" t="s">
        <v>4425</v>
      </c>
      <c r="CJ26" s="60">
        <v>300</v>
      </c>
      <c r="CK26" s="47">
        <v>421</v>
      </c>
      <c r="CL26" s="47">
        <v>450</v>
      </c>
      <c r="CM26" s="47">
        <v>554.33849999999995</v>
      </c>
      <c r="CN26" s="67">
        <v>200000</v>
      </c>
      <c r="CO26" s="300" t="s">
        <v>4421</v>
      </c>
      <c r="CP26" s="47">
        <v>250</v>
      </c>
      <c r="CQ26" s="47">
        <v>292.3</v>
      </c>
      <c r="CR26" s="47">
        <v>475</v>
      </c>
      <c r="CS26" s="47">
        <v>490.21699999999998</v>
      </c>
      <c r="CT26" s="61">
        <v>200000</v>
      </c>
      <c r="CU26" s="207" t="s">
        <v>5792</v>
      </c>
      <c r="CV26" s="208" t="s">
        <v>5792</v>
      </c>
      <c r="CW26" s="208" t="s">
        <v>5792</v>
      </c>
      <c r="CX26" s="209" t="s">
        <v>5792</v>
      </c>
      <c r="CY26" s="207" t="s">
        <v>5792</v>
      </c>
      <c r="CZ26" s="208" t="s">
        <v>5792</v>
      </c>
      <c r="DA26" s="209" t="s">
        <v>5792</v>
      </c>
      <c r="DB26" s="283" t="s">
        <v>5792</v>
      </c>
      <c r="DC26" s="163" t="s">
        <v>4422</v>
      </c>
      <c r="DD26" s="60">
        <v>640</v>
      </c>
      <c r="DE26" s="32">
        <v>730</v>
      </c>
      <c r="DF26" s="60">
        <v>800</v>
      </c>
      <c r="DG26" s="32">
        <v>940</v>
      </c>
      <c r="DH26" s="67">
        <v>200000</v>
      </c>
      <c r="DI26" s="29" t="s">
        <v>15</v>
      </c>
      <c r="DJ26" s="163" t="s">
        <v>4435</v>
      </c>
      <c r="DK26" s="297" t="s">
        <v>4566</v>
      </c>
    </row>
    <row r="27" spans="1:115">
      <c r="A27" s="18">
        <v>22</v>
      </c>
      <c r="B27" s="326"/>
      <c r="C27" s="326"/>
      <c r="D27" s="433"/>
      <c r="E27" s="343"/>
      <c r="F27" s="326"/>
      <c r="G27" s="337"/>
      <c r="H27" s="337"/>
      <c r="I27" s="337"/>
      <c r="J27" s="41" t="s">
        <v>4417</v>
      </c>
      <c r="K27" s="306" t="s">
        <v>4383</v>
      </c>
      <c r="L27" s="163" t="s">
        <v>5792</v>
      </c>
      <c r="M27" s="306" t="s">
        <v>4508</v>
      </c>
      <c r="N27" s="163" t="s">
        <v>4701</v>
      </c>
      <c r="O27" s="18" t="s">
        <v>4507</v>
      </c>
      <c r="P27" s="163" t="s">
        <v>6312</v>
      </c>
      <c r="Q27" s="163" t="s">
        <v>4420</v>
      </c>
      <c r="R27" s="163" t="s">
        <v>6169</v>
      </c>
      <c r="S27" s="163">
        <v>6</v>
      </c>
      <c r="T27" s="163" t="s">
        <v>4420</v>
      </c>
      <c r="U27" s="163" t="s">
        <v>5792</v>
      </c>
      <c r="V27" s="163" t="s">
        <v>6049</v>
      </c>
      <c r="W27" s="18">
        <v>6</v>
      </c>
      <c r="X27" s="231">
        <v>0</v>
      </c>
      <c r="Y27" s="18">
        <v>0</v>
      </c>
      <c r="Z27" s="306" t="s">
        <v>522</v>
      </c>
      <c r="AA27" s="21">
        <f>INDEX('[2]Cross-Section Database'!$C$2:$V$2928,MATCH(Z27,'[2]Cross-Section Database'!$B$2:$B$2928,0),3)</f>
        <v>201.42199999999997</v>
      </c>
      <c r="AB27" s="21">
        <f>INDEX('[2]Cross-Section Database'!$C$2:$V$2928,MATCH(Z27,'[2]Cross-Section Database'!$B$2:$B$2928,0),4)</f>
        <v>165.1</v>
      </c>
      <c r="AC27" s="21">
        <f>INDEX('[2]Cross-Section Database'!$C$2:$V$2928,MATCH(Z27,'[2]Cross-Section Database'!$B$2:$B$2928,0),6)</f>
        <v>10.16</v>
      </c>
      <c r="AD27" s="21">
        <f>INDEX('[2]Cross-Section Database'!$C$2:$V$2928,MATCH(Z27,'[2]Cross-Section Database'!$B$2:$B$2928,0),5)</f>
        <v>6.2229999999999999</v>
      </c>
      <c r="AE27" s="21">
        <v>610</v>
      </c>
      <c r="AF27" s="306" t="s">
        <v>462</v>
      </c>
      <c r="AG27" s="21">
        <f>INDEX('[2]Cross-Section Database'!$C$2:$V$2928,MATCH(AF27,'[2]Cross-Section Database'!$B$2:$B$2928,0),3)</f>
        <v>309.87999999999994</v>
      </c>
      <c r="AH27" s="21">
        <f>INDEX('[2]Cross-Section Database'!$C$2:$V$2928,MATCH(AF27,'[2]Cross-Section Database'!$B$2:$B$2928,0),4)</f>
        <v>164.846</v>
      </c>
      <c r="AI27" s="21">
        <f>INDEX('[2]Cross-Section Database'!$C$2:$V$2928,MATCH(AF27,'[2]Cross-Section Database'!$B$2:$B$2928,0),6)</f>
        <v>9.6519999999999992</v>
      </c>
      <c r="AJ27" s="21">
        <f>INDEX('[2]Cross-Section Database'!$C$2:$V$2928,MATCH(AF27,'[2]Cross-Section Database'!$B$2:$B$2928,0),5)</f>
        <v>5.8419999999999996</v>
      </c>
      <c r="AK27" s="21">
        <v>1194</v>
      </c>
      <c r="AL27" s="21">
        <f>INDEX('[2]Cross-Section Database'!$C$2:$V$3928,MATCH(AF27,'[2]Cross-Section Database'!$B$2:$B$3928,0),11)</f>
        <v>84911210.822399989</v>
      </c>
      <c r="AM27" s="24">
        <f>INDEX('[2]Cross-Section Database'!$C$2:$V$3928,MATCH(AF27,'[2]Cross-Section Database'!$B$2:$B$3928,0),12)</f>
        <v>609598.78079999995</v>
      </c>
      <c r="AN27" s="103">
        <v>15.875</v>
      </c>
      <c r="AO27" s="21">
        <f t="shared" si="8"/>
        <v>190.5</v>
      </c>
      <c r="AP27" s="21">
        <f t="shared" si="9"/>
        <v>307.33999999999997</v>
      </c>
      <c r="AQ27" s="21">
        <v>0</v>
      </c>
      <c r="AR27" s="47">
        <v>0</v>
      </c>
      <c r="AS27" s="306" t="s">
        <v>5807</v>
      </c>
      <c r="AT27" s="163" t="s">
        <v>6134</v>
      </c>
      <c r="AU27" s="21" t="s">
        <v>6134</v>
      </c>
      <c r="AV27" s="21">
        <v>19.05</v>
      </c>
      <c r="AW27" s="163">
        <v>241</v>
      </c>
      <c r="AX27" s="21">
        <f t="shared" si="4"/>
        <v>76.199999999999989</v>
      </c>
      <c r="AY27" s="21">
        <f t="shared" si="5"/>
        <v>76.199999999999989</v>
      </c>
      <c r="AZ27" s="21">
        <v>0</v>
      </c>
      <c r="BA27" s="21">
        <f t="shared" si="10"/>
        <v>101.6</v>
      </c>
      <c r="BB27" s="21">
        <f t="shared" si="1"/>
        <v>154.94</v>
      </c>
      <c r="BC27" s="15" t="s">
        <v>6313</v>
      </c>
      <c r="BD27" s="163" t="s">
        <v>6209</v>
      </c>
      <c r="BE27" s="163" t="s">
        <v>6209</v>
      </c>
      <c r="BF27" s="163">
        <v>2</v>
      </c>
      <c r="BG27" s="163">
        <v>4</v>
      </c>
      <c r="BH27" s="202" t="s">
        <v>5792</v>
      </c>
      <c r="BI27" s="203" t="s">
        <v>5792</v>
      </c>
      <c r="BJ27" s="203" t="s">
        <v>5792</v>
      </c>
      <c r="BK27" s="203" t="s">
        <v>5792</v>
      </c>
      <c r="BL27" s="203" t="s">
        <v>5792</v>
      </c>
      <c r="BM27" s="203" t="s">
        <v>5792</v>
      </c>
      <c r="BN27" s="203" t="s">
        <v>5792</v>
      </c>
      <c r="BO27" s="203" t="s">
        <v>5792</v>
      </c>
      <c r="BP27" s="202" t="s">
        <v>5792</v>
      </c>
      <c r="BQ27" s="203" t="s">
        <v>5792</v>
      </c>
      <c r="BR27" s="203" t="s">
        <v>5792</v>
      </c>
      <c r="BS27" s="203" t="s">
        <v>5792</v>
      </c>
      <c r="BT27" s="203" t="s">
        <v>5792</v>
      </c>
      <c r="BU27" s="203" t="s">
        <v>5792</v>
      </c>
      <c r="BV27" s="218" t="s">
        <v>5792</v>
      </c>
      <c r="BW27" s="203" t="s">
        <v>5792</v>
      </c>
      <c r="BX27" s="203" t="s">
        <v>5792</v>
      </c>
      <c r="BY27" s="203" t="s">
        <v>5792</v>
      </c>
      <c r="BZ27" s="203" t="s">
        <v>5792</v>
      </c>
      <c r="CA27" s="203" t="s">
        <v>5792</v>
      </c>
      <c r="CB27" s="218" t="s">
        <v>5792</v>
      </c>
      <c r="CC27" s="303" t="s">
        <v>4425</v>
      </c>
      <c r="CD27" s="60">
        <v>300</v>
      </c>
      <c r="CE27" s="303">
        <v>399</v>
      </c>
      <c r="CF27" s="60">
        <v>450</v>
      </c>
      <c r="CG27" s="47">
        <v>539</v>
      </c>
      <c r="CH27" s="67">
        <v>200000</v>
      </c>
      <c r="CI27" s="300" t="s">
        <v>4425</v>
      </c>
      <c r="CJ27" s="60">
        <v>300</v>
      </c>
      <c r="CK27" s="47">
        <v>421</v>
      </c>
      <c r="CL27" s="47">
        <v>450</v>
      </c>
      <c r="CM27" s="47">
        <v>554.33849999999995</v>
      </c>
      <c r="CN27" s="67">
        <v>200000</v>
      </c>
      <c r="CO27" s="300" t="s">
        <v>4421</v>
      </c>
      <c r="CP27" s="47">
        <v>250</v>
      </c>
      <c r="CQ27" s="47">
        <v>294.40600000000001</v>
      </c>
      <c r="CR27" s="47">
        <v>475</v>
      </c>
      <c r="CS27" s="47">
        <v>490.9</v>
      </c>
      <c r="CT27" s="61">
        <v>200000</v>
      </c>
      <c r="CU27" s="207" t="s">
        <v>5792</v>
      </c>
      <c r="CV27" s="208" t="s">
        <v>5792</v>
      </c>
      <c r="CW27" s="208" t="s">
        <v>5792</v>
      </c>
      <c r="CX27" s="209" t="s">
        <v>5792</v>
      </c>
      <c r="CY27" s="207" t="s">
        <v>5792</v>
      </c>
      <c r="CZ27" s="208" t="s">
        <v>5792</v>
      </c>
      <c r="DA27" s="209" t="s">
        <v>5792</v>
      </c>
      <c r="DB27" s="283" t="s">
        <v>5792</v>
      </c>
      <c r="DC27" s="163" t="s">
        <v>4422</v>
      </c>
      <c r="DD27" s="60">
        <v>640</v>
      </c>
      <c r="DE27" s="32">
        <v>730</v>
      </c>
      <c r="DF27" s="60">
        <v>800</v>
      </c>
      <c r="DG27" s="32">
        <v>940</v>
      </c>
      <c r="DH27" s="67">
        <v>200000</v>
      </c>
      <c r="DI27" s="41" t="s">
        <v>15</v>
      </c>
      <c r="DJ27" s="163" t="s">
        <v>4435</v>
      </c>
      <c r="DK27" s="297" t="s">
        <v>4566</v>
      </c>
    </row>
    <row r="28" spans="1:115">
      <c r="A28" s="18">
        <v>23</v>
      </c>
      <c r="B28" s="326"/>
      <c r="C28" s="326"/>
      <c r="D28" s="433"/>
      <c r="E28" s="343"/>
      <c r="F28" s="326"/>
      <c r="G28" s="337"/>
      <c r="H28" s="337"/>
      <c r="I28" s="337"/>
      <c r="J28" s="41" t="s">
        <v>4418</v>
      </c>
      <c r="K28" s="306" t="s">
        <v>4383</v>
      </c>
      <c r="L28" s="163" t="s">
        <v>5792</v>
      </c>
      <c r="M28" s="306" t="s">
        <v>4508</v>
      </c>
      <c r="N28" s="163" t="s">
        <v>4701</v>
      </c>
      <c r="O28" s="18" t="s">
        <v>4507</v>
      </c>
      <c r="P28" s="163" t="s">
        <v>6312</v>
      </c>
      <c r="Q28" s="163" t="s">
        <v>4420</v>
      </c>
      <c r="R28" s="163" t="s">
        <v>6312</v>
      </c>
      <c r="S28" s="163" t="s">
        <v>5792</v>
      </c>
      <c r="T28" s="163" t="s">
        <v>4420</v>
      </c>
      <c r="U28" s="163" t="s">
        <v>5792</v>
      </c>
      <c r="V28" s="163" t="s">
        <v>6049</v>
      </c>
      <c r="W28" s="18">
        <v>6</v>
      </c>
      <c r="X28" s="231">
        <v>0</v>
      </c>
      <c r="Y28" s="18">
        <v>0</v>
      </c>
      <c r="Z28" s="306" t="s">
        <v>512</v>
      </c>
      <c r="AA28" s="21">
        <f>INDEX('[2]Cross-Section Database'!$C$2:$V$2928,MATCH(Z28,'[2]Cross-Section Database'!$B$2:$B$2928,0),3)</f>
        <v>215.89999999999998</v>
      </c>
      <c r="AB28" s="21">
        <f>INDEX('[2]Cross-Section Database'!$C$2:$V$2928,MATCH(Z28,'[2]Cross-Section Database'!$B$2:$B$2928,0),4)</f>
        <v>205.99399999999997</v>
      </c>
      <c r="AC28" s="21">
        <f>INDEX('[2]Cross-Section Database'!$C$2:$V$2928,MATCH(Z28,'[2]Cross-Section Database'!$B$2:$B$2928,0),6)</f>
        <v>17.399000000000001</v>
      </c>
      <c r="AD28" s="21">
        <f>INDEX('[2]Cross-Section Database'!$C$2:$V$2928,MATCH(Z28,'[2]Cross-Section Database'!$B$2:$B$2928,0),5)</f>
        <v>10.16</v>
      </c>
      <c r="AE28" s="21">
        <v>610</v>
      </c>
      <c r="AF28" s="306" t="s">
        <v>462</v>
      </c>
      <c r="AG28" s="21">
        <f>INDEX('[2]Cross-Section Database'!$C$2:$V$2928,MATCH(AF28,'[2]Cross-Section Database'!$B$2:$B$2928,0),3)</f>
        <v>309.87999999999994</v>
      </c>
      <c r="AH28" s="21">
        <f>INDEX('[2]Cross-Section Database'!$C$2:$V$2928,MATCH(AF28,'[2]Cross-Section Database'!$B$2:$B$2928,0),4)</f>
        <v>164.846</v>
      </c>
      <c r="AI28" s="21">
        <f>INDEX('[2]Cross-Section Database'!$C$2:$V$2928,MATCH(AF28,'[2]Cross-Section Database'!$B$2:$B$2928,0),6)</f>
        <v>9.6519999999999992</v>
      </c>
      <c r="AJ28" s="21">
        <f>INDEX('[2]Cross-Section Database'!$C$2:$V$2928,MATCH(AF28,'[2]Cross-Section Database'!$B$2:$B$2928,0),5)</f>
        <v>5.8419999999999996</v>
      </c>
      <c r="AK28" s="21">
        <v>1194</v>
      </c>
      <c r="AL28" s="21">
        <f>INDEX('[2]Cross-Section Database'!$C$2:$V$3928,MATCH(AF28,'[2]Cross-Section Database'!$B$2:$B$3928,0),11)</f>
        <v>84911210.822399989</v>
      </c>
      <c r="AM28" s="24">
        <f>INDEX('[2]Cross-Section Database'!$C$2:$V$3928,MATCH(AF28,'[2]Cross-Section Database'!$B$2:$B$3928,0),12)</f>
        <v>609598.78079999995</v>
      </c>
      <c r="AN28" s="103">
        <v>15.875</v>
      </c>
      <c r="AO28" s="21">
        <f t="shared" si="8"/>
        <v>190.5</v>
      </c>
      <c r="AP28" s="21">
        <f t="shared" si="9"/>
        <v>307.33999999999997</v>
      </c>
      <c r="AQ28" s="21">
        <v>0</v>
      </c>
      <c r="AR28" s="47">
        <v>0</v>
      </c>
      <c r="AS28" s="306" t="s">
        <v>5807</v>
      </c>
      <c r="AT28" s="163" t="s">
        <v>6134</v>
      </c>
      <c r="AU28" s="21" t="s">
        <v>6134</v>
      </c>
      <c r="AV28" s="21">
        <v>19.05</v>
      </c>
      <c r="AW28" s="163">
        <v>241</v>
      </c>
      <c r="AX28" s="21">
        <f t="shared" si="4"/>
        <v>76.199999999999989</v>
      </c>
      <c r="AY28" s="21">
        <f t="shared" si="5"/>
        <v>76.199999999999989</v>
      </c>
      <c r="AZ28" s="21">
        <v>0</v>
      </c>
      <c r="BA28" s="21">
        <f t="shared" si="10"/>
        <v>101.6</v>
      </c>
      <c r="BB28" s="21">
        <f t="shared" si="1"/>
        <v>154.94</v>
      </c>
      <c r="BC28" s="15" t="s">
        <v>6313</v>
      </c>
      <c r="BD28" s="163" t="s">
        <v>6209</v>
      </c>
      <c r="BE28" s="163" t="s">
        <v>6209</v>
      </c>
      <c r="BF28" s="163">
        <v>2</v>
      </c>
      <c r="BG28" s="163">
        <v>4</v>
      </c>
      <c r="BH28" s="202" t="s">
        <v>5792</v>
      </c>
      <c r="BI28" s="203" t="s">
        <v>5792</v>
      </c>
      <c r="BJ28" s="203" t="s">
        <v>5792</v>
      </c>
      <c r="BK28" s="203" t="s">
        <v>5792</v>
      </c>
      <c r="BL28" s="203" t="s">
        <v>5792</v>
      </c>
      <c r="BM28" s="203" t="s">
        <v>5792</v>
      </c>
      <c r="BN28" s="203" t="s">
        <v>5792</v>
      </c>
      <c r="BO28" s="203" t="s">
        <v>5792</v>
      </c>
      <c r="BP28" s="202" t="s">
        <v>5792</v>
      </c>
      <c r="BQ28" s="203" t="s">
        <v>5792</v>
      </c>
      <c r="BR28" s="203" t="s">
        <v>5792</v>
      </c>
      <c r="BS28" s="203" t="s">
        <v>5792</v>
      </c>
      <c r="BT28" s="203" t="s">
        <v>5792</v>
      </c>
      <c r="BU28" s="203" t="s">
        <v>5792</v>
      </c>
      <c r="BV28" s="218" t="s">
        <v>5792</v>
      </c>
      <c r="BW28" s="203" t="s">
        <v>5792</v>
      </c>
      <c r="BX28" s="203" t="s">
        <v>5792</v>
      </c>
      <c r="BY28" s="203" t="s">
        <v>5792</v>
      </c>
      <c r="BZ28" s="203" t="s">
        <v>5792</v>
      </c>
      <c r="CA28" s="203" t="s">
        <v>5792</v>
      </c>
      <c r="CB28" s="218" t="s">
        <v>5792</v>
      </c>
      <c r="CC28" s="303" t="s">
        <v>4425</v>
      </c>
      <c r="CD28" s="60">
        <v>300</v>
      </c>
      <c r="CE28" s="10">
        <v>283</v>
      </c>
      <c r="CF28" s="60">
        <v>450</v>
      </c>
      <c r="CG28" s="47">
        <v>453</v>
      </c>
      <c r="CH28" s="67">
        <v>200000</v>
      </c>
      <c r="CI28" s="300" t="s">
        <v>4425</v>
      </c>
      <c r="CJ28" s="60">
        <v>300</v>
      </c>
      <c r="CK28" s="47">
        <v>421</v>
      </c>
      <c r="CL28" s="47">
        <v>450</v>
      </c>
      <c r="CM28" s="47">
        <v>554.33849999999995</v>
      </c>
      <c r="CN28" s="67">
        <v>200000</v>
      </c>
      <c r="CO28" s="300" t="s">
        <v>4421</v>
      </c>
      <c r="CP28" s="47">
        <v>250</v>
      </c>
      <c r="CQ28" s="47">
        <v>281.99</v>
      </c>
      <c r="CR28" s="47">
        <v>475</v>
      </c>
      <c r="CS28" s="47">
        <v>504</v>
      </c>
      <c r="CT28" s="61">
        <v>200000</v>
      </c>
      <c r="CU28" s="207" t="s">
        <v>5792</v>
      </c>
      <c r="CV28" s="208" t="s">
        <v>5792</v>
      </c>
      <c r="CW28" s="208" t="s">
        <v>5792</v>
      </c>
      <c r="CX28" s="209" t="s">
        <v>5792</v>
      </c>
      <c r="CY28" s="207" t="s">
        <v>5792</v>
      </c>
      <c r="CZ28" s="208" t="s">
        <v>5792</v>
      </c>
      <c r="DA28" s="209" t="s">
        <v>5792</v>
      </c>
      <c r="DB28" s="283" t="s">
        <v>5792</v>
      </c>
      <c r="DC28" s="163" t="s">
        <v>4422</v>
      </c>
      <c r="DD28" s="60">
        <v>640</v>
      </c>
      <c r="DE28" s="32">
        <v>730</v>
      </c>
      <c r="DF28" s="60">
        <v>800</v>
      </c>
      <c r="DG28" s="32">
        <v>940</v>
      </c>
      <c r="DH28" s="67">
        <v>200000</v>
      </c>
      <c r="DI28" s="41" t="s">
        <v>15</v>
      </c>
      <c r="DJ28" s="163" t="s">
        <v>4435</v>
      </c>
      <c r="DK28" s="297" t="s">
        <v>4566</v>
      </c>
    </row>
    <row r="29" spans="1:115" ht="16.2" thickBot="1">
      <c r="A29" s="18">
        <v>24</v>
      </c>
      <c r="B29" s="327"/>
      <c r="C29" s="327"/>
      <c r="D29" s="434"/>
      <c r="E29" s="344"/>
      <c r="F29" s="327"/>
      <c r="G29" s="338"/>
      <c r="H29" s="338"/>
      <c r="I29" s="338"/>
      <c r="J29" s="41" t="s">
        <v>4419</v>
      </c>
      <c r="K29" s="143" t="s">
        <v>4383</v>
      </c>
      <c r="L29" s="164" t="s">
        <v>5792</v>
      </c>
      <c r="M29" s="306" t="s">
        <v>4508</v>
      </c>
      <c r="N29" s="163" t="s">
        <v>4701</v>
      </c>
      <c r="O29" s="18" t="s">
        <v>4507</v>
      </c>
      <c r="P29" s="163" t="s">
        <v>6312</v>
      </c>
      <c r="Q29" s="163" t="s">
        <v>4420</v>
      </c>
      <c r="R29" s="163" t="s">
        <v>6169</v>
      </c>
      <c r="S29" s="164">
        <v>6</v>
      </c>
      <c r="T29" s="163" t="s">
        <v>4420</v>
      </c>
      <c r="U29" s="164" t="s">
        <v>5792</v>
      </c>
      <c r="V29" s="163" t="s">
        <v>6049</v>
      </c>
      <c r="W29" s="18">
        <v>6</v>
      </c>
      <c r="X29" s="231">
        <v>0</v>
      </c>
      <c r="Y29" s="18">
        <v>0</v>
      </c>
      <c r="Z29" s="143" t="s">
        <v>512</v>
      </c>
      <c r="AA29" s="23">
        <f>INDEX('[2]Cross-Section Database'!$C$2:$V$2928,MATCH(Z29,'[2]Cross-Section Database'!$B$2:$B$2928,0),3)</f>
        <v>215.89999999999998</v>
      </c>
      <c r="AB29" s="23">
        <f>INDEX('[2]Cross-Section Database'!$C$2:$V$2928,MATCH(Z29,'[2]Cross-Section Database'!$B$2:$B$2928,0),4)</f>
        <v>205.99399999999997</v>
      </c>
      <c r="AC29" s="23">
        <f>INDEX('[2]Cross-Section Database'!$C$2:$V$2928,MATCH(Z29,'[2]Cross-Section Database'!$B$2:$B$2928,0),6)</f>
        <v>17.399000000000001</v>
      </c>
      <c r="AD29" s="23">
        <f>INDEX('[2]Cross-Section Database'!$C$2:$V$2928,MATCH(Z29,'[2]Cross-Section Database'!$B$2:$B$2928,0),5)</f>
        <v>10.16</v>
      </c>
      <c r="AE29" s="23">
        <v>610</v>
      </c>
      <c r="AF29" s="143" t="s">
        <v>462</v>
      </c>
      <c r="AG29" s="23">
        <f>INDEX('[2]Cross-Section Database'!$C$2:$V$2928,MATCH(AF29,'[2]Cross-Section Database'!$B$2:$B$2928,0),3)</f>
        <v>309.87999999999994</v>
      </c>
      <c r="AH29" s="23">
        <f>INDEX('[2]Cross-Section Database'!$C$2:$V$2928,MATCH(AF29,'[2]Cross-Section Database'!$B$2:$B$2928,0),4)</f>
        <v>164.846</v>
      </c>
      <c r="AI29" s="23">
        <f>INDEX('[2]Cross-Section Database'!$C$2:$V$2928,MATCH(AF29,'[2]Cross-Section Database'!$B$2:$B$2928,0),6)</f>
        <v>9.6519999999999992</v>
      </c>
      <c r="AJ29" s="23">
        <f>INDEX('[2]Cross-Section Database'!$C$2:$V$2928,MATCH(AF29,'[2]Cross-Section Database'!$B$2:$B$2928,0),5)</f>
        <v>5.8419999999999996</v>
      </c>
      <c r="AK29" s="23">
        <v>1194</v>
      </c>
      <c r="AL29" s="23">
        <f>INDEX('[2]Cross-Section Database'!$C$2:$V$3928,MATCH(AF29,'[2]Cross-Section Database'!$B$2:$B$3928,0),11)</f>
        <v>84911210.822399989</v>
      </c>
      <c r="AM29" s="24">
        <f>INDEX('[2]Cross-Section Database'!$C$2:$V$3928,MATCH(AF29,'[2]Cross-Section Database'!$B$2:$B$3928,0),12)</f>
        <v>609598.78079999995</v>
      </c>
      <c r="AN29" s="104">
        <v>15.875</v>
      </c>
      <c r="AO29" s="23">
        <f t="shared" si="8"/>
        <v>190.5</v>
      </c>
      <c r="AP29" s="23">
        <f t="shared" si="9"/>
        <v>307.33999999999997</v>
      </c>
      <c r="AQ29" s="23">
        <v>0</v>
      </c>
      <c r="AR29" s="47">
        <v>0</v>
      </c>
      <c r="AS29" s="306" t="s">
        <v>5807</v>
      </c>
      <c r="AT29" s="163" t="s">
        <v>6134</v>
      </c>
      <c r="AU29" s="21" t="s">
        <v>6134</v>
      </c>
      <c r="AV29" s="21">
        <v>19.05</v>
      </c>
      <c r="AW29" s="163">
        <v>241</v>
      </c>
      <c r="AX29" s="21">
        <f t="shared" si="4"/>
        <v>76.199999999999989</v>
      </c>
      <c r="AY29" s="21">
        <f t="shared" si="5"/>
        <v>76.199999999999989</v>
      </c>
      <c r="AZ29" s="21">
        <v>0</v>
      </c>
      <c r="BA29" s="21">
        <f t="shared" si="10"/>
        <v>101.6</v>
      </c>
      <c r="BB29" s="21">
        <f t="shared" si="1"/>
        <v>154.94</v>
      </c>
      <c r="BC29" s="15" t="s">
        <v>6313</v>
      </c>
      <c r="BD29" s="163" t="s">
        <v>6209</v>
      </c>
      <c r="BE29" s="163" t="s">
        <v>6209</v>
      </c>
      <c r="BF29" s="164">
        <v>2</v>
      </c>
      <c r="BG29" s="164">
        <v>4</v>
      </c>
      <c r="BH29" s="202" t="s">
        <v>5792</v>
      </c>
      <c r="BI29" s="203" t="s">
        <v>5792</v>
      </c>
      <c r="BJ29" s="203" t="s">
        <v>5792</v>
      </c>
      <c r="BK29" s="203" t="s">
        <v>5792</v>
      </c>
      <c r="BL29" s="203" t="s">
        <v>5792</v>
      </c>
      <c r="BM29" s="203" t="s">
        <v>5792</v>
      </c>
      <c r="BN29" s="203" t="s">
        <v>5792</v>
      </c>
      <c r="BO29" s="203" t="s">
        <v>5792</v>
      </c>
      <c r="BP29" s="202" t="s">
        <v>5792</v>
      </c>
      <c r="BQ29" s="203" t="s">
        <v>5792</v>
      </c>
      <c r="BR29" s="203" t="s">
        <v>5792</v>
      </c>
      <c r="BS29" s="203" t="s">
        <v>5792</v>
      </c>
      <c r="BT29" s="203" t="s">
        <v>5792</v>
      </c>
      <c r="BU29" s="203" t="s">
        <v>5792</v>
      </c>
      <c r="BV29" s="218" t="s">
        <v>5792</v>
      </c>
      <c r="BW29" s="203" t="s">
        <v>5792</v>
      </c>
      <c r="BX29" s="203" t="s">
        <v>5792</v>
      </c>
      <c r="BY29" s="203" t="s">
        <v>5792</v>
      </c>
      <c r="BZ29" s="203" t="s">
        <v>5792</v>
      </c>
      <c r="CA29" s="203" t="s">
        <v>5792</v>
      </c>
      <c r="CB29" s="218" t="s">
        <v>5792</v>
      </c>
      <c r="CC29" s="303" t="s">
        <v>4425</v>
      </c>
      <c r="CD29" s="60">
        <v>300</v>
      </c>
      <c r="CE29" s="10">
        <v>283</v>
      </c>
      <c r="CF29" s="60">
        <v>450</v>
      </c>
      <c r="CG29" s="38">
        <v>453</v>
      </c>
      <c r="CH29" s="67">
        <v>200000</v>
      </c>
      <c r="CI29" s="136" t="s">
        <v>4425</v>
      </c>
      <c r="CJ29" s="60">
        <v>300</v>
      </c>
      <c r="CK29" s="47">
        <v>421</v>
      </c>
      <c r="CL29" s="47">
        <v>450</v>
      </c>
      <c r="CM29" s="20">
        <v>554.33849999999995</v>
      </c>
      <c r="CN29" s="67">
        <v>200000</v>
      </c>
      <c r="CO29" s="10" t="s">
        <v>4421</v>
      </c>
      <c r="CP29" s="47">
        <v>250</v>
      </c>
      <c r="CQ29" s="47">
        <v>294.40600000000001</v>
      </c>
      <c r="CR29" s="47">
        <v>475</v>
      </c>
      <c r="CS29" s="38">
        <v>490.9</v>
      </c>
      <c r="CT29" s="61">
        <v>200000</v>
      </c>
      <c r="CU29" s="210" t="s">
        <v>5792</v>
      </c>
      <c r="CV29" s="211" t="s">
        <v>5792</v>
      </c>
      <c r="CW29" s="211" t="s">
        <v>5792</v>
      </c>
      <c r="CX29" s="212" t="s">
        <v>5792</v>
      </c>
      <c r="CY29" s="207" t="s">
        <v>5792</v>
      </c>
      <c r="CZ29" s="208" t="s">
        <v>5792</v>
      </c>
      <c r="DA29" s="209" t="s">
        <v>5792</v>
      </c>
      <c r="DB29" s="283" t="s">
        <v>5792</v>
      </c>
      <c r="DC29" s="164" t="s">
        <v>4422</v>
      </c>
      <c r="DD29" s="87">
        <v>640</v>
      </c>
      <c r="DE29" s="34">
        <v>730</v>
      </c>
      <c r="DF29" s="87">
        <v>800</v>
      </c>
      <c r="DG29" s="34">
        <v>940</v>
      </c>
      <c r="DH29" s="70">
        <v>200000</v>
      </c>
      <c r="DI29" s="41" t="s">
        <v>15</v>
      </c>
      <c r="DJ29" s="163" t="s">
        <v>4435</v>
      </c>
      <c r="DK29" s="297" t="s">
        <v>4566</v>
      </c>
    </row>
    <row r="30" spans="1:115" ht="15.6" customHeight="1">
      <c r="A30" s="17">
        <v>25</v>
      </c>
      <c r="B30" s="325">
        <v>2</v>
      </c>
      <c r="C30" s="325">
        <v>1974</v>
      </c>
      <c r="D30" s="345" t="s">
        <v>4464</v>
      </c>
      <c r="E30" s="333" t="s">
        <v>4835</v>
      </c>
      <c r="F30" s="325">
        <v>6</v>
      </c>
      <c r="G30" s="328" t="s">
        <v>5898</v>
      </c>
      <c r="H30" s="328" t="s">
        <v>5897</v>
      </c>
      <c r="I30" s="328" t="s">
        <v>6222</v>
      </c>
      <c r="J30" s="43" t="s">
        <v>4397</v>
      </c>
      <c r="K30" s="305" t="s">
        <v>4383</v>
      </c>
      <c r="L30" s="162" t="s">
        <v>5792</v>
      </c>
      <c r="M30" s="305" t="s">
        <v>4509</v>
      </c>
      <c r="N30" s="162" t="s">
        <v>4703</v>
      </c>
      <c r="O30" s="17" t="s">
        <v>4507</v>
      </c>
      <c r="P30" s="162" t="s">
        <v>4420</v>
      </c>
      <c r="Q30" s="162" t="s">
        <v>4420</v>
      </c>
      <c r="R30" s="162" t="s">
        <v>4420</v>
      </c>
      <c r="S30" s="162" t="s">
        <v>5792</v>
      </c>
      <c r="T30" s="162" t="s">
        <v>4420</v>
      </c>
      <c r="U30" s="162" t="s">
        <v>5792</v>
      </c>
      <c r="V30" s="30" t="s">
        <v>4559</v>
      </c>
      <c r="W30" s="88">
        <v>10</v>
      </c>
      <c r="X30" s="232">
        <v>0</v>
      </c>
      <c r="Y30" s="17">
        <v>0</v>
      </c>
      <c r="Z30" s="305" t="s">
        <v>3972</v>
      </c>
      <c r="AA30" s="16">
        <f>INDEX('[2]Cross-Section Database'!$C$2:$V$2928,MATCH(Z30,'[2]Cross-Section Database'!$B$2:$B$2928,0),3)</f>
        <v>190</v>
      </c>
      <c r="AB30" s="16">
        <f>INDEX('[2]Cross-Section Database'!$C$2:$V$2928,MATCH(Z30,'[2]Cross-Section Database'!$B$2:$B$2928,0),4)</f>
        <v>200</v>
      </c>
      <c r="AC30" s="16">
        <f>INDEX('[2]Cross-Section Database'!$C$2:$V$2928,MATCH(Z30,'[2]Cross-Section Database'!$B$2:$B$2928,0),6)</f>
        <v>10</v>
      </c>
      <c r="AD30" s="16">
        <f>INDEX('[2]Cross-Section Database'!$C$2:$V$2928,MATCH(Z30,'[2]Cross-Section Database'!$B$2:$B$2928,0),5)</f>
        <v>6.5</v>
      </c>
      <c r="AE30" s="31">
        <v>1300</v>
      </c>
      <c r="AF30" s="305" t="s">
        <v>3913</v>
      </c>
      <c r="AG30" s="16">
        <f>INDEX('[2]Cross-Section Database'!$C$2:$V$2928,MATCH(AF30,'[2]Cross-Section Database'!$B$2:$B$2928,0),3)</f>
        <v>300</v>
      </c>
      <c r="AH30" s="16">
        <f>INDEX('[2]Cross-Section Database'!$C$2:$V$2928,MATCH(AF30,'[2]Cross-Section Database'!$B$2:$B$2928,0),4)</f>
        <v>150</v>
      </c>
      <c r="AI30" s="16">
        <f>INDEX('[2]Cross-Section Database'!$C$2:$V$2928,MATCH(AF30,'[2]Cross-Section Database'!$B$2:$B$2928,0),6)</f>
        <v>10.7</v>
      </c>
      <c r="AJ30" s="16">
        <f>INDEX('[2]Cross-Section Database'!$C$2:$V$2928,MATCH(AF30,'[2]Cross-Section Database'!$B$2:$B$2928,0),5)</f>
        <v>7.1</v>
      </c>
      <c r="AK30" s="252">
        <v>1125</v>
      </c>
      <c r="AL30" s="16">
        <f>INDEX('[2]Cross-Section Database'!$C$2:$V$3928,MATCH(AF30,'[2]Cross-Section Database'!$B$2:$B$3928,0),11)</f>
        <v>83560000</v>
      </c>
      <c r="AM30" s="26">
        <f>INDEX('[2]Cross-Section Database'!$C$2:$V$3928,MATCH(AF30,'[2]Cross-Section Database'!$B$2:$B$3928,0),12)</f>
        <v>628000</v>
      </c>
      <c r="AN30" s="16">
        <v>32</v>
      </c>
      <c r="AO30" s="16">
        <v>200</v>
      </c>
      <c r="AP30" s="16">
        <v>325</v>
      </c>
      <c r="AQ30" s="16">
        <v>0</v>
      </c>
      <c r="AR30" s="16">
        <f>(AP30-AG30)-AQ30</f>
        <v>25</v>
      </c>
      <c r="AS30" s="305" t="s">
        <v>5807</v>
      </c>
      <c r="AT30" s="125" t="s">
        <v>5798</v>
      </c>
      <c r="AU30" s="162" t="s">
        <v>6134</v>
      </c>
      <c r="AV30" s="162">
        <v>20</v>
      </c>
      <c r="AW30" s="162">
        <f t="shared" ref="AW30:AW75" si="11">IF(AV30=24,353,IF(AV30=22,303,IF(AV30=20,245,IF(AV30=16,157,0))))</f>
        <v>245</v>
      </c>
      <c r="AX30" s="16">
        <v>35</v>
      </c>
      <c r="AY30" s="16">
        <v>80</v>
      </c>
      <c r="AZ30" s="16">
        <v>60</v>
      </c>
      <c r="BA30" s="16">
        <v>100</v>
      </c>
      <c r="BB30" s="16">
        <v>150</v>
      </c>
      <c r="BC30" s="22" t="s">
        <v>4420</v>
      </c>
      <c r="BD30" s="162" t="s">
        <v>4465</v>
      </c>
      <c r="BE30" s="162" t="s">
        <v>6209</v>
      </c>
      <c r="BF30" s="162">
        <v>4</v>
      </c>
      <c r="BG30" s="162">
        <v>6</v>
      </c>
      <c r="BH30" s="200" t="s">
        <v>5792</v>
      </c>
      <c r="BI30" s="201" t="s">
        <v>5792</v>
      </c>
      <c r="BJ30" s="201" t="s">
        <v>5792</v>
      </c>
      <c r="BK30" s="201" t="s">
        <v>5792</v>
      </c>
      <c r="BL30" s="201" t="s">
        <v>5792</v>
      </c>
      <c r="BM30" s="201" t="s">
        <v>5792</v>
      </c>
      <c r="BN30" s="201" t="s">
        <v>5792</v>
      </c>
      <c r="BO30" s="201" t="s">
        <v>5792</v>
      </c>
      <c r="BP30" s="200" t="s">
        <v>5792</v>
      </c>
      <c r="BQ30" s="201" t="s">
        <v>5792</v>
      </c>
      <c r="BR30" s="201" t="s">
        <v>5792</v>
      </c>
      <c r="BS30" s="201" t="s">
        <v>5792</v>
      </c>
      <c r="BT30" s="201" t="s">
        <v>5792</v>
      </c>
      <c r="BU30" s="201" t="s">
        <v>5792</v>
      </c>
      <c r="BV30" s="219" t="s">
        <v>5792</v>
      </c>
      <c r="BW30" s="201" t="s">
        <v>5792</v>
      </c>
      <c r="BX30" s="201" t="s">
        <v>5792</v>
      </c>
      <c r="BY30" s="201" t="s">
        <v>5792</v>
      </c>
      <c r="BZ30" s="201" t="s">
        <v>5792</v>
      </c>
      <c r="CA30" s="201" t="s">
        <v>5792</v>
      </c>
      <c r="CB30" s="219" t="s">
        <v>5792</v>
      </c>
      <c r="CC30" s="30" t="s">
        <v>4449</v>
      </c>
      <c r="CD30" s="72">
        <v>235</v>
      </c>
      <c r="CE30" s="16">
        <f>(301+262)/2</f>
        <v>281.5</v>
      </c>
      <c r="CF30" s="72">
        <v>360</v>
      </c>
      <c r="CG30" s="16">
        <f>(460.5+440)/2</f>
        <v>450.25</v>
      </c>
      <c r="CH30" s="66">
        <v>200000</v>
      </c>
      <c r="CI30" s="106" t="s">
        <v>4449</v>
      </c>
      <c r="CJ30" s="72">
        <v>235</v>
      </c>
      <c r="CK30" s="16">
        <f>(264.5+340)/2</f>
        <v>302.25</v>
      </c>
      <c r="CL30" s="65">
        <v>360</v>
      </c>
      <c r="CM30" s="16">
        <f>(451+507.5)/2</f>
        <v>479.25</v>
      </c>
      <c r="CN30" s="66">
        <v>200000</v>
      </c>
      <c r="CO30" s="30" t="s">
        <v>4421</v>
      </c>
      <c r="CP30" s="65">
        <v>250</v>
      </c>
      <c r="CQ30" s="30">
        <v>300</v>
      </c>
      <c r="CR30" s="65">
        <v>475</v>
      </c>
      <c r="CS30" s="30">
        <v>450</v>
      </c>
      <c r="CT30" s="76">
        <v>200000</v>
      </c>
      <c r="CU30" s="204" t="s">
        <v>5792</v>
      </c>
      <c r="CV30" s="205" t="s">
        <v>5792</v>
      </c>
      <c r="CW30" s="205" t="s">
        <v>5792</v>
      </c>
      <c r="CX30" s="206" t="s">
        <v>5792</v>
      </c>
      <c r="CY30" s="204" t="s">
        <v>5792</v>
      </c>
      <c r="CZ30" s="205" t="s">
        <v>5792</v>
      </c>
      <c r="DA30" s="206" t="s">
        <v>5792</v>
      </c>
      <c r="DB30" s="282" t="s">
        <v>5792</v>
      </c>
      <c r="DC30" s="162">
        <v>10.9</v>
      </c>
      <c r="DD30" s="162">
        <v>900</v>
      </c>
      <c r="DE30" s="30">
        <v>990</v>
      </c>
      <c r="DF30" s="162">
        <v>1000</v>
      </c>
      <c r="DG30" s="30">
        <v>1100</v>
      </c>
      <c r="DH30" s="76">
        <v>200000</v>
      </c>
      <c r="DI30" s="28" t="s">
        <v>4779</v>
      </c>
      <c r="DJ30" s="162" t="s">
        <v>4435</v>
      </c>
      <c r="DK30" s="296" t="s">
        <v>4566</v>
      </c>
    </row>
    <row r="31" spans="1:115">
      <c r="A31" s="18">
        <v>26</v>
      </c>
      <c r="B31" s="326"/>
      <c r="C31" s="326"/>
      <c r="D31" s="346"/>
      <c r="E31" s="334"/>
      <c r="F31" s="326"/>
      <c r="G31" s="329"/>
      <c r="H31" s="329"/>
      <c r="I31" s="329"/>
      <c r="J31" s="41" t="s">
        <v>4417</v>
      </c>
      <c r="K31" s="306" t="s">
        <v>4383</v>
      </c>
      <c r="L31" s="163" t="s">
        <v>5792</v>
      </c>
      <c r="M31" s="306" t="s">
        <v>4509</v>
      </c>
      <c r="N31" s="163" t="s">
        <v>4703</v>
      </c>
      <c r="O31" s="18" t="s">
        <v>4507</v>
      </c>
      <c r="P31" s="163" t="s">
        <v>4420</v>
      </c>
      <c r="Q31" s="163" t="s">
        <v>4420</v>
      </c>
      <c r="R31" s="163" t="s">
        <v>4420</v>
      </c>
      <c r="S31" s="163" t="s">
        <v>5792</v>
      </c>
      <c r="T31" s="163" t="s">
        <v>4470</v>
      </c>
      <c r="U31" s="163">
        <v>16</v>
      </c>
      <c r="V31" s="32" t="s">
        <v>4559</v>
      </c>
      <c r="W31" s="73">
        <v>10</v>
      </c>
      <c r="X31" s="231">
        <v>0</v>
      </c>
      <c r="Y31" s="18">
        <v>0</v>
      </c>
      <c r="Z31" s="306" t="s">
        <v>3982</v>
      </c>
      <c r="AA31" s="21">
        <f>INDEX('[2]Cross-Section Database'!$C$2:$V$2928,MATCH(Z31,'[2]Cross-Section Database'!$B$2:$B$2928,0),3)</f>
        <v>230</v>
      </c>
      <c r="AB31" s="21">
        <f>INDEX('[2]Cross-Section Database'!$C$2:$V$2928,MATCH(Z31,'[2]Cross-Section Database'!$B$2:$B$2928,0),4)</f>
        <v>240</v>
      </c>
      <c r="AC31" s="21">
        <f>INDEX('[2]Cross-Section Database'!$C$2:$V$2928,MATCH(Z31,'[2]Cross-Section Database'!$B$2:$B$2928,0),6)</f>
        <v>12</v>
      </c>
      <c r="AD31" s="21">
        <f>INDEX('[2]Cross-Section Database'!$C$2:$V$2928,MATCH(Z31,'[2]Cross-Section Database'!$B$2:$B$2928,0),5)</f>
        <v>7.5</v>
      </c>
      <c r="AE31" s="33">
        <v>1300</v>
      </c>
      <c r="AF31" s="306" t="s">
        <v>3922</v>
      </c>
      <c r="AG31" s="21">
        <f>INDEX('[2]Cross-Section Database'!$C$2:$V$2928,MATCH(AF31,'[2]Cross-Section Database'!$B$2:$B$2928,0),3)</f>
        <v>400</v>
      </c>
      <c r="AH31" s="21">
        <f>INDEX('[2]Cross-Section Database'!$C$2:$V$2928,MATCH(AF31,'[2]Cross-Section Database'!$B$2:$B$2928,0),4)</f>
        <v>180</v>
      </c>
      <c r="AI31" s="21">
        <f>INDEX('[2]Cross-Section Database'!$C$2:$V$2928,MATCH(AF31,'[2]Cross-Section Database'!$B$2:$B$2928,0),6)</f>
        <v>13.5</v>
      </c>
      <c r="AJ31" s="21">
        <f>INDEX('[2]Cross-Section Database'!$C$2:$V$2928,MATCH(AF31,'[2]Cross-Section Database'!$B$2:$B$2928,0),5)</f>
        <v>8.6</v>
      </c>
      <c r="AK31" s="253">
        <v>1125</v>
      </c>
      <c r="AL31" s="21">
        <f>INDEX('[2]Cross-Section Database'!$C$2:$V$3928,MATCH(AF31,'[2]Cross-Section Database'!$B$2:$B$3928,0),11)</f>
        <v>231300000</v>
      </c>
      <c r="AM31" s="24">
        <f>INDEX('[2]Cross-Section Database'!$C$2:$V$3928,MATCH(AF31,'[2]Cross-Section Database'!$B$2:$B$3928,0),12)</f>
        <v>1307000</v>
      </c>
      <c r="AN31" s="21">
        <v>32</v>
      </c>
      <c r="AO31" s="21">
        <v>270</v>
      </c>
      <c r="AP31" s="21">
        <v>425</v>
      </c>
      <c r="AQ31" s="21">
        <v>0</v>
      </c>
      <c r="AR31" s="163">
        <f>(AP31-AG31)-AQ31</f>
        <v>25</v>
      </c>
      <c r="AS31" s="306" t="s">
        <v>5807</v>
      </c>
      <c r="AT31" s="163" t="s">
        <v>5798</v>
      </c>
      <c r="AU31" s="163" t="s">
        <v>6134</v>
      </c>
      <c r="AV31" s="163">
        <v>22</v>
      </c>
      <c r="AW31" s="163">
        <f t="shared" si="11"/>
        <v>303</v>
      </c>
      <c r="AX31" s="21">
        <v>40</v>
      </c>
      <c r="AY31" s="21">
        <v>90</v>
      </c>
      <c r="AZ31" s="21">
        <v>65</v>
      </c>
      <c r="BA31" s="21">
        <v>140</v>
      </c>
      <c r="BB31" s="21">
        <v>230</v>
      </c>
      <c r="BC31" s="15" t="s">
        <v>4420</v>
      </c>
      <c r="BD31" s="163" t="s">
        <v>4465</v>
      </c>
      <c r="BE31" s="163" t="s">
        <v>6209</v>
      </c>
      <c r="BF31" s="163">
        <v>4</v>
      </c>
      <c r="BG31" s="163">
        <v>6</v>
      </c>
      <c r="BH31" s="202" t="s">
        <v>5792</v>
      </c>
      <c r="BI31" s="203" t="s">
        <v>5792</v>
      </c>
      <c r="BJ31" s="203" t="s">
        <v>5792</v>
      </c>
      <c r="BK31" s="203" t="s">
        <v>5792</v>
      </c>
      <c r="BL31" s="203" t="s">
        <v>5792</v>
      </c>
      <c r="BM31" s="203" t="s">
        <v>5792</v>
      </c>
      <c r="BN31" s="203" t="s">
        <v>5792</v>
      </c>
      <c r="BO31" s="203" t="s">
        <v>5792</v>
      </c>
      <c r="BP31" s="202" t="s">
        <v>5792</v>
      </c>
      <c r="BQ31" s="203" t="s">
        <v>5792</v>
      </c>
      <c r="BR31" s="203" t="s">
        <v>5792</v>
      </c>
      <c r="BS31" s="203" t="s">
        <v>5792</v>
      </c>
      <c r="BT31" s="203" t="s">
        <v>5792</v>
      </c>
      <c r="BU31" s="203" t="s">
        <v>5792</v>
      </c>
      <c r="BV31" s="218" t="s">
        <v>5792</v>
      </c>
      <c r="BW31" s="203" t="s">
        <v>5792</v>
      </c>
      <c r="BX31" s="203" t="s">
        <v>5792</v>
      </c>
      <c r="BY31" s="203" t="s">
        <v>5792</v>
      </c>
      <c r="BZ31" s="203" t="s">
        <v>5792</v>
      </c>
      <c r="CA31" s="203" t="s">
        <v>5792</v>
      </c>
      <c r="CB31" s="218" t="s">
        <v>5792</v>
      </c>
      <c r="CC31" s="32" t="s">
        <v>4449</v>
      </c>
      <c r="CD31" s="47">
        <v>235</v>
      </c>
      <c r="CE31" s="21">
        <f>(257+265.5)/2</f>
        <v>261.25</v>
      </c>
      <c r="CF31" s="47">
        <v>360</v>
      </c>
      <c r="CG31" s="21">
        <f>(399+428)/2</f>
        <v>413.5</v>
      </c>
      <c r="CH31" s="67">
        <v>200000</v>
      </c>
      <c r="CI31" s="107" t="s">
        <v>4449</v>
      </c>
      <c r="CJ31" s="47">
        <v>235</v>
      </c>
      <c r="CK31" s="21">
        <f>(356+317.5)/2</f>
        <v>336.75</v>
      </c>
      <c r="CL31" s="60">
        <v>360</v>
      </c>
      <c r="CM31" s="21">
        <f>(417+446.5)/2</f>
        <v>431.75</v>
      </c>
      <c r="CN31" s="67">
        <v>200000</v>
      </c>
      <c r="CO31" s="32" t="s">
        <v>4421</v>
      </c>
      <c r="CP31" s="60">
        <v>250</v>
      </c>
      <c r="CQ31" s="32">
        <v>300</v>
      </c>
      <c r="CR31" s="60">
        <v>475</v>
      </c>
      <c r="CS31" s="32">
        <v>450</v>
      </c>
      <c r="CT31" s="61">
        <v>200000</v>
      </c>
      <c r="CU31" s="207" t="s">
        <v>5792</v>
      </c>
      <c r="CV31" s="208" t="s">
        <v>5792</v>
      </c>
      <c r="CW31" s="208" t="s">
        <v>5792</v>
      </c>
      <c r="CX31" s="209" t="s">
        <v>5792</v>
      </c>
      <c r="CY31" s="207" t="s">
        <v>5792</v>
      </c>
      <c r="CZ31" s="208" t="s">
        <v>5792</v>
      </c>
      <c r="DA31" s="209" t="s">
        <v>5792</v>
      </c>
      <c r="DB31" s="283" t="s">
        <v>5792</v>
      </c>
      <c r="DC31" s="163">
        <v>10.9</v>
      </c>
      <c r="DD31" s="163">
        <v>900</v>
      </c>
      <c r="DE31" s="32">
        <v>990</v>
      </c>
      <c r="DF31" s="163">
        <v>1000</v>
      </c>
      <c r="DG31" s="32">
        <v>1100</v>
      </c>
      <c r="DH31" s="61">
        <v>200000</v>
      </c>
      <c r="DI31" s="29" t="s">
        <v>4779</v>
      </c>
      <c r="DJ31" s="163" t="s">
        <v>4435</v>
      </c>
      <c r="DK31" s="297" t="s">
        <v>4566</v>
      </c>
    </row>
    <row r="32" spans="1:115">
      <c r="A32" s="18">
        <v>27</v>
      </c>
      <c r="B32" s="326"/>
      <c r="C32" s="326"/>
      <c r="D32" s="346"/>
      <c r="E32" s="334"/>
      <c r="F32" s="326"/>
      <c r="G32" s="329"/>
      <c r="H32" s="329"/>
      <c r="I32" s="329"/>
      <c r="J32" s="41" t="s">
        <v>4466</v>
      </c>
      <c r="K32" s="306" t="s">
        <v>4383</v>
      </c>
      <c r="L32" s="163" t="s">
        <v>5792</v>
      </c>
      <c r="M32" s="306" t="s">
        <v>4509</v>
      </c>
      <c r="N32" s="163" t="s">
        <v>4708</v>
      </c>
      <c r="O32" s="18" t="s">
        <v>4507</v>
      </c>
      <c r="P32" s="163" t="s">
        <v>4420</v>
      </c>
      <c r="Q32" s="163" t="s">
        <v>4420</v>
      </c>
      <c r="R32" s="163" t="s">
        <v>4420</v>
      </c>
      <c r="S32" s="163" t="s">
        <v>5792</v>
      </c>
      <c r="T32" s="163" t="s">
        <v>4470</v>
      </c>
      <c r="U32" s="163">
        <v>15</v>
      </c>
      <c r="V32" s="32" t="s">
        <v>4559</v>
      </c>
      <c r="W32" s="73">
        <v>10</v>
      </c>
      <c r="X32" s="231">
        <v>0</v>
      </c>
      <c r="Y32" s="18">
        <v>0</v>
      </c>
      <c r="Z32" s="306" t="s">
        <v>3982</v>
      </c>
      <c r="AA32" s="21">
        <f>INDEX('[2]Cross-Section Database'!$C$2:$V$2928,MATCH(Z32,'[2]Cross-Section Database'!$B$2:$B$2928,0),3)</f>
        <v>230</v>
      </c>
      <c r="AB32" s="21">
        <f>INDEX('[2]Cross-Section Database'!$C$2:$V$2928,MATCH(Z32,'[2]Cross-Section Database'!$B$2:$B$2928,0),4)</f>
        <v>240</v>
      </c>
      <c r="AC32" s="21">
        <f>INDEX('[2]Cross-Section Database'!$C$2:$V$2928,MATCH(Z32,'[2]Cross-Section Database'!$B$2:$B$2928,0),6)</f>
        <v>12</v>
      </c>
      <c r="AD32" s="21">
        <f>INDEX('[2]Cross-Section Database'!$C$2:$V$2928,MATCH(Z32,'[2]Cross-Section Database'!$B$2:$B$2928,0),5)</f>
        <v>7.5</v>
      </c>
      <c r="AE32" s="33">
        <v>4900</v>
      </c>
      <c r="AF32" s="306" t="s">
        <v>3913</v>
      </c>
      <c r="AG32" s="21">
        <f>INDEX('[2]Cross-Section Database'!$C$2:$V$2928,MATCH(AF32,'[2]Cross-Section Database'!$B$2:$B$2928,0),3)</f>
        <v>300</v>
      </c>
      <c r="AH32" s="21">
        <f>INDEX('[2]Cross-Section Database'!$C$2:$V$2928,MATCH(AF32,'[2]Cross-Section Database'!$B$2:$B$2928,0),4)</f>
        <v>150</v>
      </c>
      <c r="AI32" s="21">
        <f>INDEX('[2]Cross-Section Database'!$C$2:$V$2928,MATCH(AF32,'[2]Cross-Section Database'!$B$2:$B$2928,0),6)</f>
        <v>10.7</v>
      </c>
      <c r="AJ32" s="21">
        <f>INDEX('[2]Cross-Section Database'!$C$2:$V$2928,MATCH(AF32,'[2]Cross-Section Database'!$B$2:$B$2928,0),5)</f>
        <v>7.1</v>
      </c>
      <c r="AK32" s="253">
        <v>1665</v>
      </c>
      <c r="AL32" s="21">
        <f>INDEX('[2]Cross-Section Database'!$C$2:$V$3928,MATCH(AF32,'[2]Cross-Section Database'!$B$2:$B$3928,0),11)</f>
        <v>83560000</v>
      </c>
      <c r="AM32" s="24">
        <f>INDEX('[2]Cross-Section Database'!$C$2:$V$3928,MATCH(AF32,'[2]Cross-Section Database'!$B$2:$B$3928,0),12)</f>
        <v>628000</v>
      </c>
      <c r="AN32" s="21">
        <v>25</v>
      </c>
      <c r="AO32" s="21">
        <v>180</v>
      </c>
      <c r="AP32" s="21">
        <v>320</v>
      </c>
      <c r="AQ32" s="21">
        <f t="shared" ref="AQ32:AQ52" si="12">(AP32-AG32)-AR32</f>
        <v>0</v>
      </c>
      <c r="AR32" s="163">
        <v>20</v>
      </c>
      <c r="AS32" s="306" t="s">
        <v>5807</v>
      </c>
      <c r="AT32" s="163" t="s">
        <v>6134</v>
      </c>
      <c r="AU32" s="163" t="s">
        <v>6134</v>
      </c>
      <c r="AV32" s="163">
        <v>22</v>
      </c>
      <c r="AW32" s="163">
        <f t="shared" si="11"/>
        <v>303</v>
      </c>
      <c r="AX32" s="33">
        <v>45</v>
      </c>
      <c r="AY32" s="33">
        <v>45</v>
      </c>
      <c r="AZ32" s="33">
        <v>70</v>
      </c>
      <c r="BA32" s="33">
        <v>70</v>
      </c>
      <c r="BB32" s="21">
        <f>AP32-AX32-AY32-AZ32</f>
        <v>160</v>
      </c>
      <c r="BC32" s="15" t="s">
        <v>4420</v>
      </c>
      <c r="BD32" s="163" t="s">
        <v>4465</v>
      </c>
      <c r="BE32" s="163" t="s">
        <v>6209</v>
      </c>
      <c r="BF32" s="163">
        <v>4</v>
      </c>
      <c r="BG32" s="163">
        <v>6</v>
      </c>
      <c r="BH32" s="202" t="s">
        <v>5792</v>
      </c>
      <c r="BI32" s="203" t="s">
        <v>5792</v>
      </c>
      <c r="BJ32" s="203" t="s">
        <v>5792</v>
      </c>
      <c r="BK32" s="203" t="s">
        <v>5792</v>
      </c>
      <c r="BL32" s="203" t="s">
        <v>5792</v>
      </c>
      <c r="BM32" s="203" t="s">
        <v>5792</v>
      </c>
      <c r="BN32" s="203" t="s">
        <v>5792</v>
      </c>
      <c r="BO32" s="203" t="s">
        <v>5792</v>
      </c>
      <c r="BP32" s="202" t="s">
        <v>5792</v>
      </c>
      <c r="BQ32" s="203" t="s">
        <v>5792</v>
      </c>
      <c r="BR32" s="203" t="s">
        <v>5792</v>
      </c>
      <c r="BS32" s="203" t="s">
        <v>5792</v>
      </c>
      <c r="BT32" s="203" t="s">
        <v>5792</v>
      </c>
      <c r="BU32" s="203" t="s">
        <v>5792</v>
      </c>
      <c r="BV32" s="218" t="s">
        <v>5792</v>
      </c>
      <c r="BW32" s="203" t="s">
        <v>5792</v>
      </c>
      <c r="BX32" s="203" t="s">
        <v>5792</v>
      </c>
      <c r="BY32" s="203" t="s">
        <v>5792</v>
      </c>
      <c r="BZ32" s="203" t="s">
        <v>5792</v>
      </c>
      <c r="CA32" s="203" t="s">
        <v>5792</v>
      </c>
      <c r="CB32" s="218" t="s">
        <v>5792</v>
      </c>
      <c r="CC32" s="32" t="s">
        <v>4449</v>
      </c>
      <c r="CD32" s="47">
        <v>235</v>
      </c>
      <c r="CE32" s="32">
        <v>300</v>
      </c>
      <c r="CF32" s="47">
        <v>360</v>
      </c>
      <c r="CG32" s="32">
        <v>450</v>
      </c>
      <c r="CH32" s="67">
        <v>200000</v>
      </c>
      <c r="CI32" s="107" t="s">
        <v>4449</v>
      </c>
      <c r="CJ32" s="47">
        <v>235</v>
      </c>
      <c r="CK32" s="21">
        <f>(264.5+340)/2</f>
        <v>302.25</v>
      </c>
      <c r="CL32" s="60">
        <v>360</v>
      </c>
      <c r="CM32" s="21">
        <f>(451+507.5)/2</f>
        <v>479.25</v>
      </c>
      <c r="CN32" s="67">
        <v>200000</v>
      </c>
      <c r="CO32" s="32" t="s">
        <v>4421</v>
      </c>
      <c r="CP32" s="60">
        <v>250</v>
      </c>
      <c r="CQ32" s="32">
        <v>300</v>
      </c>
      <c r="CR32" s="60">
        <v>475</v>
      </c>
      <c r="CS32" s="32">
        <v>450</v>
      </c>
      <c r="CT32" s="61">
        <v>200000</v>
      </c>
      <c r="CU32" s="207" t="s">
        <v>5792</v>
      </c>
      <c r="CV32" s="208" t="s">
        <v>5792</v>
      </c>
      <c r="CW32" s="208" t="s">
        <v>5792</v>
      </c>
      <c r="CX32" s="209" t="s">
        <v>5792</v>
      </c>
      <c r="CY32" s="207" t="s">
        <v>5792</v>
      </c>
      <c r="CZ32" s="208" t="s">
        <v>5792</v>
      </c>
      <c r="DA32" s="209" t="s">
        <v>5792</v>
      </c>
      <c r="DB32" s="283" t="s">
        <v>5792</v>
      </c>
      <c r="DC32" s="163">
        <v>10.9</v>
      </c>
      <c r="DD32" s="163">
        <v>900</v>
      </c>
      <c r="DE32" s="32">
        <v>990</v>
      </c>
      <c r="DF32" s="163">
        <v>1000</v>
      </c>
      <c r="DG32" s="32">
        <v>1100</v>
      </c>
      <c r="DH32" s="61">
        <v>200000</v>
      </c>
      <c r="DI32" s="29" t="s">
        <v>4779</v>
      </c>
      <c r="DJ32" s="163" t="s">
        <v>4435</v>
      </c>
      <c r="DK32" s="297" t="s">
        <v>4566</v>
      </c>
    </row>
    <row r="33" spans="1:115">
      <c r="A33" s="18">
        <v>28</v>
      </c>
      <c r="B33" s="326"/>
      <c r="C33" s="326"/>
      <c r="D33" s="346"/>
      <c r="E33" s="334"/>
      <c r="F33" s="326"/>
      <c r="G33" s="329"/>
      <c r="H33" s="329"/>
      <c r="I33" s="329"/>
      <c r="J33" s="41" t="s">
        <v>4467</v>
      </c>
      <c r="K33" s="306" t="s">
        <v>4383</v>
      </c>
      <c r="L33" s="163" t="s">
        <v>5792</v>
      </c>
      <c r="M33" s="306" t="s">
        <v>4509</v>
      </c>
      <c r="N33" s="163" t="s">
        <v>4708</v>
      </c>
      <c r="O33" s="18" t="s">
        <v>4507</v>
      </c>
      <c r="P33" s="163" t="s">
        <v>4420</v>
      </c>
      <c r="Q33" s="163" t="s">
        <v>4420</v>
      </c>
      <c r="R33" s="163" t="s">
        <v>4420</v>
      </c>
      <c r="S33" s="163" t="s">
        <v>5792</v>
      </c>
      <c r="T33" s="163" t="s">
        <v>4470</v>
      </c>
      <c r="U33" s="163">
        <v>15</v>
      </c>
      <c r="V33" s="32" t="s">
        <v>4559</v>
      </c>
      <c r="W33" s="73">
        <v>10</v>
      </c>
      <c r="X33" s="231">
        <v>0</v>
      </c>
      <c r="Y33" s="18">
        <v>0</v>
      </c>
      <c r="Z33" s="306" t="s">
        <v>3982</v>
      </c>
      <c r="AA33" s="21">
        <f>INDEX('[2]Cross-Section Database'!$C$2:$V$2928,MATCH(Z33,'[2]Cross-Section Database'!$B$2:$B$2928,0),3)</f>
        <v>230</v>
      </c>
      <c r="AB33" s="21">
        <f>INDEX('[2]Cross-Section Database'!$C$2:$V$2928,MATCH(Z33,'[2]Cross-Section Database'!$B$2:$B$2928,0),4)</f>
        <v>240</v>
      </c>
      <c r="AC33" s="21">
        <f>INDEX('[2]Cross-Section Database'!$C$2:$V$2928,MATCH(Z33,'[2]Cross-Section Database'!$B$2:$B$2928,0),6)</f>
        <v>12</v>
      </c>
      <c r="AD33" s="21">
        <f>INDEX('[2]Cross-Section Database'!$C$2:$V$2928,MATCH(Z33,'[2]Cross-Section Database'!$B$2:$B$2928,0),5)</f>
        <v>7.5</v>
      </c>
      <c r="AE33" s="33">
        <v>4900</v>
      </c>
      <c r="AF33" s="306" t="s">
        <v>3913</v>
      </c>
      <c r="AG33" s="21">
        <f>INDEX('[2]Cross-Section Database'!$C$2:$V$2928,MATCH(AF33,'[2]Cross-Section Database'!$B$2:$B$2928,0),3)</f>
        <v>300</v>
      </c>
      <c r="AH33" s="21">
        <f>INDEX('[2]Cross-Section Database'!$C$2:$V$2928,MATCH(AF33,'[2]Cross-Section Database'!$B$2:$B$2928,0),4)</f>
        <v>150</v>
      </c>
      <c r="AI33" s="21">
        <f>INDEX('[2]Cross-Section Database'!$C$2:$V$2928,MATCH(AF33,'[2]Cross-Section Database'!$B$2:$B$2928,0),6)</f>
        <v>10.7</v>
      </c>
      <c r="AJ33" s="21">
        <f>INDEX('[2]Cross-Section Database'!$C$2:$V$2928,MATCH(AF33,'[2]Cross-Section Database'!$B$2:$B$2928,0),5)</f>
        <v>7.1</v>
      </c>
      <c r="AK33" s="253">
        <v>1665</v>
      </c>
      <c r="AL33" s="21">
        <f>INDEX('[2]Cross-Section Database'!$C$2:$V$3928,MATCH(AF33,'[2]Cross-Section Database'!$B$2:$B$3928,0),11)</f>
        <v>83560000</v>
      </c>
      <c r="AM33" s="24">
        <f>INDEX('[2]Cross-Section Database'!$C$2:$V$3928,MATCH(AF33,'[2]Cross-Section Database'!$B$2:$B$3928,0),12)</f>
        <v>628000</v>
      </c>
      <c r="AN33" s="21">
        <v>25</v>
      </c>
      <c r="AO33" s="21">
        <v>180</v>
      </c>
      <c r="AP33" s="21">
        <v>350</v>
      </c>
      <c r="AQ33" s="21">
        <f t="shared" si="12"/>
        <v>0</v>
      </c>
      <c r="AR33" s="163">
        <v>50</v>
      </c>
      <c r="AS33" s="306" t="s">
        <v>5807</v>
      </c>
      <c r="AT33" s="163" t="s">
        <v>6134</v>
      </c>
      <c r="AU33" s="163" t="s">
        <v>6134</v>
      </c>
      <c r="AV33" s="163">
        <v>22</v>
      </c>
      <c r="AW33" s="163">
        <f t="shared" si="11"/>
        <v>303</v>
      </c>
      <c r="AX33" s="33">
        <v>45</v>
      </c>
      <c r="AY33" s="33">
        <v>45</v>
      </c>
      <c r="AZ33" s="33">
        <v>70</v>
      </c>
      <c r="BA33" s="33">
        <v>70</v>
      </c>
      <c r="BB33" s="21">
        <f>AP33-AX33-AY33-AZ33</f>
        <v>190</v>
      </c>
      <c r="BC33" s="15" t="s">
        <v>4420</v>
      </c>
      <c r="BD33" s="163" t="s">
        <v>4465</v>
      </c>
      <c r="BE33" s="163" t="s">
        <v>6209</v>
      </c>
      <c r="BF33" s="163">
        <v>4</v>
      </c>
      <c r="BG33" s="163">
        <v>6</v>
      </c>
      <c r="BH33" s="202" t="s">
        <v>5792</v>
      </c>
      <c r="BI33" s="203" t="s">
        <v>5792</v>
      </c>
      <c r="BJ33" s="203" t="s">
        <v>5792</v>
      </c>
      <c r="BK33" s="203" t="s">
        <v>5792</v>
      </c>
      <c r="BL33" s="203" t="s">
        <v>5792</v>
      </c>
      <c r="BM33" s="203" t="s">
        <v>5792</v>
      </c>
      <c r="BN33" s="203" t="s">
        <v>5792</v>
      </c>
      <c r="BO33" s="203" t="s">
        <v>5792</v>
      </c>
      <c r="BP33" s="202" t="s">
        <v>5792</v>
      </c>
      <c r="BQ33" s="203" t="s">
        <v>5792</v>
      </c>
      <c r="BR33" s="203" t="s">
        <v>5792</v>
      </c>
      <c r="BS33" s="203" t="s">
        <v>5792</v>
      </c>
      <c r="BT33" s="203" t="s">
        <v>5792</v>
      </c>
      <c r="BU33" s="203" t="s">
        <v>5792</v>
      </c>
      <c r="BV33" s="218" t="s">
        <v>5792</v>
      </c>
      <c r="BW33" s="203" t="s">
        <v>5792</v>
      </c>
      <c r="BX33" s="203" t="s">
        <v>5792</v>
      </c>
      <c r="BY33" s="203" t="s">
        <v>5792</v>
      </c>
      <c r="BZ33" s="203" t="s">
        <v>5792</v>
      </c>
      <c r="CA33" s="203" t="s">
        <v>5792</v>
      </c>
      <c r="CB33" s="218" t="s">
        <v>5792</v>
      </c>
      <c r="CC33" s="32" t="s">
        <v>4449</v>
      </c>
      <c r="CD33" s="47">
        <v>235</v>
      </c>
      <c r="CE33" s="32">
        <v>300</v>
      </c>
      <c r="CF33" s="47">
        <v>360</v>
      </c>
      <c r="CG33" s="32">
        <v>450</v>
      </c>
      <c r="CH33" s="67">
        <v>200000</v>
      </c>
      <c r="CI33" s="107" t="s">
        <v>4449</v>
      </c>
      <c r="CJ33" s="47">
        <v>235</v>
      </c>
      <c r="CK33" s="21">
        <f>(264.5+340)/2</f>
        <v>302.25</v>
      </c>
      <c r="CL33" s="60">
        <v>360</v>
      </c>
      <c r="CM33" s="21">
        <f>(451+507.5)/2</f>
        <v>479.25</v>
      </c>
      <c r="CN33" s="67">
        <v>200000</v>
      </c>
      <c r="CO33" s="32" t="s">
        <v>4421</v>
      </c>
      <c r="CP33" s="60">
        <v>250</v>
      </c>
      <c r="CQ33" s="32">
        <v>300</v>
      </c>
      <c r="CR33" s="60">
        <v>475</v>
      </c>
      <c r="CS33" s="32">
        <v>450</v>
      </c>
      <c r="CT33" s="61">
        <v>200000</v>
      </c>
      <c r="CU33" s="207" t="s">
        <v>5792</v>
      </c>
      <c r="CV33" s="208" t="s">
        <v>5792</v>
      </c>
      <c r="CW33" s="208" t="s">
        <v>5792</v>
      </c>
      <c r="CX33" s="209" t="s">
        <v>5792</v>
      </c>
      <c r="CY33" s="207" t="s">
        <v>5792</v>
      </c>
      <c r="CZ33" s="208" t="s">
        <v>5792</v>
      </c>
      <c r="DA33" s="209" t="s">
        <v>5792</v>
      </c>
      <c r="DB33" s="283" t="s">
        <v>5792</v>
      </c>
      <c r="DC33" s="163">
        <v>10.9</v>
      </c>
      <c r="DD33" s="163">
        <v>900</v>
      </c>
      <c r="DE33" s="32">
        <v>990</v>
      </c>
      <c r="DF33" s="163">
        <v>1000</v>
      </c>
      <c r="DG33" s="32">
        <v>1100</v>
      </c>
      <c r="DH33" s="61">
        <v>200000</v>
      </c>
      <c r="DI33" s="29" t="s">
        <v>4779</v>
      </c>
      <c r="DJ33" s="163" t="s">
        <v>4435</v>
      </c>
      <c r="DK33" s="297" t="s">
        <v>4566</v>
      </c>
    </row>
    <row r="34" spans="1:115">
      <c r="A34" s="18">
        <v>29</v>
      </c>
      <c r="B34" s="326"/>
      <c r="C34" s="326"/>
      <c r="D34" s="346"/>
      <c r="E34" s="334"/>
      <c r="F34" s="326"/>
      <c r="G34" s="329"/>
      <c r="H34" s="329"/>
      <c r="I34" s="329"/>
      <c r="J34" s="41" t="s">
        <v>4468</v>
      </c>
      <c r="K34" s="306" t="s">
        <v>4383</v>
      </c>
      <c r="L34" s="163" t="s">
        <v>5792</v>
      </c>
      <c r="M34" s="306" t="s">
        <v>4509</v>
      </c>
      <c r="N34" s="163" t="s">
        <v>4708</v>
      </c>
      <c r="O34" s="18" t="s">
        <v>4507</v>
      </c>
      <c r="P34" s="163" t="s">
        <v>4420</v>
      </c>
      <c r="Q34" s="163" t="s">
        <v>4420</v>
      </c>
      <c r="R34" s="163" t="s">
        <v>4420</v>
      </c>
      <c r="S34" s="163" t="s">
        <v>5792</v>
      </c>
      <c r="T34" s="163" t="s">
        <v>4470</v>
      </c>
      <c r="U34" s="163">
        <v>15</v>
      </c>
      <c r="V34" s="32" t="s">
        <v>4559</v>
      </c>
      <c r="W34" s="73">
        <v>10</v>
      </c>
      <c r="X34" s="231">
        <v>0</v>
      </c>
      <c r="Y34" s="18">
        <v>0</v>
      </c>
      <c r="Z34" s="306" t="s">
        <v>3982</v>
      </c>
      <c r="AA34" s="21">
        <f>INDEX('[2]Cross-Section Database'!$C$2:$V$2928,MATCH(Z34,'[2]Cross-Section Database'!$B$2:$B$2928,0),3)</f>
        <v>230</v>
      </c>
      <c r="AB34" s="21">
        <f>INDEX('[2]Cross-Section Database'!$C$2:$V$2928,MATCH(Z34,'[2]Cross-Section Database'!$B$2:$B$2928,0),4)</f>
        <v>240</v>
      </c>
      <c r="AC34" s="21">
        <f>INDEX('[2]Cross-Section Database'!$C$2:$V$2928,MATCH(Z34,'[2]Cross-Section Database'!$B$2:$B$2928,0),6)</f>
        <v>12</v>
      </c>
      <c r="AD34" s="21">
        <f>INDEX('[2]Cross-Section Database'!$C$2:$V$2928,MATCH(Z34,'[2]Cross-Section Database'!$B$2:$B$2928,0),5)</f>
        <v>7.5</v>
      </c>
      <c r="AE34" s="33">
        <v>4900</v>
      </c>
      <c r="AF34" s="306" t="s">
        <v>3913</v>
      </c>
      <c r="AG34" s="21">
        <f>INDEX('[2]Cross-Section Database'!$C$2:$V$2928,MATCH(AF34,'[2]Cross-Section Database'!$B$2:$B$2928,0),3)</f>
        <v>300</v>
      </c>
      <c r="AH34" s="21">
        <f>INDEX('[2]Cross-Section Database'!$C$2:$V$2928,MATCH(AF34,'[2]Cross-Section Database'!$B$2:$B$2928,0),4)</f>
        <v>150</v>
      </c>
      <c r="AI34" s="21">
        <f>INDEX('[2]Cross-Section Database'!$C$2:$V$2928,MATCH(AF34,'[2]Cross-Section Database'!$B$2:$B$2928,0),6)</f>
        <v>10.7</v>
      </c>
      <c r="AJ34" s="21">
        <f>INDEX('[2]Cross-Section Database'!$C$2:$V$2928,MATCH(AF34,'[2]Cross-Section Database'!$B$2:$B$2928,0),5)</f>
        <v>7.1</v>
      </c>
      <c r="AK34" s="253">
        <v>1665</v>
      </c>
      <c r="AL34" s="21">
        <f>INDEX('[2]Cross-Section Database'!$C$2:$V$3928,MATCH(AF34,'[2]Cross-Section Database'!$B$2:$B$3928,0),11)</f>
        <v>83560000</v>
      </c>
      <c r="AM34" s="24">
        <f>INDEX('[2]Cross-Section Database'!$C$2:$V$3928,MATCH(AF34,'[2]Cross-Section Database'!$B$2:$B$3928,0),12)</f>
        <v>628000</v>
      </c>
      <c r="AN34" s="21">
        <v>25</v>
      </c>
      <c r="AO34" s="21">
        <v>180</v>
      </c>
      <c r="AP34" s="21">
        <v>350</v>
      </c>
      <c r="AQ34" s="21">
        <f t="shared" si="12"/>
        <v>0</v>
      </c>
      <c r="AR34" s="163">
        <v>50</v>
      </c>
      <c r="AS34" s="306" t="s">
        <v>5807</v>
      </c>
      <c r="AT34" s="44" t="s">
        <v>6134</v>
      </c>
      <c r="AU34" s="163" t="s">
        <v>6134</v>
      </c>
      <c r="AV34" s="163">
        <v>22</v>
      </c>
      <c r="AW34" s="163">
        <f t="shared" si="11"/>
        <v>303</v>
      </c>
      <c r="AX34" s="33">
        <v>45</v>
      </c>
      <c r="AY34" s="33">
        <v>45</v>
      </c>
      <c r="AZ34" s="33">
        <v>70</v>
      </c>
      <c r="BA34" s="33">
        <v>70</v>
      </c>
      <c r="BB34" s="21">
        <f>AP34-AX34-AY34-AZ34</f>
        <v>190</v>
      </c>
      <c r="BC34" s="15" t="s">
        <v>4420</v>
      </c>
      <c r="BD34" s="163" t="s">
        <v>4465</v>
      </c>
      <c r="BE34" s="163" t="s">
        <v>6209</v>
      </c>
      <c r="BF34" s="163">
        <v>4</v>
      </c>
      <c r="BG34" s="163">
        <v>6</v>
      </c>
      <c r="BH34" s="202" t="s">
        <v>5792</v>
      </c>
      <c r="BI34" s="203" t="s">
        <v>5792</v>
      </c>
      <c r="BJ34" s="203" t="s">
        <v>5792</v>
      </c>
      <c r="BK34" s="203" t="s">
        <v>5792</v>
      </c>
      <c r="BL34" s="203" t="s">
        <v>5792</v>
      </c>
      <c r="BM34" s="203" t="s">
        <v>5792</v>
      </c>
      <c r="BN34" s="203" t="s">
        <v>5792</v>
      </c>
      <c r="BO34" s="203" t="s">
        <v>5792</v>
      </c>
      <c r="BP34" s="202" t="s">
        <v>5792</v>
      </c>
      <c r="BQ34" s="203" t="s">
        <v>5792</v>
      </c>
      <c r="BR34" s="203" t="s">
        <v>5792</v>
      </c>
      <c r="BS34" s="203" t="s">
        <v>5792</v>
      </c>
      <c r="BT34" s="203" t="s">
        <v>5792</v>
      </c>
      <c r="BU34" s="203" t="s">
        <v>5792</v>
      </c>
      <c r="BV34" s="218" t="s">
        <v>5792</v>
      </c>
      <c r="BW34" s="203" t="s">
        <v>5792</v>
      </c>
      <c r="BX34" s="203" t="s">
        <v>5792</v>
      </c>
      <c r="BY34" s="203" t="s">
        <v>5792</v>
      </c>
      <c r="BZ34" s="203" t="s">
        <v>5792</v>
      </c>
      <c r="CA34" s="203" t="s">
        <v>5792</v>
      </c>
      <c r="CB34" s="218" t="s">
        <v>5792</v>
      </c>
      <c r="CC34" s="32" t="s">
        <v>4449</v>
      </c>
      <c r="CD34" s="47">
        <v>235</v>
      </c>
      <c r="CE34" s="32">
        <v>300</v>
      </c>
      <c r="CF34" s="47">
        <v>360</v>
      </c>
      <c r="CG34" s="32">
        <v>450</v>
      </c>
      <c r="CH34" s="67">
        <v>200000</v>
      </c>
      <c r="CI34" s="107" t="s">
        <v>4449</v>
      </c>
      <c r="CJ34" s="47">
        <v>235</v>
      </c>
      <c r="CK34" s="21">
        <f>(264.5+340)/2</f>
        <v>302.25</v>
      </c>
      <c r="CL34" s="60">
        <v>360</v>
      </c>
      <c r="CM34" s="21">
        <f>(451+507.5)/2</f>
        <v>479.25</v>
      </c>
      <c r="CN34" s="67">
        <v>200000</v>
      </c>
      <c r="CO34" s="32" t="s">
        <v>4421</v>
      </c>
      <c r="CP34" s="60">
        <v>250</v>
      </c>
      <c r="CQ34" s="32">
        <v>300</v>
      </c>
      <c r="CR34" s="60">
        <v>475</v>
      </c>
      <c r="CS34" s="32">
        <v>450</v>
      </c>
      <c r="CT34" s="61">
        <v>200000</v>
      </c>
      <c r="CU34" s="207" t="s">
        <v>5792</v>
      </c>
      <c r="CV34" s="208" t="s">
        <v>5792</v>
      </c>
      <c r="CW34" s="208" t="s">
        <v>5792</v>
      </c>
      <c r="CX34" s="209" t="s">
        <v>5792</v>
      </c>
      <c r="CY34" s="207" t="s">
        <v>5792</v>
      </c>
      <c r="CZ34" s="208" t="s">
        <v>5792</v>
      </c>
      <c r="DA34" s="209" t="s">
        <v>5792</v>
      </c>
      <c r="DB34" s="283" t="s">
        <v>5792</v>
      </c>
      <c r="DC34" s="163">
        <v>10.9</v>
      </c>
      <c r="DD34" s="163">
        <v>900</v>
      </c>
      <c r="DE34" s="32">
        <v>990</v>
      </c>
      <c r="DF34" s="163">
        <v>1000</v>
      </c>
      <c r="DG34" s="32">
        <v>1100</v>
      </c>
      <c r="DH34" s="61">
        <v>200000</v>
      </c>
      <c r="DI34" s="29" t="s">
        <v>4779</v>
      </c>
      <c r="DJ34" s="163" t="s">
        <v>4435</v>
      </c>
      <c r="DK34" s="297" t="s">
        <v>4566</v>
      </c>
    </row>
    <row r="35" spans="1:115" ht="16.2" thickBot="1">
      <c r="A35" s="14">
        <v>30</v>
      </c>
      <c r="B35" s="327"/>
      <c r="C35" s="327"/>
      <c r="D35" s="347"/>
      <c r="E35" s="335"/>
      <c r="F35" s="327"/>
      <c r="G35" s="330"/>
      <c r="H35" s="330"/>
      <c r="I35" s="330"/>
      <c r="J35" s="42" t="s">
        <v>4469</v>
      </c>
      <c r="K35" s="143" t="s">
        <v>4383</v>
      </c>
      <c r="L35" s="164" t="s">
        <v>5792</v>
      </c>
      <c r="M35" s="143" t="s">
        <v>4509</v>
      </c>
      <c r="N35" s="164" t="s">
        <v>4708</v>
      </c>
      <c r="O35" s="14" t="s">
        <v>4507</v>
      </c>
      <c r="P35" s="164" t="s">
        <v>4420</v>
      </c>
      <c r="Q35" s="164" t="s">
        <v>4420</v>
      </c>
      <c r="R35" s="164" t="s">
        <v>4420</v>
      </c>
      <c r="S35" s="164" t="s">
        <v>5792</v>
      </c>
      <c r="T35" s="164" t="s">
        <v>4470</v>
      </c>
      <c r="U35" s="164">
        <v>15</v>
      </c>
      <c r="V35" s="34" t="s">
        <v>4559</v>
      </c>
      <c r="W35" s="118">
        <v>10</v>
      </c>
      <c r="X35" s="233">
        <v>0</v>
      </c>
      <c r="Y35" s="120">
        <v>0</v>
      </c>
      <c r="Z35" s="143" t="s">
        <v>3982</v>
      </c>
      <c r="AA35" s="23">
        <f>INDEX('[2]Cross-Section Database'!$C$2:$V$2928,MATCH(Z35,'[2]Cross-Section Database'!$B$2:$B$2928,0),3)</f>
        <v>230</v>
      </c>
      <c r="AB35" s="23">
        <f>INDEX('[2]Cross-Section Database'!$C$2:$V$2928,MATCH(Z35,'[2]Cross-Section Database'!$B$2:$B$2928,0),4)</f>
        <v>240</v>
      </c>
      <c r="AC35" s="23">
        <f>INDEX('[2]Cross-Section Database'!$C$2:$V$2928,MATCH(Z35,'[2]Cross-Section Database'!$B$2:$B$2928,0),6)</f>
        <v>12</v>
      </c>
      <c r="AD35" s="23">
        <f>INDEX('[2]Cross-Section Database'!$C$2:$V$2928,MATCH(Z35,'[2]Cross-Section Database'!$B$2:$B$2928,0),5)</f>
        <v>7.5</v>
      </c>
      <c r="AE35" s="35">
        <v>4900</v>
      </c>
      <c r="AF35" s="143" t="s">
        <v>3913</v>
      </c>
      <c r="AG35" s="23">
        <f>INDEX('[2]Cross-Section Database'!$C$2:$V$2928,MATCH(AF35,'[2]Cross-Section Database'!$B$2:$B$2928,0),3)</f>
        <v>300</v>
      </c>
      <c r="AH35" s="23">
        <f>INDEX('[2]Cross-Section Database'!$C$2:$V$2928,MATCH(AF35,'[2]Cross-Section Database'!$B$2:$B$2928,0),4)</f>
        <v>150</v>
      </c>
      <c r="AI35" s="23">
        <f>INDEX('[2]Cross-Section Database'!$C$2:$V$2928,MATCH(AF35,'[2]Cross-Section Database'!$B$2:$B$2928,0),6)</f>
        <v>10.7</v>
      </c>
      <c r="AJ35" s="23">
        <f>INDEX('[2]Cross-Section Database'!$C$2:$V$2928,MATCH(AF35,'[2]Cross-Section Database'!$B$2:$B$2928,0),5)</f>
        <v>7.1</v>
      </c>
      <c r="AK35" s="254">
        <v>1665</v>
      </c>
      <c r="AL35" s="23">
        <f>INDEX('[2]Cross-Section Database'!$C$2:$V$3928,MATCH(AF35,'[2]Cross-Section Database'!$B$2:$B$3928,0),11)</f>
        <v>83560000</v>
      </c>
      <c r="AM35" s="25">
        <f>INDEX('[2]Cross-Section Database'!$C$2:$V$3928,MATCH(AF35,'[2]Cross-Section Database'!$B$2:$B$3928,0),12)</f>
        <v>628000</v>
      </c>
      <c r="AN35" s="23">
        <v>25</v>
      </c>
      <c r="AO35" s="23">
        <v>180</v>
      </c>
      <c r="AP35" s="23">
        <v>350</v>
      </c>
      <c r="AQ35" s="23">
        <f t="shared" si="12"/>
        <v>0</v>
      </c>
      <c r="AR35" s="164">
        <v>50</v>
      </c>
      <c r="AS35" s="143" t="s">
        <v>5807</v>
      </c>
      <c r="AT35" s="164" t="s">
        <v>6134</v>
      </c>
      <c r="AU35" s="164" t="s">
        <v>6134</v>
      </c>
      <c r="AV35" s="164">
        <v>22</v>
      </c>
      <c r="AW35" s="164">
        <f t="shared" si="11"/>
        <v>303</v>
      </c>
      <c r="AX35" s="35">
        <v>45</v>
      </c>
      <c r="AY35" s="35">
        <v>45</v>
      </c>
      <c r="AZ35" s="35">
        <v>70</v>
      </c>
      <c r="BA35" s="35">
        <v>70</v>
      </c>
      <c r="BB35" s="23">
        <f>AP35-AX35-AY35-AZ35</f>
        <v>190</v>
      </c>
      <c r="BC35" s="19" t="s">
        <v>4420</v>
      </c>
      <c r="BD35" s="164" t="s">
        <v>4465</v>
      </c>
      <c r="BE35" s="164" t="s">
        <v>6209</v>
      </c>
      <c r="BF35" s="164">
        <v>4</v>
      </c>
      <c r="BG35" s="164">
        <v>6</v>
      </c>
      <c r="BH35" s="197" t="s">
        <v>5792</v>
      </c>
      <c r="BI35" s="198" t="s">
        <v>5792</v>
      </c>
      <c r="BJ35" s="198" t="s">
        <v>5792</v>
      </c>
      <c r="BK35" s="198" t="s">
        <v>5792</v>
      </c>
      <c r="BL35" s="198" t="s">
        <v>5792</v>
      </c>
      <c r="BM35" s="198" t="s">
        <v>5792</v>
      </c>
      <c r="BN35" s="198" t="s">
        <v>5792</v>
      </c>
      <c r="BO35" s="198" t="s">
        <v>5792</v>
      </c>
      <c r="BP35" s="197" t="s">
        <v>5792</v>
      </c>
      <c r="BQ35" s="198" t="s">
        <v>5792</v>
      </c>
      <c r="BR35" s="198" t="s">
        <v>5792</v>
      </c>
      <c r="BS35" s="198" t="s">
        <v>5792</v>
      </c>
      <c r="BT35" s="198" t="s">
        <v>5792</v>
      </c>
      <c r="BU35" s="198" t="s">
        <v>5792</v>
      </c>
      <c r="BV35" s="220" t="s">
        <v>5792</v>
      </c>
      <c r="BW35" s="198" t="s">
        <v>5792</v>
      </c>
      <c r="BX35" s="198" t="s">
        <v>5792</v>
      </c>
      <c r="BY35" s="198" t="s">
        <v>5792</v>
      </c>
      <c r="BZ35" s="198" t="s">
        <v>5792</v>
      </c>
      <c r="CA35" s="198" t="s">
        <v>5792</v>
      </c>
      <c r="CB35" s="220" t="s">
        <v>5792</v>
      </c>
      <c r="CC35" s="34" t="s">
        <v>4449</v>
      </c>
      <c r="CD35" s="85">
        <v>235</v>
      </c>
      <c r="CE35" s="34">
        <v>300</v>
      </c>
      <c r="CF35" s="85">
        <v>360</v>
      </c>
      <c r="CG35" s="34">
        <v>450</v>
      </c>
      <c r="CH35" s="70">
        <v>200000</v>
      </c>
      <c r="CI35" s="132" t="s">
        <v>4449</v>
      </c>
      <c r="CJ35" s="85">
        <v>235</v>
      </c>
      <c r="CK35" s="23">
        <f>(264.5+340)/2</f>
        <v>302.25</v>
      </c>
      <c r="CL35" s="87">
        <v>360</v>
      </c>
      <c r="CM35" s="23">
        <f>(451+507.5)/2</f>
        <v>479.25</v>
      </c>
      <c r="CN35" s="70">
        <v>200000</v>
      </c>
      <c r="CO35" s="34" t="s">
        <v>4421</v>
      </c>
      <c r="CP35" s="87">
        <v>250</v>
      </c>
      <c r="CQ35" s="34">
        <v>300</v>
      </c>
      <c r="CR35" s="87">
        <v>475</v>
      </c>
      <c r="CS35" s="34">
        <v>450</v>
      </c>
      <c r="CT35" s="77">
        <v>200000</v>
      </c>
      <c r="CU35" s="210" t="s">
        <v>5792</v>
      </c>
      <c r="CV35" s="211" t="s">
        <v>5792</v>
      </c>
      <c r="CW35" s="211" t="s">
        <v>5792</v>
      </c>
      <c r="CX35" s="212" t="s">
        <v>5792</v>
      </c>
      <c r="CY35" s="210" t="s">
        <v>5792</v>
      </c>
      <c r="CZ35" s="211" t="s">
        <v>5792</v>
      </c>
      <c r="DA35" s="212" t="s">
        <v>5792</v>
      </c>
      <c r="DB35" s="284" t="s">
        <v>5792</v>
      </c>
      <c r="DC35" s="164">
        <v>10.9</v>
      </c>
      <c r="DD35" s="164">
        <v>900</v>
      </c>
      <c r="DE35" s="34">
        <v>990</v>
      </c>
      <c r="DF35" s="164">
        <v>1000</v>
      </c>
      <c r="DG35" s="34">
        <v>1100</v>
      </c>
      <c r="DH35" s="77">
        <v>200000</v>
      </c>
      <c r="DI35" s="27" t="s">
        <v>4779</v>
      </c>
      <c r="DJ35" s="13" t="s">
        <v>4435</v>
      </c>
      <c r="DK35" s="298" t="s">
        <v>4566</v>
      </c>
    </row>
    <row r="36" spans="1:115" ht="15.6" customHeight="1">
      <c r="A36" s="18">
        <v>31</v>
      </c>
      <c r="B36" s="325">
        <v>3</v>
      </c>
      <c r="C36" s="325">
        <v>1975</v>
      </c>
      <c r="D36" s="345" t="s">
        <v>4464</v>
      </c>
      <c r="E36" s="333" t="s">
        <v>4837</v>
      </c>
      <c r="F36" s="325">
        <v>12</v>
      </c>
      <c r="G36" s="328" t="s">
        <v>5898</v>
      </c>
      <c r="H36" s="328" t="s">
        <v>5897</v>
      </c>
      <c r="I36" s="328" t="s">
        <v>6223</v>
      </c>
      <c r="J36" s="41" t="s">
        <v>4402</v>
      </c>
      <c r="K36" s="306" t="s">
        <v>4383</v>
      </c>
      <c r="L36" s="163" t="s">
        <v>5792</v>
      </c>
      <c r="M36" s="306" t="s">
        <v>4508</v>
      </c>
      <c r="N36" s="163" t="s">
        <v>4701</v>
      </c>
      <c r="O36" s="18" t="s">
        <v>4507</v>
      </c>
      <c r="P36" s="163" t="s">
        <v>4420</v>
      </c>
      <c r="Q36" s="163" t="s">
        <v>4420</v>
      </c>
      <c r="R36" s="163" t="s">
        <v>4420</v>
      </c>
      <c r="S36" s="163" t="s">
        <v>5792</v>
      </c>
      <c r="T36" s="163" t="s">
        <v>4470</v>
      </c>
      <c r="U36" s="163">
        <v>15</v>
      </c>
      <c r="V36" s="32" t="s">
        <v>4559</v>
      </c>
      <c r="W36" s="73">
        <v>10</v>
      </c>
      <c r="X36" s="231">
        <v>0</v>
      </c>
      <c r="Y36" s="18">
        <v>0</v>
      </c>
      <c r="Z36" s="306" t="s">
        <v>3982</v>
      </c>
      <c r="AA36" s="21">
        <f>INDEX('[2]Cross-Section Database'!$C$2:$V$2928,MATCH(Z36,'[2]Cross-Section Database'!$B$2:$B$2928,0),3)</f>
        <v>230</v>
      </c>
      <c r="AB36" s="21">
        <f>INDEX('[2]Cross-Section Database'!$C$2:$V$2928,MATCH(Z36,'[2]Cross-Section Database'!$B$2:$B$2928,0),4)</f>
        <v>240</v>
      </c>
      <c r="AC36" s="21">
        <f>INDEX('[2]Cross-Section Database'!$C$2:$V$2928,MATCH(Z36,'[2]Cross-Section Database'!$B$2:$B$2928,0),6)</f>
        <v>12</v>
      </c>
      <c r="AD36" s="21">
        <f>INDEX('[2]Cross-Section Database'!$C$2:$V$2928,MATCH(Z36,'[2]Cross-Section Database'!$B$2:$B$2928,0),5)</f>
        <v>7.5</v>
      </c>
      <c r="AE36" s="228">
        <v>660</v>
      </c>
      <c r="AF36" s="306" t="s">
        <v>3922</v>
      </c>
      <c r="AG36" s="21">
        <f>INDEX('[2]Cross-Section Database'!$C$2:$V$2928,MATCH(AF36,'[2]Cross-Section Database'!$B$2:$B$2928,0),3)</f>
        <v>400</v>
      </c>
      <c r="AH36" s="21">
        <f>INDEX('[2]Cross-Section Database'!$C$2:$V$2928,MATCH(AF36,'[2]Cross-Section Database'!$B$2:$B$2928,0),4)</f>
        <v>180</v>
      </c>
      <c r="AI36" s="21">
        <f>INDEX('[2]Cross-Section Database'!$C$2:$V$2928,MATCH(AF36,'[2]Cross-Section Database'!$B$2:$B$2928,0),6)</f>
        <v>13.5</v>
      </c>
      <c r="AJ36" s="21">
        <f>INDEX('[2]Cross-Section Database'!$C$2:$V$2928,MATCH(AF36,'[2]Cross-Section Database'!$B$2:$B$2928,0),5)</f>
        <v>8.6</v>
      </c>
      <c r="AK36" s="255">
        <v>1100</v>
      </c>
      <c r="AL36" s="21">
        <f>INDEX('[2]Cross-Section Database'!$C$2:$V$3928,MATCH(AF36,'[2]Cross-Section Database'!$B$2:$B$3928,0),11)</f>
        <v>231300000</v>
      </c>
      <c r="AM36" s="24">
        <f>INDEX('[2]Cross-Section Database'!$C$2:$V$3928,MATCH(AF36,'[2]Cross-Section Database'!$B$2:$B$3928,0),12)</f>
        <v>1307000</v>
      </c>
      <c r="AN36" s="21">
        <v>25</v>
      </c>
      <c r="AO36" s="21">
        <v>180</v>
      </c>
      <c r="AP36" s="21">
        <v>400</v>
      </c>
      <c r="AQ36" s="21">
        <f t="shared" si="12"/>
        <v>0</v>
      </c>
      <c r="AR36" s="163">
        <f>(AP36-AG36)/2</f>
        <v>0</v>
      </c>
      <c r="AS36" s="306" t="s">
        <v>5807</v>
      </c>
      <c r="AT36" s="163" t="s">
        <v>6134</v>
      </c>
      <c r="AU36" s="21">
        <v>116</v>
      </c>
      <c r="AV36" s="163">
        <v>24</v>
      </c>
      <c r="AW36" s="163">
        <f t="shared" si="11"/>
        <v>353</v>
      </c>
      <c r="AX36" s="21">
        <v>50</v>
      </c>
      <c r="AY36" s="21">
        <f t="shared" ref="AY36:AY42" si="13">AX36</f>
        <v>50</v>
      </c>
      <c r="AZ36" s="21">
        <v>70</v>
      </c>
      <c r="BA36" s="21">
        <v>70</v>
      </c>
      <c r="BB36" s="21">
        <v>220</v>
      </c>
      <c r="BC36" s="15" t="s">
        <v>4420</v>
      </c>
      <c r="BD36" s="163" t="s">
        <v>4465</v>
      </c>
      <c r="BE36" s="163" t="s">
        <v>6209</v>
      </c>
      <c r="BF36" s="163">
        <v>4</v>
      </c>
      <c r="BG36" s="163">
        <v>6</v>
      </c>
      <c r="BH36" s="202" t="s">
        <v>5792</v>
      </c>
      <c r="BI36" s="203" t="s">
        <v>5792</v>
      </c>
      <c r="BJ36" s="203" t="s">
        <v>5792</v>
      </c>
      <c r="BK36" s="203" t="s">
        <v>5792</v>
      </c>
      <c r="BL36" s="203" t="s">
        <v>5792</v>
      </c>
      <c r="BM36" s="203" t="s">
        <v>5792</v>
      </c>
      <c r="BN36" s="203" t="s">
        <v>5792</v>
      </c>
      <c r="BO36" s="203" t="s">
        <v>5792</v>
      </c>
      <c r="BP36" s="202" t="s">
        <v>5792</v>
      </c>
      <c r="BQ36" s="203" t="s">
        <v>5792</v>
      </c>
      <c r="BR36" s="203" t="s">
        <v>5792</v>
      </c>
      <c r="BS36" s="203" t="s">
        <v>5792</v>
      </c>
      <c r="BT36" s="203" t="s">
        <v>5792</v>
      </c>
      <c r="BU36" s="203" t="s">
        <v>5792</v>
      </c>
      <c r="BV36" s="218" t="s">
        <v>5792</v>
      </c>
      <c r="BW36" s="203" t="s">
        <v>5792</v>
      </c>
      <c r="BX36" s="203" t="s">
        <v>5792</v>
      </c>
      <c r="BY36" s="203" t="s">
        <v>5792</v>
      </c>
      <c r="BZ36" s="203" t="s">
        <v>5792</v>
      </c>
      <c r="CA36" s="203" t="s">
        <v>5792</v>
      </c>
      <c r="CB36" s="218" t="s">
        <v>5792</v>
      </c>
      <c r="CC36" s="32" t="s">
        <v>4449</v>
      </c>
      <c r="CD36" s="47">
        <v>235</v>
      </c>
      <c r="CE36" s="21">
        <v>295.5</v>
      </c>
      <c r="CF36" s="47">
        <v>360</v>
      </c>
      <c r="CG36" s="163">
        <v>419.5</v>
      </c>
      <c r="CH36" s="67">
        <v>200000</v>
      </c>
      <c r="CI36" s="107" t="s">
        <v>4449</v>
      </c>
      <c r="CJ36" s="47">
        <v>235</v>
      </c>
      <c r="CK36" s="163">
        <v>321</v>
      </c>
      <c r="CL36" s="60">
        <v>360</v>
      </c>
      <c r="CM36" s="163">
        <v>447</v>
      </c>
      <c r="CN36" s="67">
        <v>200000</v>
      </c>
      <c r="CO36" s="32" t="s">
        <v>4421</v>
      </c>
      <c r="CP36" s="60">
        <v>250</v>
      </c>
      <c r="CQ36" s="163">
        <v>294</v>
      </c>
      <c r="CR36" s="60">
        <v>475</v>
      </c>
      <c r="CS36" s="163">
        <v>444</v>
      </c>
      <c r="CT36" s="61">
        <v>200000</v>
      </c>
      <c r="CU36" s="207" t="s">
        <v>5792</v>
      </c>
      <c r="CV36" s="208" t="s">
        <v>5792</v>
      </c>
      <c r="CW36" s="208" t="s">
        <v>5792</v>
      </c>
      <c r="CX36" s="209" t="s">
        <v>5792</v>
      </c>
      <c r="CY36" s="207" t="s">
        <v>5792</v>
      </c>
      <c r="CZ36" s="208" t="s">
        <v>5792</v>
      </c>
      <c r="DA36" s="209" t="s">
        <v>5792</v>
      </c>
      <c r="DB36" s="283" t="s">
        <v>5792</v>
      </c>
      <c r="DC36" s="163">
        <v>8.8000000000000007</v>
      </c>
      <c r="DD36" s="65">
        <v>640</v>
      </c>
      <c r="DE36" s="30">
        <v>730</v>
      </c>
      <c r="DF36" s="65">
        <v>800</v>
      </c>
      <c r="DG36" s="30">
        <v>940</v>
      </c>
      <c r="DH36" s="61">
        <v>200000</v>
      </c>
      <c r="DI36" s="29" t="s">
        <v>4771</v>
      </c>
      <c r="DJ36" s="163" t="s">
        <v>4435</v>
      </c>
      <c r="DK36" s="297" t="s">
        <v>4566</v>
      </c>
    </row>
    <row r="37" spans="1:115">
      <c r="A37" s="18">
        <v>32</v>
      </c>
      <c r="B37" s="326"/>
      <c r="C37" s="326"/>
      <c r="D37" s="346"/>
      <c r="E37" s="334"/>
      <c r="F37" s="326"/>
      <c r="G37" s="329"/>
      <c r="H37" s="329"/>
      <c r="I37" s="329"/>
      <c r="J37" s="41" t="s">
        <v>4403</v>
      </c>
      <c r="K37" s="306" t="s">
        <v>4383</v>
      </c>
      <c r="L37" s="163" t="s">
        <v>5792</v>
      </c>
      <c r="M37" s="306" t="s">
        <v>4508</v>
      </c>
      <c r="N37" s="163" t="s">
        <v>4701</v>
      </c>
      <c r="O37" s="18" t="s">
        <v>4507</v>
      </c>
      <c r="P37" s="163" t="s">
        <v>4420</v>
      </c>
      <c r="Q37" s="163" t="s">
        <v>4420</v>
      </c>
      <c r="R37" s="163" t="s">
        <v>4420</v>
      </c>
      <c r="S37" s="163" t="s">
        <v>5792</v>
      </c>
      <c r="T37" s="163" t="s">
        <v>4470</v>
      </c>
      <c r="U37" s="163">
        <v>15</v>
      </c>
      <c r="V37" s="32" t="s">
        <v>4559</v>
      </c>
      <c r="W37" s="73">
        <v>10</v>
      </c>
      <c r="X37" s="231">
        <v>0</v>
      </c>
      <c r="Y37" s="18">
        <v>0</v>
      </c>
      <c r="Z37" s="306" t="s">
        <v>3982</v>
      </c>
      <c r="AA37" s="21">
        <f>INDEX('[2]Cross-Section Database'!$C$2:$V$2928,MATCH(Z37,'[2]Cross-Section Database'!$B$2:$B$2928,0),3)</f>
        <v>230</v>
      </c>
      <c r="AB37" s="21">
        <f>INDEX('[2]Cross-Section Database'!$C$2:$V$2928,MATCH(Z37,'[2]Cross-Section Database'!$B$2:$B$2928,0),4)</f>
        <v>240</v>
      </c>
      <c r="AC37" s="21">
        <f>INDEX('[2]Cross-Section Database'!$C$2:$V$2928,MATCH(Z37,'[2]Cross-Section Database'!$B$2:$B$2928,0),6)</f>
        <v>12</v>
      </c>
      <c r="AD37" s="21">
        <f>INDEX('[2]Cross-Section Database'!$C$2:$V$2928,MATCH(Z37,'[2]Cross-Section Database'!$B$2:$B$2928,0),5)</f>
        <v>7.5</v>
      </c>
      <c r="AE37" s="228">
        <v>660</v>
      </c>
      <c r="AF37" s="306" t="s">
        <v>3922</v>
      </c>
      <c r="AG37" s="21">
        <f>INDEX('[2]Cross-Section Database'!$C$2:$V$2928,MATCH(AF37,'[2]Cross-Section Database'!$B$2:$B$2928,0),3)</f>
        <v>400</v>
      </c>
      <c r="AH37" s="21">
        <f>INDEX('[2]Cross-Section Database'!$C$2:$V$2928,MATCH(AF37,'[2]Cross-Section Database'!$B$2:$B$2928,0),4)</f>
        <v>180</v>
      </c>
      <c r="AI37" s="21">
        <f>INDEX('[2]Cross-Section Database'!$C$2:$V$2928,MATCH(AF37,'[2]Cross-Section Database'!$B$2:$B$2928,0),6)</f>
        <v>13.5</v>
      </c>
      <c r="AJ37" s="21">
        <f>INDEX('[2]Cross-Section Database'!$C$2:$V$2928,MATCH(AF37,'[2]Cross-Section Database'!$B$2:$B$2928,0),5)</f>
        <v>8.6</v>
      </c>
      <c r="AK37" s="255">
        <v>1100</v>
      </c>
      <c r="AL37" s="21">
        <f>INDEX('[2]Cross-Section Database'!$C$2:$V$3928,MATCH(AF37,'[2]Cross-Section Database'!$B$2:$B$3928,0),11)</f>
        <v>231300000</v>
      </c>
      <c r="AM37" s="24">
        <f>INDEX('[2]Cross-Section Database'!$C$2:$V$3928,MATCH(AF37,'[2]Cross-Section Database'!$B$2:$B$3928,0),12)</f>
        <v>1307000</v>
      </c>
      <c r="AN37" s="21">
        <v>25</v>
      </c>
      <c r="AO37" s="21">
        <v>180</v>
      </c>
      <c r="AP37" s="21">
        <v>450</v>
      </c>
      <c r="AQ37" s="21">
        <f t="shared" si="12"/>
        <v>0</v>
      </c>
      <c r="AR37" s="163">
        <v>50</v>
      </c>
      <c r="AS37" s="306" t="s">
        <v>5807</v>
      </c>
      <c r="AT37" s="163" t="s">
        <v>6134</v>
      </c>
      <c r="AU37" s="21">
        <v>127</v>
      </c>
      <c r="AV37" s="163">
        <v>24</v>
      </c>
      <c r="AW37" s="163">
        <f t="shared" si="11"/>
        <v>353</v>
      </c>
      <c r="AX37" s="21">
        <v>50</v>
      </c>
      <c r="AY37" s="21">
        <v>100</v>
      </c>
      <c r="AZ37" s="21">
        <v>70</v>
      </c>
      <c r="BA37" s="21">
        <v>70</v>
      </c>
      <c r="BB37" s="21">
        <v>220</v>
      </c>
      <c r="BC37" s="15" t="s">
        <v>4420</v>
      </c>
      <c r="BD37" s="163" t="s">
        <v>4465</v>
      </c>
      <c r="BE37" s="163" t="s">
        <v>6209</v>
      </c>
      <c r="BF37" s="163">
        <v>4</v>
      </c>
      <c r="BG37" s="163">
        <v>6</v>
      </c>
      <c r="BH37" s="202" t="s">
        <v>5792</v>
      </c>
      <c r="BI37" s="203" t="s">
        <v>5792</v>
      </c>
      <c r="BJ37" s="203" t="s">
        <v>5792</v>
      </c>
      <c r="BK37" s="203" t="s">
        <v>5792</v>
      </c>
      <c r="BL37" s="203" t="s">
        <v>5792</v>
      </c>
      <c r="BM37" s="203" t="s">
        <v>5792</v>
      </c>
      <c r="BN37" s="203" t="s">
        <v>5792</v>
      </c>
      <c r="BO37" s="203" t="s">
        <v>5792</v>
      </c>
      <c r="BP37" s="202" t="s">
        <v>5792</v>
      </c>
      <c r="BQ37" s="203" t="s">
        <v>5792</v>
      </c>
      <c r="BR37" s="203" t="s">
        <v>5792</v>
      </c>
      <c r="BS37" s="203" t="s">
        <v>5792</v>
      </c>
      <c r="BT37" s="203" t="s">
        <v>5792</v>
      </c>
      <c r="BU37" s="203" t="s">
        <v>5792</v>
      </c>
      <c r="BV37" s="218" t="s">
        <v>5792</v>
      </c>
      <c r="BW37" s="203" t="s">
        <v>5792</v>
      </c>
      <c r="BX37" s="203" t="s">
        <v>5792</v>
      </c>
      <c r="BY37" s="203" t="s">
        <v>5792</v>
      </c>
      <c r="BZ37" s="203" t="s">
        <v>5792</v>
      </c>
      <c r="CA37" s="203" t="s">
        <v>5792</v>
      </c>
      <c r="CB37" s="218" t="s">
        <v>5792</v>
      </c>
      <c r="CC37" s="32" t="s">
        <v>4449</v>
      </c>
      <c r="CD37" s="47">
        <v>235</v>
      </c>
      <c r="CE37" s="21">
        <v>295.5</v>
      </c>
      <c r="CF37" s="47">
        <v>360</v>
      </c>
      <c r="CG37" s="163">
        <v>419.5</v>
      </c>
      <c r="CH37" s="67">
        <v>200000</v>
      </c>
      <c r="CI37" s="107" t="s">
        <v>4449</v>
      </c>
      <c r="CJ37" s="47">
        <v>235</v>
      </c>
      <c r="CK37" s="163">
        <v>321</v>
      </c>
      <c r="CL37" s="60">
        <v>360</v>
      </c>
      <c r="CM37" s="163">
        <v>447</v>
      </c>
      <c r="CN37" s="67">
        <v>200000</v>
      </c>
      <c r="CO37" s="32" t="s">
        <v>4421</v>
      </c>
      <c r="CP37" s="60">
        <v>250</v>
      </c>
      <c r="CQ37" s="163">
        <v>294</v>
      </c>
      <c r="CR37" s="60">
        <v>475</v>
      </c>
      <c r="CS37" s="163">
        <v>444</v>
      </c>
      <c r="CT37" s="61">
        <v>200000</v>
      </c>
      <c r="CU37" s="207" t="s">
        <v>5792</v>
      </c>
      <c r="CV37" s="208" t="s">
        <v>5792</v>
      </c>
      <c r="CW37" s="208" t="s">
        <v>5792</v>
      </c>
      <c r="CX37" s="209" t="s">
        <v>5792</v>
      </c>
      <c r="CY37" s="207" t="s">
        <v>5792</v>
      </c>
      <c r="CZ37" s="208" t="s">
        <v>5792</v>
      </c>
      <c r="DA37" s="209" t="s">
        <v>5792</v>
      </c>
      <c r="DB37" s="283" t="s">
        <v>5792</v>
      </c>
      <c r="DC37" s="163">
        <v>8.8000000000000007</v>
      </c>
      <c r="DD37" s="60">
        <v>640</v>
      </c>
      <c r="DE37" s="32">
        <v>730</v>
      </c>
      <c r="DF37" s="60">
        <v>800</v>
      </c>
      <c r="DG37" s="32">
        <v>940</v>
      </c>
      <c r="DH37" s="61">
        <v>200000</v>
      </c>
      <c r="DI37" s="29" t="s">
        <v>4771</v>
      </c>
      <c r="DJ37" s="163" t="s">
        <v>4435</v>
      </c>
      <c r="DK37" s="297" t="s">
        <v>4566</v>
      </c>
    </row>
    <row r="38" spans="1:115">
      <c r="A38" s="18">
        <v>33</v>
      </c>
      <c r="B38" s="326"/>
      <c r="C38" s="326"/>
      <c r="D38" s="346"/>
      <c r="E38" s="334"/>
      <c r="F38" s="326"/>
      <c r="G38" s="329"/>
      <c r="H38" s="329"/>
      <c r="I38" s="329"/>
      <c r="J38" s="41" t="s">
        <v>4404</v>
      </c>
      <c r="K38" s="306" t="s">
        <v>4383</v>
      </c>
      <c r="L38" s="163" t="s">
        <v>5792</v>
      </c>
      <c r="M38" s="306" t="s">
        <v>4508</v>
      </c>
      <c r="N38" s="163" t="s">
        <v>4701</v>
      </c>
      <c r="O38" s="18" t="s">
        <v>4507</v>
      </c>
      <c r="P38" s="163" t="s">
        <v>4420</v>
      </c>
      <c r="Q38" s="163" t="s">
        <v>4420</v>
      </c>
      <c r="R38" s="163" t="s">
        <v>6170</v>
      </c>
      <c r="S38" s="163">
        <v>10</v>
      </c>
      <c r="T38" s="163" t="s">
        <v>4420</v>
      </c>
      <c r="U38" s="163" t="s">
        <v>5792</v>
      </c>
      <c r="V38" s="32" t="s">
        <v>4559</v>
      </c>
      <c r="W38" s="73">
        <v>10</v>
      </c>
      <c r="X38" s="231">
        <v>0</v>
      </c>
      <c r="Y38" s="18">
        <v>0</v>
      </c>
      <c r="Z38" s="306" t="s">
        <v>3982</v>
      </c>
      <c r="AA38" s="21">
        <f>INDEX('[2]Cross-Section Database'!$C$2:$V$2928,MATCH(Z38,'[2]Cross-Section Database'!$B$2:$B$2928,0),3)</f>
        <v>230</v>
      </c>
      <c r="AB38" s="21">
        <f>INDEX('[2]Cross-Section Database'!$C$2:$V$2928,MATCH(Z38,'[2]Cross-Section Database'!$B$2:$B$2928,0),4)</f>
        <v>240</v>
      </c>
      <c r="AC38" s="21">
        <f>INDEX('[2]Cross-Section Database'!$C$2:$V$2928,MATCH(Z38,'[2]Cross-Section Database'!$B$2:$B$2928,0),6)</f>
        <v>12</v>
      </c>
      <c r="AD38" s="21">
        <f>INDEX('[2]Cross-Section Database'!$C$2:$V$2928,MATCH(Z38,'[2]Cross-Section Database'!$B$2:$B$2928,0),5)</f>
        <v>7.5</v>
      </c>
      <c r="AE38" s="228">
        <v>660</v>
      </c>
      <c r="AF38" s="306" t="s">
        <v>3922</v>
      </c>
      <c r="AG38" s="21">
        <f>INDEX('[2]Cross-Section Database'!$C$2:$V$2928,MATCH(AF38,'[2]Cross-Section Database'!$B$2:$B$2928,0),3)</f>
        <v>400</v>
      </c>
      <c r="AH38" s="21">
        <f>INDEX('[2]Cross-Section Database'!$C$2:$V$2928,MATCH(AF38,'[2]Cross-Section Database'!$B$2:$B$2928,0),4)</f>
        <v>180</v>
      </c>
      <c r="AI38" s="21">
        <f>INDEX('[2]Cross-Section Database'!$C$2:$V$2928,MATCH(AF38,'[2]Cross-Section Database'!$B$2:$B$2928,0),6)</f>
        <v>13.5</v>
      </c>
      <c r="AJ38" s="21">
        <f>INDEX('[2]Cross-Section Database'!$C$2:$V$2928,MATCH(AF38,'[2]Cross-Section Database'!$B$2:$B$2928,0),5)</f>
        <v>8.6</v>
      </c>
      <c r="AK38" s="255">
        <v>1100</v>
      </c>
      <c r="AL38" s="21">
        <f>INDEX('[2]Cross-Section Database'!$C$2:$V$3928,MATCH(AF38,'[2]Cross-Section Database'!$B$2:$B$3928,0),11)</f>
        <v>231300000</v>
      </c>
      <c r="AM38" s="24">
        <f>INDEX('[2]Cross-Section Database'!$C$2:$V$3928,MATCH(AF38,'[2]Cross-Section Database'!$B$2:$B$3928,0),12)</f>
        <v>1307000</v>
      </c>
      <c r="AN38" s="21">
        <v>25</v>
      </c>
      <c r="AO38" s="21">
        <v>180</v>
      </c>
      <c r="AP38" s="21">
        <v>400</v>
      </c>
      <c r="AQ38" s="21">
        <f t="shared" si="12"/>
        <v>0</v>
      </c>
      <c r="AR38" s="163">
        <v>0</v>
      </c>
      <c r="AS38" s="306" t="s">
        <v>5807</v>
      </c>
      <c r="AT38" s="163" t="s">
        <v>6134</v>
      </c>
      <c r="AU38" s="21">
        <v>65</v>
      </c>
      <c r="AV38" s="163">
        <v>24</v>
      </c>
      <c r="AW38" s="163">
        <f t="shared" si="11"/>
        <v>353</v>
      </c>
      <c r="AX38" s="21">
        <v>50</v>
      </c>
      <c r="AY38" s="21">
        <f t="shared" si="13"/>
        <v>50</v>
      </c>
      <c r="AZ38" s="21">
        <v>70</v>
      </c>
      <c r="BA38" s="21">
        <v>70</v>
      </c>
      <c r="BB38" s="21">
        <v>220</v>
      </c>
      <c r="BC38" s="15" t="s">
        <v>4420</v>
      </c>
      <c r="BD38" s="163" t="s">
        <v>6210</v>
      </c>
      <c r="BE38" s="163" t="s">
        <v>6209</v>
      </c>
      <c r="BF38" s="163">
        <v>6</v>
      </c>
      <c r="BG38" s="163">
        <v>8</v>
      </c>
      <c r="BH38" s="202" t="s">
        <v>5792</v>
      </c>
      <c r="BI38" s="203" t="s">
        <v>5792</v>
      </c>
      <c r="BJ38" s="203" t="s">
        <v>5792</v>
      </c>
      <c r="BK38" s="203" t="s">
        <v>5792</v>
      </c>
      <c r="BL38" s="203" t="s">
        <v>5792</v>
      </c>
      <c r="BM38" s="203" t="s">
        <v>5792</v>
      </c>
      <c r="BN38" s="203" t="s">
        <v>5792</v>
      </c>
      <c r="BO38" s="203" t="s">
        <v>5792</v>
      </c>
      <c r="BP38" s="202" t="s">
        <v>5792</v>
      </c>
      <c r="BQ38" s="203" t="s">
        <v>5792</v>
      </c>
      <c r="BR38" s="203" t="s">
        <v>5792</v>
      </c>
      <c r="BS38" s="203" t="s">
        <v>5792</v>
      </c>
      <c r="BT38" s="203" t="s">
        <v>5792</v>
      </c>
      <c r="BU38" s="203" t="s">
        <v>5792</v>
      </c>
      <c r="BV38" s="218" t="s">
        <v>5792</v>
      </c>
      <c r="BW38" s="203" t="s">
        <v>5792</v>
      </c>
      <c r="BX38" s="203" t="s">
        <v>5792</v>
      </c>
      <c r="BY38" s="203" t="s">
        <v>5792</v>
      </c>
      <c r="BZ38" s="203" t="s">
        <v>5792</v>
      </c>
      <c r="CA38" s="203" t="s">
        <v>5792</v>
      </c>
      <c r="CB38" s="218" t="s">
        <v>5792</v>
      </c>
      <c r="CC38" s="32" t="s">
        <v>4449</v>
      </c>
      <c r="CD38" s="47">
        <v>235</v>
      </c>
      <c r="CE38" s="21">
        <v>295.5</v>
      </c>
      <c r="CF38" s="47">
        <v>360</v>
      </c>
      <c r="CG38" s="163">
        <v>419.5</v>
      </c>
      <c r="CH38" s="67">
        <v>200000</v>
      </c>
      <c r="CI38" s="107" t="s">
        <v>4449</v>
      </c>
      <c r="CJ38" s="47">
        <v>235</v>
      </c>
      <c r="CK38" s="163">
        <v>321</v>
      </c>
      <c r="CL38" s="60">
        <v>360</v>
      </c>
      <c r="CM38" s="163">
        <v>447</v>
      </c>
      <c r="CN38" s="67">
        <v>200000</v>
      </c>
      <c r="CO38" s="32" t="s">
        <v>4421</v>
      </c>
      <c r="CP38" s="60">
        <v>250</v>
      </c>
      <c r="CQ38" s="163">
        <v>294</v>
      </c>
      <c r="CR38" s="60">
        <v>475</v>
      </c>
      <c r="CS38" s="163">
        <v>444</v>
      </c>
      <c r="CT38" s="61">
        <v>200000</v>
      </c>
      <c r="CU38" s="207" t="s">
        <v>5792</v>
      </c>
      <c r="CV38" s="208" t="s">
        <v>5792</v>
      </c>
      <c r="CW38" s="208" t="s">
        <v>5792</v>
      </c>
      <c r="CX38" s="209" t="s">
        <v>5792</v>
      </c>
      <c r="CY38" s="207" t="s">
        <v>5792</v>
      </c>
      <c r="CZ38" s="208" t="s">
        <v>5792</v>
      </c>
      <c r="DA38" s="209" t="s">
        <v>5792</v>
      </c>
      <c r="DB38" s="283" t="s">
        <v>5792</v>
      </c>
      <c r="DC38" s="163">
        <v>8.8000000000000007</v>
      </c>
      <c r="DD38" s="60">
        <v>640</v>
      </c>
      <c r="DE38" s="32">
        <v>730</v>
      </c>
      <c r="DF38" s="60">
        <v>800</v>
      </c>
      <c r="DG38" s="32">
        <v>940</v>
      </c>
      <c r="DH38" s="61">
        <v>200000</v>
      </c>
      <c r="DI38" s="29" t="s">
        <v>4573</v>
      </c>
      <c r="DJ38" s="163" t="s">
        <v>4435</v>
      </c>
      <c r="DK38" s="297" t="s">
        <v>4566</v>
      </c>
    </row>
    <row r="39" spans="1:115">
      <c r="A39" s="18">
        <v>34</v>
      </c>
      <c r="B39" s="326"/>
      <c r="C39" s="326"/>
      <c r="D39" s="346"/>
      <c r="E39" s="334"/>
      <c r="F39" s="326"/>
      <c r="G39" s="329"/>
      <c r="H39" s="329"/>
      <c r="I39" s="329"/>
      <c r="J39" s="41" t="s">
        <v>4405</v>
      </c>
      <c r="K39" s="306" t="s">
        <v>4383</v>
      </c>
      <c r="L39" s="163" t="s">
        <v>5792</v>
      </c>
      <c r="M39" s="306" t="s">
        <v>4508</v>
      </c>
      <c r="N39" s="163" t="s">
        <v>4701</v>
      </c>
      <c r="O39" s="18" t="s">
        <v>4507</v>
      </c>
      <c r="P39" s="163" t="s">
        <v>4420</v>
      </c>
      <c r="Q39" s="163" t="s">
        <v>4420</v>
      </c>
      <c r="R39" s="163" t="s">
        <v>6170</v>
      </c>
      <c r="S39" s="163">
        <v>10</v>
      </c>
      <c r="T39" s="163" t="s">
        <v>4470</v>
      </c>
      <c r="U39" s="163">
        <v>15</v>
      </c>
      <c r="V39" s="32" t="s">
        <v>4559</v>
      </c>
      <c r="W39" s="73">
        <v>10</v>
      </c>
      <c r="X39" s="231">
        <v>0</v>
      </c>
      <c r="Y39" s="18">
        <v>0</v>
      </c>
      <c r="Z39" s="306" t="s">
        <v>3982</v>
      </c>
      <c r="AA39" s="21">
        <f>INDEX('[2]Cross-Section Database'!$C$2:$V$2928,MATCH(Z39,'[2]Cross-Section Database'!$B$2:$B$2928,0),3)</f>
        <v>230</v>
      </c>
      <c r="AB39" s="21">
        <f>INDEX('[2]Cross-Section Database'!$C$2:$V$2928,MATCH(Z39,'[2]Cross-Section Database'!$B$2:$B$2928,0),4)</f>
        <v>240</v>
      </c>
      <c r="AC39" s="21">
        <f>INDEX('[2]Cross-Section Database'!$C$2:$V$2928,MATCH(Z39,'[2]Cross-Section Database'!$B$2:$B$2928,0),6)</f>
        <v>12</v>
      </c>
      <c r="AD39" s="21">
        <f>INDEX('[2]Cross-Section Database'!$C$2:$V$2928,MATCH(Z39,'[2]Cross-Section Database'!$B$2:$B$2928,0),5)</f>
        <v>7.5</v>
      </c>
      <c r="AE39" s="228">
        <v>660</v>
      </c>
      <c r="AF39" s="306" t="s">
        <v>3922</v>
      </c>
      <c r="AG39" s="21">
        <f>INDEX('[2]Cross-Section Database'!$C$2:$V$2928,MATCH(AF39,'[2]Cross-Section Database'!$B$2:$B$2928,0),3)</f>
        <v>400</v>
      </c>
      <c r="AH39" s="21">
        <f>INDEX('[2]Cross-Section Database'!$C$2:$V$2928,MATCH(AF39,'[2]Cross-Section Database'!$B$2:$B$2928,0),4)</f>
        <v>180</v>
      </c>
      <c r="AI39" s="21">
        <f>INDEX('[2]Cross-Section Database'!$C$2:$V$2928,MATCH(AF39,'[2]Cross-Section Database'!$B$2:$B$2928,0),6)</f>
        <v>13.5</v>
      </c>
      <c r="AJ39" s="21">
        <f>INDEX('[2]Cross-Section Database'!$C$2:$V$2928,MATCH(AF39,'[2]Cross-Section Database'!$B$2:$B$2928,0),5)</f>
        <v>8.6</v>
      </c>
      <c r="AK39" s="255">
        <v>1100</v>
      </c>
      <c r="AL39" s="21">
        <f>INDEX('[2]Cross-Section Database'!$C$2:$V$3928,MATCH(AF39,'[2]Cross-Section Database'!$B$2:$B$3928,0),11)</f>
        <v>231300000</v>
      </c>
      <c r="AM39" s="24">
        <f>INDEX('[2]Cross-Section Database'!$C$2:$V$3928,MATCH(AF39,'[2]Cross-Section Database'!$B$2:$B$3928,0),12)</f>
        <v>1307000</v>
      </c>
      <c r="AN39" s="21">
        <v>25</v>
      </c>
      <c r="AO39" s="21">
        <v>180</v>
      </c>
      <c r="AP39" s="21">
        <v>400</v>
      </c>
      <c r="AQ39" s="21">
        <f t="shared" si="12"/>
        <v>0</v>
      </c>
      <c r="AR39" s="163">
        <v>0</v>
      </c>
      <c r="AS39" s="306" t="s">
        <v>5807</v>
      </c>
      <c r="AT39" s="163" t="s">
        <v>6134</v>
      </c>
      <c r="AU39" s="21">
        <v>65</v>
      </c>
      <c r="AV39" s="163">
        <v>24</v>
      </c>
      <c r="AW39" s="163">
        <f t="shared" si="11"/>
        <v>353</v>
      </c>
      <c r="AX39" s="21">
        <v>50</v>
      </c>
      <c r="AY39" s="21">
        <f t="shared" si="13"/>
        <v>50</v>
      </c>
      <c r="AZ39" s="21">
        <v>70</v>
      </c>
      <c r="BA39" s="21">
        <v>70</v>
      </c>
      <c r="BB39" s="21">
        <v>220</v>
      </c>
      <c r="BC39" s="15" t="s">
        <v>4420</v>
      </c>
      <c r="BD39" s="163" t="s">
        <v>4465</v>
      </c>
      <c r="BE39" s="163" t="s">
        <v>6209</v>
      </c>
      <c r="BF39" s="163">
        <v>4</v>
      </c>
      <c r="BG39" s="163">
        <v>6</v>
      </c>
      <c r="BH39" s="202" t="s">
        <v>5792</v>
      </c>
      <c r="BI39" s="203" t="s">
        <v>5792</v>
      </c>
      <c r="BJ39" s="203" t="s">
        <v>5792</v>
      </c>
      <c r="BK39" s="203" t="s">
        <v>5792</v>
      </c>
      <c r="BL39" s="203" t="s">
        <v>5792</v>
      </c>
      <c r="BM39" s="203" t="s">
        <v>5792</v>
      </c>
      <c r="BN39" s="203" t="s">
        <v>5792</v>
      </c>
      <c r="BO39" s="203" t="s">
        <v>5792</v>
      </c>
      <c r="BP39" s="202" t="s">
        <v>5792</v>
      </c>
      <c r="BQ39" s="203" t="s">
        <v>5792</v>
      </c>
      <c r="BR39" s="203" t="s">
        <v>5792</v>
      </c>
      <c r="BS39" s="203" t="s">
        <v>5792</v>
      </c>
      <c r="BT39" s="203" t="s">
        <v>5792</v>
      </c>
      <c r="BU39" s="203" t="s">
        <v>5792</v>
      </c>
      <c r="BV39" s="218" t="s">
        <v>5792</v>
      </c>
      <c r="BW39" s="203" t="s">
        <v>5792</v>
      </c>
      <c r="BX39" s="203" t="s">
        <v>5792</v>
      </c>
      <c r="BY39" s="203" t="s">
        <v>5792</v>
      </c>
      <c r="BZ39" s="203" t="s">
        <v>5792</v>
      </c>
      <c r="CA39" s="203" t="s">
        <v>5792</v>
      </c>
      <c r="CB39" s="218" t="s">
        <v>5792</v>
      </c>
      <c r="CC39" s="32" t="s">
        <v>4449</v>
      </c>
      <c r="CD39" s="47">
        <v>235</v>
      </c>
      <c r="CE39" s="21">
        <v>295.5</v>
      </c>
      <c r="CF39" s="47">
        <v>360</v>
      </c>
      <c r="CG39" s="163">
        <v>419.5</v>
      </c>
      <c r="CH39" s="67">
        <v>200000</v>
      </c>
      <c r="CI39" s="107" t="s">
        <v>4449</v>
      </c>
      <c r="CJ39" s="47">
        <v>235</v>
      </c>
      <c r="CK39" s="163">
        <v>321</v>
      </c>
      <c r="CL39" s="60">
        <v>360</v>
      </c>
      <c r="CM39" s="163">
        <v>447</v>
      </c>
      <c r="CN39" s="67">
        <v>200000</v>
      </c>
      <c r="CO39" s="32" t="s">
        <v>4421</v>
      </c>
      <c r="CP39" s="60">
        <v>250</v>
      </c>
      <c r="CQ39" s="163">
        <v>294</v>
      </c>
      <c r="CR39" s="60">
        <v>475</v>
      </c>
      <c r="CS39" s="163">
        <v>444</v>
      </c>
      <c r="CT39" s="61">
        <v>200000</v>
      </c>
      <c r="CU39" s="207" t="s">
        <v>5792</v>
      </c>
      <c r="CV39" s="208" t="s">
        <v>5792</v>
      </c>
      <c r="CW39" s="208" t="s">
        <v>5792</v>
      </c>
      <c r="CX39" s="209" t="s">
        <v>5792</v>
      </c>
      <c r="CY39" s="207" t="s">
        <v>5792</v>
      </c>
      <c r="CZ39" s="208" t="s">
        <v>5792</v>
      </c>
      <c r="DA39" s="209" t="s">
        <v>5792</v>
      </c>
      <c r="DB39" s="283" t="s">
        <v>5792</v>
      </c>
      <c r="DC39" s="163">
        <v>8.8000000000000007</v>
      </c>
      <c r="DD39" s="60">
        <v>640</v>
      </c>
      <c r="DE39" s="32">
        <v>730</v>
      </c>
      <c r="DF39" s="60">
        <v>800</v>
      </c>
      <c r="DG39" s="32">
        <v>940</v>
      </c>
      <c r="DH39" s="61">
        <v>200000</v>
      </c>
      <c r="DI39" s="29" t="s">
        <v>4573</v>
      </c>
      <c r="DJ39" s="163" t="s">
        <v>4435</v>
      </c>
      <c r="DK39" s="297" t="s">
        <v>4566</v>
      </c>
    </row>
    <row r="40" spans="1:115">
      <c r="A40" s="18">
        <v>35</v>
      </c>
      <c r="B40" s="326"/>
      <c r="C40" s="326"/>
      <c r="D40" s="346"/>
      <c r="E40" s="334"/>
      <c r="F40" s="326"/>
      <c r="G40" s="329"/>
      <c r="H40" s="329"/>
      <c r="I40" s="329"/>
      <c r="J40" s="41" t="s">
        <v>4406</v>
      </c>
      <c r="K40" s="306" t="s">
        <v>4383</v>
      </c>
      <c r="L40" s="163" t="s">
        <v>5792</v>
      </c>
      <c r="M40" s="306" t="s">
        <v>4508</v>
      </c>
      <c r="N40" s="163" t="s">
        <v>4701</v>
      </c>
      <c r="O40" s="18" t="s">
        <v>4507</v>
      </c>
      <c r="P40" s="163" t="s">
        <v>4420</v>
      </c>
      <c r="Q40" s="163" t="s">
        <v>4420</v>
      </c>
      <c r="R40" s="163" t="s">
        <v>4420</v>
      </c>
      <c r="S40" s="163" t="s">
        <v>5792</v>
      </c>
      <c r="T40" s="163" t="s">
        <v>4420</v>
      </c>
      <c r="U40" s="163" t="s">
        <v>5792</v>
      </c>
      <c r="V40" s="32" t="s">
        <v>4559</v>
      </c>
      <c r="W40" s="73">
        <v>10</v>
      </c>
      <c r="X40" s="231">
        <v>0</v>
      </c>
      <c r="Y40" s="18">
        <v>0</v>
      </c>
      <c r="Z40" s="306" t="s">
        <v>3982</v>
      </c>
      <c r="AA40" s="21">
        <f>INDEX('[2]Cross-Section Database'!$C$2:$V$2928,MATCH(Z40,'[2]Cross-Section Database'!$B$2:$B$2928,0),3)</f>
        <v>230</v>
      </c>
      <c r="AB40" s="21">
        <f>INDEX('[2]Cross-Section Database'!$C$2:$V$2928,MATCH(Z40,'[2]Cross-Section Database'!$B$2:$B$2928,0),4)</f>
        <v>240</v>
      </c>
      <c r="AC40" s="21">
        <f>INDEX('[2]Cross-Section Database'!$C$2:$V$2928,MATCH(Z40,'[2]Cross-Section Database'!$B$2:$B$2928,0),6)</f>
        <v>12</v>
      </c>
      <c r="AD40" s="21">
        <f>INDEX('[2]Cross-Section Database'!$C$2:$V$2928,MATCH(Z40,'[2]Cross-Section Database'!$B$2:$B$2928,0),5)</f>
        <v>7.5</v>
      </c>
      <c r="AE40" s="228">
        <v>660</v>
      </c>
      <c r="AF40" s="306" t="s">
        <v>3922</v>
      </c>
      <c r="AG40" s="21">
        <f>INDEX('[2]Cross-Section Database'!$C$2:$V$2928,MATCH(AF40,'[2]Cross-Section Database'!$B$2:$B$2928,0),3)</f>
        <v>400</v>
      </c>
      <c r="AH40" s="21">
        <f>INDEX('[2]Cross-Section Database'!$C$2:$V$2928,MATCH(AF40,'[2]Cross-Section Database'!$B$2:$B$2928,0),4)</f>
        <v>180</v>
      </c>
      <c r="AI40" s="21">
        <f>INDEX('[2]Cross-Section Database'!$C$2:$V$2928,MATCH(AF40,'[2]Cross-Section Database'!$B$2:$B$2928,0),6)</f>
        <v>13.5</v>
      </c>
      <c r="AJ40" s="21">
        <f>INDEX('[2]Cross-Section Database'!$C$2:$V$2928,MATCH(AF40,'[2]Cross-Section Database'!$B$2:$B$2928,0),5)</f>
        <v>8.6</v>
      </c>
      <c r="AK40" s="255">
        <v>1100</v>
      </c>
      <c r="AL40" s="21">
        <f>INDEX('[2]Cross-Section Database'!$C$2:$V$3928,MATCH(AF40,'[2]Cross-Section Database'!$B$2:$B$3928,0),11)</f>
        <v>231300000</v>
      </c>
      <c r="AM40" s="24">
        <f>INDEX('[2]Cross-Section Database'!$C$2:$V$3928,MATCH(AF40,'[2]Cross-Section Database'!$B$2:$B$3928,0),12)</f>
        <v>1307000</v>
      </c>
      <c r="AN40" s="21">
        <v>25</v>
      </c>
      <c r="AO40" s="21">
        <v>180</v>
      </c>
      <c r="AP40" s="21">
        <v>450</v>
      </c>
      <c r="AQ40" s="21">
        <f t="shared" si="12"/>
        <v>0</v>
      </c>
      <c r="AR40" s="163">
        <v>50</v>
      </c>
      <c r="AS40" s="306" t="s">
        <v>5807</v>
      </c>
      <c r="AT40" s="163" t="s">
        <v>6134</v>
      </c>
      <c r="AU40" s="21">
        <v>85</v>
      </c>
      <c r="AV40" s="163">
        <v>24</v>
      </c>
      <c r="AW40" s="163">
        <f t="shared" si="11"/>
        <v>353</v>
      </c>
      <c r="AX40" s="21">
        <v>50</v>
      </c>
      <c r="AY40" s="21">
        <v>100</v>
      </c>
      <c r="AZ40" s="21">
        <v>70</v>
      </c>
      <c r="BA40" s="21">
        <v>70</v>
      </c>
      <c r="BB40" s="21">
        <v>220</v>
      </c>
      <c r="BC40" s="15" t="s">
        <v>4420</v>
      </c>
      <c r="BD40" s="163" t="s">
        <v>4465</v>
      </c>
      <c r="BE40" s="163" t="s">
        <v>6209</v>
      </c>
      <c r="BF40" s="163">
        <v>4</v>
      </c>
      <c r="BG40" s="163">
        <v>6</v>
      </c>
      <c r="BH40" s="202" t="s">
        <v>5792</v>
      </c>
      <c r="BI40" s="203" t="s">
        <v>5792</v>
      </c>
      <c r="BJ40" s="203" t="s">
        <v>5792</v>
      </c>
      <c r="BK40" s="203" t="s">
        <v>5792</v>
      </c>
      <c r="BL40" s="203" t="s">
        <v>5792</v>
      </c>
      <c r="BM40" s="203" t="s">
        <v>5792</v>
      </c>
      <c r="BN40" s="203" t="s">
        <v>5792</v>
      </c>
      <c r="BO40" s="203" t="s">
        <v>5792</v>
      </c>
      <c r="BP40" s="202" t="s">
        <v>5792</v>
      </c>
      <c r="BQ40" s="203" t="s">
        <v>5792</v>
      </c>
      <c r="BR40" s="203" t="s">
        <v>5792</v>
      </c>
      <c r="BS40" s="203" t="s">
        <v>5792</v>
      </c>
      <c r="BT40" s="203" t="s">
        <v>5792</v>
      </c>
      <c r="BU40" s="203" t="s">
        <v>5792</v>
      </c>
      <c r="BV40" s="218" t="s">
        <v>5792</v>
      </c>
      <c r="BW40" s="203" t="s">
        <v>5792</v>
      </c>
      <c r="BX40" s="203" t="s">
        <v>5792</v>
      </c>
      <c r="BY40" s="203" t="s">
        <v>5792</v>
      </c>
      <c r="BZ40" s="203" t="s">
        <v>5792</v>
      </c>
      <c r="CA40" s="203" t="s">
        <v>5792</v>
      </c>
      <c r="CB40" s="218" t="s">
        <v>5792</v>
      </c>
      <c r="CC40" s="32" t="s">
        <v>4449</v>
      </c>
      <c r="CD40" s="47">
        <v>235</v>
      </c>
      <c r="CE40" s="21">
        <v>295.5</v>
      </c>
      <c r="CF40" s="47">
        <v>360</v>
      </c>
      <c r="CG40" s="163">
        <v>419.5</v>
      </c>
      <c r="CH40" s="67">
        <v>200000</v>
      </c>
      <c r="CI40" s="107" t="s">
        <v>4449</v>
      </c>
      <c r="CJ40" s="47">
        <v>235</v>
      </c>
      <c r="CK40" s="163">
        <v>321</v>
      </c>
      <c r="CL40" s="60">
        <v>360</v>
      </c>
      <c r="CM40" s="163">
        <v>447</v>
      </c>
      <c r="CN40" s="67">
        <v>200000</v>
      </c>
      <c r="CO40" s="32" t="s">
        <v>4421</v>
      </c>
      <c r="CP40" s="60">
        <v>250</v>
      </c>
      <c r="CQ40" s="163">
        <v>294</v>
      </c>
      <c r="CR40" s="60">
        <v>475</v>
      </c>
      <c r="CS40" s="163">
        <v>444</v>
      </c>
      <c r="CT40" s="61">
        <v>200000</v>
      </c>
      <c r="CU40" s="207" t="s">
        <v>5792</v>
      </c>
      <c r="CV40" s="208" t="s">
        <v>5792</v>
      </c>
      <c r="CW40" s="208" t="s">
        <v>5792</v>
      </c>
      <c r="CX40" s="209" t="s">
        <v>5792</v>
      </c>
      <c r="CY40" s="207" t="s">
        <v>5792</v>
      </c>
      <c r="CZ40" s="208" t="s">
        <v>5792</v>
      </c>
      <c r="DA40" s="209" t="s">
        <v>5792</v>
      </c>
      <c r="DB40" s="283" t="s">
        <v>5792</v>
      </c>
      <c r="DC40" s="163">
        <v>8.8000000000000007</v>
      </c>
      <c r="DD40" s="60">
        <v>640</v>
      </c>
      <c r="DE40" s="32">
        <v>730</v>
      </c>
      <c r="DF40" s="60">
        <v>800</v>
      </c>
      <c r="DG40" s="32">
        <v>940</v>
      </c>
      <c r="DH40" s="61">
        <v>200000</v>
      </c>
      <c r="DI40" s="29" t="s">
        <v>4771</v>
      </c>
      <c r="DJ40" s="163" t="s">
        <v>4435</v>
      </c>
      <c r="DK40" s="297" t="s">
        <v>4566</v>
      </c>
    </row>
    <row r="41" spans="1:115">
      <c r="A41" s="18">
        <v>36</v>
      </c>
      <c r="B41" s="326"/>
      <c r="C41" s="326"/>
      <c r="D41" s="346"/>
      <c r="E41" s="334"/>
      <c r="F41" s="326"/>
      <c r="G41" s="329"/>
      <c r="H41" s="329"/>
      <c r="I41" s="329"/>
      <c r="J41" s="41" t="s">
        <v>4407</v>
      </c>
      <c r="K41" s="306" t="s">
        <v>4383</v>
      </c>
      <c r="L41" s="163" t="s">
        <v>5792</v>
      </c>
      <c r="M41" s="306" t="s">
        <v>4508</v>
      </c>
      <c r="N41" s="163" t="s">
        <v>4701</v>
      </c>
      <c r="O41" s="18" t="s">
        <v>4507</v>
      </c>
      <c r="P41" s="163" t="s">
        <v>4420</v>
      </c>
      <c r="Q41" s="163" t="s">
        <v>4420</v>
      </c>
      <c r="R41" s="163" t="s">
        <v>4420</v>
      </c>
      <c r="S41" s="163" t="s">
        <v>5792</v>
      </c>
      <c r="T41" s="163" t="s">
        <v>4420</v>
      </c>
      <c r="U41" s="163" t="s">
        <v>5792</v>
      </c>
      <c r="V41" s="32" t="s">
        <v>4559</v>
      </c>
      <c r="W41" s="73">
        <v>10</v>
      </c>
      <c r="X41" s="231">
        <v>0</v>
      </c>
      <c r="Y41" s="18">
        <v>0</v>
      </c>
      <c r="Z41" s="306" t="s">
        <v>3982</v>
      </c>
      <c r="AA41" s="21">
        <f>INDEX('[2]Cross-Section Database'!$C$2:$V$2928,MATCH(Z41,'[2]Cross-Section Database'!$B$2:$B$2928,0),3)</f>
        <v>230</v>
      </c>
      <c r="AB41" s="21">
        <f>INDEX('[2]Cross-Section Database'!$C$2:$V$2928,MATCH(Z41,'[2]Cross-Section Database'!$B$2:$B$2928,0),4)</f>
        <v>240</v>
      </c>
      <c r="AC41" s="21">
        <f>INDEX('[2]Cross-Section Database'!$C$2:$V$2928,MATCH(Z41,'[2]Cross-Section Database'!$B$2:$B$2928,0),6)</f>
        <v>12</v>
      </c>
      <c r="AD41" s="21">
        <f>INDEX('[2]Cross-Section Database'!$C$2:$V$2928,MATCH(Z41,'[2]Cross-Section Database'!$B$2:$B$2928,0),5)</f>
        <v>7.5</v>
      </c>
      <c r="AE41" s="228">
        <v>660</v>
      </c>
      <c r="AF41" s="306" t="s">
        <v>3922</v>
      </c>
      <c r="AG41" s="21">
        <f>INDEX('[2]Cross-Section Database'!$C$2:$V$2928,MATCH(AF41,'[2]Cross-Section Database'!$B$2:$B$2928,0),3)</f>
        <v>400</v>
      </c>
      <c r="AH41" s="21">
        <f>INDEX('[2]Cross-Section Database'!$C$2:$V$2928,MATCH(AF41,'[2]Cross-Section Database'!$B$2:$B$2928,0),4)</f>
        <v>180</v>
      </c>
      <c r="AI41" s="21">
        <f>INDEX('[2]Cross-Section Database'!$C$2:$V$2928,MATCH(AF41,'[2]Cross-Section Database'!$B$2:$B$2928,0),6)</f>
        <v>13.5</v>
      </c>
      <c r="AJ41" s="21">
        <f>INDEX('[2]Cross-Section Database'!$C$2:$V$2928,MATCH(AF41,'[2]Cross-Section Database'!$B$2:$B$2928,0),5)</f>
        <v>8.6</v>
      </c>
      <c r="AK41" s="255">
        <v>1100</v>
      </c>
      <c r="AL41" s="21">
        <f>INDEX('[2]Cross-Section Database'!$C$2:$V$3928,MATCH(AF41,'[2]Cross-Section Database'!$B$2:$B$3928,0),11)</f>
        <v>231300000</v>
      </c>
      <c r="AM41" s="24">
        <f>INDEX('[2]Cross-Section Database'!$C$2:$V$3928,MATCH(AF41,'[2]Cross-Section Database'!$B$2:$B$3928,0),12)</f>
        <v>1307000</v>
      </c>
      <c r="AN41" s="21">
        <v>25</v>
      </c>
      <c r="AO41" s="21">
        <v>180</v>
      </c>
      <c r="AP41" s="21">
        <v>400</v>
      </c>
      <c r="AQ41" s="21">
        <f t="shared" si="12"/>
        <v>0</v>
      </c>
      <c r="AR41" s="163">
        <v>0</v>
      </c>
      <c r="AS41" s="306" t="s">
        <v>5807</v>
      </c>
      <c r="AT41" s="163" t="s">
        <v>6134</v>
      </c>
      <c r="AU41" s="21">
        <v>78.5</v>
      </c>
      <c r="AV41" s="163">
        <v>24</v>
      </c>
      <c r="AW41" s="163">
        <f t="shared" si="11"/>
        <v>353</v>
      </c>
      <c r="AX41" s="21">
        <v>50</v>
      </c>
      <c r="AY41" s="21">
        <f t="shared" si="13"/>
        <v>50</v>
      </c>
      <c r="AZ41" s="21">
        <v>70</v>
      </c>
      <c r="BA41" s="21">
        <v>70</v>
      </c>
      <c r="BB41" s="21">
        <v>220</v>
      </c>
      <c r="BC41" s="15" t="s">
        <v>4420</v>
      </c>
      <c r="BD41" s="163" t="s">
        <v>4465</v>
      </c>
      <c r="BE41" s="163" t="s">
        <v>6209</v>
      </c>
      <c r="BF41" s="163">
        <v>4</v>
      </c>
      <c r="BG41" s="163">
        <v>6</v>
      </c>
      <c r="BH41" s="202" t="s">
        <v>5792</v>
      </c>
      <c r="BI41" s="203" t="s">
        <v>5792</v>
      </c>
      <c r="BJ41" s="203" t="s">
        <v>5792</v>
      </c>
      <c r="BK41" s="203" t="s">
        <v>5792</v>
      </c>
      <c r="BL41" s="203" t="s">
        <v>5792</v>
      </c>
      <c r="BM41" s="203" t="s">
        <v>5792</v>
      </c>
      <c r="BN41" s="203" t="s">
        <v>5792</v>
      </c>
      <c r="BO41" s="203" t="s">
        <v>5792</v>
      </c>
      <c r="BP41" s="202" t="s">
        <v>5792</v>
      </c>
      <c r="BQ41" s="203" t="s">
        <v>5792</v>
      </c>
      <c r="BR41" s="203" t="s">
        <v>5792</v>
      </c>
      <c r="BS41" s="203" t="s">
        <v>5792</v>
      </c>
      <c r="BT41" s="203" t="s">
        <v>5792</v>
      </c>
      <c r="BU41" s="203" t="s">
        <v>5792</v>
      </c>
      <c r="BV41" s="218" t="s">
        <v>5792</v>
      </c>
      <c r="BW41" s="203" t="s">
        <v>5792</v>
      </c>
      <c r="BX41" s="203" t="s">
        <v>5792</v>
      </c>
      <c r="BY41" s="203" t="s">
        <v>5792</v>
      </c>
      <c r="BZ41" s="203" t="s">
        <v>5792</v>
      </c>
      <c r="CA41" s="203" t="s">
        <v>5792</v>
      </c>
      <c r="CB41" s="218" t="s">
        <v>5792</v>
      </c>
      <c r="CC41" s="32" t="s">
        <v>4449</v>
      </c>
      <c r="CD41" s="47">
        <v>235</v>
      </c>
      <c r="CE41" s="21">
        <v>295.5</v>
      </c>
      <c r="CF41" s="47">
        <v>360</v>
      </c>
      <c r="CG41" s="163">
        <v>419.5</v>
      </c>
      <c r="CH41" s="67">
        <v>200000</v>
      </c>
      <c r="CI41" s="107" t="s">
        <v>4449</v>
      </c>
      <c r="CJ41" s="47">
        <v>235</v>
      </c>
      <c r="CK41" s="163">
        <v>321</v>
      </c>
      <c r="CL41" s="60">
        <v>360</v>
      </c>
      <c r="CM41" s="163">
        <v>447</v>
      </c>
      <c r="CN41" s="67">
        <v>200000</v>
      </c>
      <c r="CO41" s="32" t="s">
        <v>4421</v>
      </c>
      <c r="CP41" s="60">
        <v>250</v>
      </c>
      <c r="CQ41" s="163">
        <v>294</v>
      </c>
      <c r="CR41" s="60">
        <v>475</v>
      </c>
      <c r="CS41" s="163">
        <v>444</v>
      </c>
      <c r="CT41" s="61">
        <v>200000</v>
      </c>
      <c r="CU41" s="207" t="s">
        <v>5792</v>
      </c>
      <c r="CV41" s="208" t="s">
        <v>5792</v>
      </c>
      <c r="CW41" s="208" t="s">
        <v>5792</v>
      </c>
      <c r="CX41" s="209" t="s">
        <v>5792</v>
      </c>
      <c r="CY41" s="207" t="s">
        <v>5792</v>
      </c>
      <c r="CZ41" s="208" t="s">
        <v>5792</v>
      </c>
      <c r="DA41" s="209" t="s">
        <v>5792</v>
      </c>
      <c r="DB41" s="283" t="s">
        <v>5792</v>
      </c>
      <c r="DC41" s="163">
        <v>8.8000000000000007</v>
      </c>
      <c r="DD41" s="163">
        <v>640</v>
      </c>
      <c r="DE41" s="32">
        <v>730</v>
      </c>
      <c r="DF41" s="163">
        <v>800</v>
      </c>
      <c r="DG41" s="32">
        <v>940</v>
      </c>
      <c r="DH41" s="61">
        <v>200000</v>
      </c>
      <c r="DI41" s="29" t="s">
        <v>4771</v>
      </c>
      <c r="DJ41" s="163" t="s">
        <v>4435</v>
      </c>
      <c r="DK41" s="297" t="s">
        <v>4566</v>
      </c>
    </row>
    <row r="42" spans="1:115">
      <c r="A42" s="18">
        <v>37</v>
      </c>
      <c r="B42" s="326"/>
      <c r="C42" s="326"/>
      <c r="D42" s="346"/>
      <c r="E42" s="334"/>
      <c r="F42" s="326"/>
      <c r="G42" s="329"/>
      <c r="H42" s="329"/>
      <c r="I42" s="329"/>
      <c r="J42" s="41" t="s">
        <v>4408</v>
      </c>
      <c r="K42" s="306" t="s">
        <v>4383</v>
      </c>
      <c r="L42" s="163" t="s">
        <v>5792</v>
      </c>
      <c r="M42" s="306" t="s">
        <v>4508</v>
      </c>
      <c r="N42" s="163" t="s">
        <v>4701</v>
      </c>
      <c r="O42" s="18" t="s">
        <v>4507</v>
      </c>
      <c r="P42" s="163" t="s">
        <v>4420</v>
      </c>
      <c r="Q42" s="163" t="s">
        <v>4420</v>
      </c>
      <c r="R42" s="163" t="s">
        <v>4420</v>
      </c>
      <c r="S42" s="163" t="s">
        <v>5792</v>
      </c>
      <c r="T42" s="163" t="s">
        <v>4470</v>
      </c>
      <c r="U42" s="163">
        <v>15</v>
      </c>
      <c r="V42" s="32" t="s">
        <v>4559</v>
      </c>
      <c r="W42" s="73">
        <v>10</v>
      </c>
      <c r="X42" s="231">
        <v>0</v>
      </c>
      <c r="Y42" s="18">
        <v>0</v>
      </c>
      <c r="Z42" s="306" t="s">
        <v>3982</v>
      </c>
      <c r="AA42" s="21">
        <f>INDEX('[2]Cross-Section Database'!$C$2:$V$2928,MATCH(Z42,'[2]Cross-Section Database'!$B$2:$B$2928,0),3)</f>
        <v>230</v>
      </c>
      <c r="AB42" s="21">
        <f>INDEX('[2]Cross-Section Database'!$C$2:$V$2928,MATCH(Z42,'[2]Cross-Section Database'!$B$2:$B$2928,0),4)</f>
        <v>240</v>
      </c>
      <c r="AC42" s="21">
        <f>INDEX('[2]Cross-Section Database'!$C$2:$V$2928,MATCH(Z42,'[2]Cross-Section Database'!$B$2:$B$2928,0),6)</f>
        <v>12</v>
      </c>
      <c r="AD42" s="21">
        <f>INDEX('[2]Cross-Section Database'!$C$2:$V$2928,MATCH(Z42,'[2]Cross-Section Database'!$B$2:$B$2928,0),5)</f>
        <v>7.5</v>
      </c>
      <c r="AE42" s="228">
        <v>660</v>
      </c>
      <c r="AF42" s="306" t="s">
        <v>3913</v>
      </c>
      <c r="AG42" s="21">
        <f>INDEX('[2]Cross-Section Database'!$C$2:$V$2928,MATCH(AF42,'[2]Cross-Section Database'!$B$2:$B$2928,0),3)</f>
        <v>300</v>
      </c>
      <c r="AH42" s="21">
        <f>INDEX('[2]Cross-Section Database'!$C$2:$V$2928,MATCH(AF42,'[2]Cross-Section Database'!$B$2:$B$2928,0),4)</f>
        <v>150</v>
      </c>
      <c r="AI42" s="21">
        <f>INDEX('[2]Cross-Section Database'!$C$2:$V$2928,MATCH(AF42,'[2]Cross-Section Database'!$B$2:$B$2928,0),6)</f>
        <v>10.7</v>
      </c>
      <c r="AJ42" s="21">
        <f>INDEX('[2]Cross-Section Database'!$C$2:$V$2928,MATCH(AF42,'[2]Cross-Section Database'!$B$2:$B$2928,0),5)</f>
        <v>7.1</v>
      </c>
      <c r="AK42" s="255">
        <v>1100</v>
      </c>
      <c r="AL42" s="21">
        <f>INDEX('[2]Cross-Section Database'!$C$2:$V$3928,MATCH(AF42,'[2]Cross-Section Database'!$B$2:$B$3928,0),11)</f>
        <v>83560000</v>
      </c>
      <c r="AM42" s="24">
        <f>INDEX('[2]Cross-Section Database'!$C$2:$V$3928,MATCH(AF42,'[2]Cross-Section Database'!$B$2:$B$3928,0),12)</f>
        <v>628000</v>
      </c>
      <c r="AN42" s="21">
        <v>25</v>
      </c>
      <c r="AO42" s="21">
        <v>150</v>
      </c>
      <c r="AP42" s="21">
        <v>300</v>
      </c>
      <c r="AQ42" s="21">
        <f t="shared" si="12"/>
        <v>0</v>
      </c>
      <c r="AR42" s="163">
        <v>0</v>
      </c>
      <c r="AS42" s="306" t="s">
        <v>5807</v>
      </c>
      <c r="AT42" s="163" t="s">
        <v>6134</v>
      </c>
      <c r="AU42" s="21">
        <v>54</v>
      </c>
      <c r="AV42" s="163">
        <v>24</v>
      </c>
      <c r="AW42" s="163">
        <f t="shared" si="11"/>
        <v>353</v>
      </c>
      <c r="AX42" s="21">
        <v>45</v>
      </c>
      <c r="AY42" s="21">
        <f t="shared" si="13"/>
        <v>45</v>
      </c>
      <c r="AZ42" s="21">
        <v>70</v>
      </c>
      <c r="BA42" s="21">
        <v>70</v>
      </c>
      <c r="BB42" s="21">
        <v>140</v>
      </c>
      <c r="BC42" s="15" t="s">
        <v>4420</v>
      </c>
      <c r="BD42" s="163" t="s">
        <v>4465</v>
      </c>
      <c r="BE42" s="163" t="s">
        <v>6209</v>
      </c>
      <c r="BF42" s="163">
        <v>4</v>
      </c>
      <c r="BG42" s="163">
        <v>6</v>
      </c>
      <c r="BH42" s="202" t="s">
        <v>5792</v>
      </c>
      <c r="BI42" s="203" t="s">
        <v>5792</v>
      </c>
      <c r="BJ42" s="203" t="s">
        <v>5792</v>
      </c>
      <c r="BK42" s="203" t="s">
        <v>5792</v>
      </c>
      <c r="BL42" s="203" t="s">
        <v>5792</v>
      </c>
      <c r="BM42" s="203" t="s">
        <v>5792</v>
      </c>
      <c r="BN42" s="203" t="s">
        <v>5792</v>
      </c>
      <c r="BO42" s="203" t="s">
        <v>5792</v>
      </c>
      <c r="BP42" s="202" t="s">
        <v>5792</v>
      </c>
      <c r="BQ42" s="203" t="s">
        <v>5792</v>
      </c>
      <c r="BR42" s="203" t="s">
        <v>5792</v>
      </c>
      <c r="BS42" s="203" t="s">
        <v>5792</v>
      </c>
      <c r="BT42" s="203" t="s">
        <v>5792</v>
      </c>
      <c r="BU42" s="203" t="s">
        <v>5792</v>
      </c>
      <c r="BV42" s="218" t="s">
        <v>5792</v>
      </c>
      <c r="BW42" s="203" t="s">
        <v>5792</v>
      </c>
      <c r="BX42" s="203" t="s">
        <v>5792</v>
      </c>
      <c r="BY42" s="203" t="s">
        <v>5792</v>
      </c>
      <c r="BZ42" s="203" t="s">
        <v>5792</v>
      </c>
      <c r="CA42" s="203" t="s">
        <v>5792</v>
      </c>
      <c r="CB42" s="218" t="s">
        <v>5792</v>
      </c>
      <c r="CC42" s="32" t="s">
        <v>4449</v>
      </c>
      <c r="CD42" s="47">
        <v>235</v>
      </c>
      <c r="CE42" s="21">
        <v>295.5</v>
      </c>
      <c r="CF42" s="47">
        <v>360</v>
      </c>
      <c r="CG42" s="163">
        <v>419.5</v>
      </c>
      <c r="CH42" s="67">
        <v>200000</v>
      </c>
      <c r="CI42" s="107" t="s">
        <v>4449</v>
      </c>
      <c r="CJ42" s="47">
        <v>235</v>
      </c>
      <c r="CK42" s="163">
        <v>321</v>
      </c>
      <c r="CL42" s="60">
        <v>360</v>
      </c>
      <c r="CM42" s="163">
        <v>447</v>
      </c>
      <c r="CN42" s="67">
        <v>200000</v>
      </c>
      <c r="CO42" s="32" t="s">
        <v>4421</v>
      </c>
      <c r="CP42" s="60">
        <v>250</v>
      </c>
      <c r="CQ42" s="163">
        <v>294</v>
      </c>
      <c r="CR42" s="60">
        <v>475</v>
      </c>
      <c r="CS42" s="163">
        <v>444</v>
      </c>
      <c r="CT42" s="61">
        <v>200000</v>
      </c>
      <c r="CU42" s="207" t="s">
        <v>5792</v>
      </c>
      <c r="CV42" s="208" t="s">
        <v>5792</v>
      </c>
      <c r="CW42" s="208" t="s">
        <v>5792</v>
      </c>
      <c r="CX42" s="209" t="s">
        <v>5792</v>
      </c>
      <c r="CY42" s="207" t="s">
        <v>5792</v>
      </c>
      <c r="CZ42" s="208" t="s">
        <v>5792</v>
      </c>
      <c r="DA42" s="209" t="s">
        <v>5792</v>
      </c>
      <c r="DB42" s="283" t="s">
        <v>5792</v>
      </c>
      <c r="DC42" s="163">
        <v>8.8000000000000007</v>
      </c>
      <c r="DD42" s="163">
        <v>640</v>
      </c>
      <c r="DE42" s="32">
        <v>730</v>
      </c>
      <c r="DF42" s="163">
        <v>800</v>
      </c>
      <c r="DG42" s="32">
        <v>940</v>
      </c>
      <c r="DH42" s="61">
        <v>200000</v>
      </c>
      <c r="DI42" s="29" t="s">
        <v>4771</v>
      </c>
      <c r="DJ42" s="163" t="s">
        <v>4435</v>
      </c>
      <c r="DK42" s="297" t="s">
        <v>4566</v>
      </c>
    </row>
    <row r="43" spans="1:115">
      <c r="A43" s="18">
        <v>38</v>
      </c>
      <c r="B43" s="326"/>
      <c r="C43" s="326"/>
      <c r="D43" s="346"/>
      <c r="E43" s="334"/>
      <c r="F43" s="326"/>
      <c r="G43" s="329"/>
      <c r="H43" s="329"/>
      <c r="I43" s="329"/>
      <c r="J43" s="41" t="s">
        <v>4409</v>
      </c>
      <c r="K43" s="306" t="s">
        <v>4383</v>
      </c>
      <c r="L43" s="163" t="s">
        <v>5792</v>
      </c>
      <c r="M43" s="306" t="s">
        <v>4508</v>
      </c>
      <c r="N43" s="163" t="s">
        <v>4701</v>
      </c>
      <c r="O43" s="18" t="s">
        <v>4507</v>
      </c>
      <c r="P43" s="163" t="s">
        <v>4420</v>
      </c>
      <c r="Q43" s="163" t="s">
        <v>4420</v>
      </c>
      <c r="R43" s="163" t="s">
        <v>4420</v>
      </c>
      <c r="S43" s="163" t="s">
        <v>5792</v>
      </c>
      <c r="T43" s="163" t="s">
        <v>4470</v>
      </c>
      <c r="U43" s="163">
        <v>15</v>
      </c>
      <c r="V43" s="32" t="s">
        <v>4559</v>
      </c>
      <c r="W43" s="73">
        <v>10</v>
      </c>
      <c r="X43" s="231">
        <v>0</v>
      </c>
      <c r="Y43" s="142">
        <v>0</v>
      </c>
      <c r="Z43" s="306" t="s">
        <v>3982</v>
      </c>
      <c r="AA43" s="21">
        <f>INDEX('[2]Cross-Section Database'!$C$2:$V$2928,MATCH(Z43,'[2]Cross-Section Database'!$B$2:$B$2928,0),3)</f>
        <v>230</v>
      </c>
      <c r="AB43" s="21">
        <f>INDEX('[2]Cross-Section Database'!$C$2:$V$2928,MATCH(Z43,'[2]Cross-Section Database'!$B$2:$B$2928,0),4)</f>
        <v>240</v>
      </c>
      <c r="AC43" s="21">
        <f>INDEX('[2]Cross-Section Database'!$C$2:$V$2928,MATCH(Z43,'[2]Cross-Section Database'!$B$2:$B$2928,0),6)</f>
        <v>12</v>
      </c>
      <c r="AD43" s="21">
        <f>INDEX('[2]Cross-Section Database'!$C$2:$V$2928,MATCH(Z43,'[2]Cross-Section Database'!$B$2:$B$2928,0),5)</f>
        <v>7.5</v>
      </c>
      <c r="AE43" s="228">
        <v>660</v>
      </c>
      <c r="AF43" s="306" t="s">
        <v>3913</v>
      </c>
      <c r="AG43" s="21">
        <f>INDEX('[2]Cross-Section Database'!$C$2:$V$2928,MATCH(AF43,'[2]Cross-Section Database'!$B$2:$B$2928,0),3)</f>
        <v>300</v>
      </c>
      <c r="AH43" s="21">
        <f>INDEX('[2]Cross-Section Database'!$C$2:$V$2928,MATCH(AF43,'[2]Cross-Section Database'!$B$2:$B$2928,0),4)</f>
        <v>150</v>
      </c>
      <c r="AI43" s="21">
        <f>INDEX('[2]Cross-Section Database'!$C$2:$V$2928,MATCH(AF43,'[2]Cross-Section Database'!$B$2:$B$2928,0),6)</f>
        <v>10.7</v>
      </c>
      <c r="AJ43" s="21">
        <f>INDEX('[2]Cross-Section Database'!$C$2:$V$2928,MATCH(AF43,'[2]Cross-Section Database'!$B$2:$B$2928,0),5)</f>
        <v>7.1</v>
      </c>
      <c r="AK43" s="255">
        <v>1100</v>
      </c>
      <c r="AL43" s="21">
        <f>INDEX('[2]Cross-Section Database'!$C$2:$V$3928,MATCH(AF43,'[2]Cross-Section Database'!$B$2:$B$3928,0),11)</f>
        <v>83560000</v>
      </c>
      <c r="AM43" s="24">
        <f>INDEX('[2]Cross-Section Database'!$C$2:$V$3928,MATCH(AF43,'[2]Cross-Section Database'!$B$2:$B$3928,0),12)</f>
        <v>628000</v>
      </c>
      <c r="AN43" s="21">
        <v>25</v>
      </c>
      <c r="AO43" s="21">
        <v>150</v>
      </c>
      <c r="AP43" s="21">
        <v>350</v>
      </c>
      <c r="AQ43" s="21">
        <f t="shared" si="12"/>
        <v>0</v>
      </c>
      <c r="AR43" s="163">
        <v>50</v>
      </c>
      <c r="AS43" s="306" t="s">
        <v>5807</v>
      </c>
      <c r="AT43" s="163" t="s">
        <v>6134</v>
      </c>
      <c r="AU43" s="21">
        <v>62.5</v>
      </c>
      <c r="AV43" s="163">
        <v>24</v>
      </c>
      <c r="AW43" s="163">
        <f t="shared" si="11"/>
        <v>353</v>
      </c>
      <c r="AX43" s="21">
        <v>45</v>
      </c>
      <c r="AY43" s="21">
        <v>95</v>
      </c>
      <c r="AZ43" s="21">
        <v>70</v>
      </c>
      <c r="BA43" s="21">
        <v>70</v>
      </c>
      <c r="BB43" s="21">
        <v>140</v>
      </c>
      <c r="BC43" s="15" t="s">
        <v>4420</v>
      </c>
      <c r="BD43" s="163" t="s">
        <v>4465</v>
      </c>
      <c r="BE43" s="163" t="s">
        <v>6209</v>
      </c>
      <c r="BF43" s="163">
        <v>4</v>
      </c>
      <c r="BG43" s="163">
        <v>6</v>
      </c>
      <c r="BH43" s="202" t="s">
        <v>5792</v>
      </c>
      <c r="BI43" s="203" t="s">
        <v>5792</v>
      </c>
      <c r="BJ43" s="203" t="s">
        <v>5792</v>
      </c>
      <c r="BK43" s="203" t="s">
        <v>5792</v>
      </c>
      <c r="BL43" s="203" t="s">
        <v>5792</v>
      </c>
      <c r="BM43" s="203" t="s">
        <v>5792</v>
      </c>
      <c r="BN43" s="203" t="s">
        <v>5792</v>
      </c>
      <c r="BO43" s="203" t="s">
        <v>5792</v>
      </c>
      <c r="BP43" s="202" t="s">
        <v>5792</v>
      </c>
      <c r="BQ43" s="203" t="s">
        <v>5792</v>
      </c>
      <c r="BR43" s="203" t="s">
        <v>5792</v>
      </c>
      <c r="BS43" s="203" t="s">
        <v>5792</v>
      </c>
      <c r="BT43" s="203" t="s">
        <v>5792</v>
      </c>
      <c r="BU43" s="203" t="s">
        <v>5792</v>
      </c>
      <c r="BV43" s="218" t="s">
        <v>5792</v>
      </c>
      <c r="BW43" s="203" t="s">
        <v>5792</v>
      </c>
      <c r="BX43" s="203" t="s">
        <v>5792</v>
      </c>
      <c r="BY43" s="203" t="s">
        <v>5792</v>
      </c>
      <c r="BZ43" s="203" t="s">
        <v>5792</v>
      </c>
      <c r="CA43" s="203" t="s">
        <v>5792</v>
      </c>
      <c r="CB43" s="218" t="s">
        <v>5792</v>
      </c>
      <c r="CC43" s="32" t="s">
        <v>4449</v>
      </c>
      <c r="CD43" s="47">
        <v>235</v>
      </c>
      <c r="CE43" s="21">
        <v>295.5</v>
      </c>
      <c r="CF43" s="47">
        <v>360</v>
      </c>
      <c r="CG43" s="163">
        <v>419.5</v>
      </c>
      <c r="CH43" s="67">
        <v>200000</v>
      </c>
      <c r="CI43" s="107" t="s">
        <v>4449</v>
      </c>
      <c r="CJ43" s="47">
        <v>235</v>
      </c>
      <c r="CK43" s="163">
        <v>321</v>
      </c>
      <c r="CL43" s="60">
        <v>360</v>
      </c>
      <c r="CM43" s="163">
        <v>447</v>
      </c>
      <c r="CN43" s="67">
        <v>200000</v>
      </c>
      <c r="CO43" s="32" t="s">
        <v>4421</v>
      </c>
      <c r="CP43" s="60">
        <v>250</v>
      </c>
      <c r="CQ43" s="163">
        <v>294</v>
      </c>
      <c r="CR43" s="60">
        <v>475</v>
      </c>
      <c r="CS43" s="163">
        <v>444</v>
      </c>
      <c r="CT43" s="61">
        <v>200000</v>
      </c>
      <c r="CU43" s="207" t="s">
        <v>5792</v>
      </c>
      <c r="CV43" s="208" t="s">
        <v>5792</v>
      </c>
      <c r="CW43" s="208" t="s">
        <v>5792</v>
      </c>
      <c r="CX43" s="209" t="s">
        <v>5792</v>
      </c>
      <c r="CY43" s="207" t="s">
        <v>5792</v>
      </c>
      <c r="CZ43" s="208" t="s">
        <v>5792</v>
      </c>
      <c r="DA43" s="209" t="s">
        <v>5792</v>
      </c>
      <c r="DB43" s="283" t="s">
        <v>5792</v>
      </c>
      <c r="DC43" s="163">
        <v>8.8000000000000007</v>
      </c>
      <c r="DD43" s="163">
        <v>640</v>
      </c>
      <c r="DE43" s="32">
        <v>730</v>
      </c>
      <c r="DF43" s="163">
        <v>800</v>
      </c>
      <c r="DG43" s="32">
        <v>940</v>
      </c>
      <c r="DH43" s="61">
        <v>200000</v>
      </c>
      <c r="DI43" s="29" t="s">
        <v>4771</v>
      </c>
      <c r="DJ43" s="163" t="s">
        <v>4435</v>
      </c>
      <c r="DK43" s="297" t="s">
        <v>4566</v>
      </c>
    </row>
    <row r="44" spans="1:115">
      <c r="A44" s="18">
        <v>39</v>
      </c>
      <c r="B44" s="326"/>
      <c r="C44" s="326"/>
      <c r="D44" s="346"/>
      <c r="E44" s="334"/>
      <c r="F44" s="326"/>
      <c r="G44" s="329"/>
      <c r="H44" s="329"/>
      <c r="I44" s="329"/>
      <c r="J44" s="41" t="s">
        <v>4410</v>
      </c>
      <c r="K44" s="306" t="s">
        <v>4383</v>
      </c>
      <c r="L44" s="163" t="s">
        <v>5792</v>
      </c>
      <c r="M44" s="306" t="s">
        <v>4508</v>
      </c>
      <c r="N44" s="163" t="s">
        <v>4701</v>
      </c>
      <c r="O44" s="18" t="s">
        <v>4507</v>
      </c>
      <c r="P44" s="163" t="s">
        <v>4420</v>
      </c>
      <c r="Q44" s="163" t="s">
        <v>4420</v>
      </c>
      <c r="R44" s="163" t="s">
        <v>6170</v>
      </c>
      <c r="S44" s="163">
        <v>10</v>
      </c>
      <c r="T44" s="163" t="s">
        <v>4420</v>
      </c>
      <c r="U44" s="163" t="s">
        <v>5792</v>
      </c>
      <c r="V44" s="32" t="s">
        <v>4559</v>
      </c>
      <c r="W44" s="73">
        <v>10</v>
      </c>
      <c r="X44" s="231">
        <v>0</v>
      </c>
      <c r="Y44" s="142">
        <v>0</v>
      </c>
      <c r="Z44" s="306" t="s">
        <v>3982</v>
      </c>
      <c r="AA44" s="21">
        <f>INDEX('[2]Cross-Section Database'!$C$2:$V$2928,MATCH(Z44,'[2]Cross-Section Database'!$B$2:$B$2928,0),3)</f>
        <v>230</v>
      </c>
      <c r="AB44" s="21">
        <f>INDEX('[2]Cross-Section Database'!$C$2:$V$2928,MATCH(Z44,'[2]Cross-Section Database'!$B$2:$B$2928,0),4)</f>
        <v>240</v>
      </c>
      <c r="AC44" s="21">
        <f>INDEX('[2]Cross-Section Database'!$C$2:$V$2928,MATCH(Z44,'[2]Cross-Section Database'!$B$2:$B$2928,0),6)</f>
        <v>12</v>
      </c>
      <c r="AD44" s="21">
        <f>INDEX('[2]Cross-Section Database'!$C$2:$V$2928,MATCH(Z44,'[2]Cross-Section Database'!$B$2:$B$2928,0),5)</f>
        <v>7.5</v>
      </c>
      <c r="AE44" s="228">
        <v>660</v>
      </c>
      <c r="AF44" s="306" t="s">
        <v>3913</v>
      </c>
      <c r="AG44" s="21">
        <f>INDEX('[2]Cross-Section Database'!$C$2:$V$2928,MATCH(AF44,'[2]Cross-Section Database'!$B$2:$B$2928,0),3)</f>
        <v>300</v>
      </c>
      <c r="AH44" s="21">
        <f>INDEX('[2]Cross-Section Database'!$C$2:$V$2928,MATCH(AF44,'[2]Cross-Section Database'!$B$2:$B$2928,0),4)</f>
        <v>150</v>
      </c>
      <c r="AI44" s="21">
        <f>INDEX('[2]Cross-Section Database'!$C$2:$V$2928,MATCH(AF44,'[2]Cross-Section Database'!$B$2:$B$2928,0),6)</f>
        <v>10.7</v>
      </c>
      <c r="AJ44" s="21">
        <f>INDEX('[2]Cross-Section Database'!$C$2:$V$2928,MATCH(AF44,'[2]Cross-Section Database'!$B$2:$B$2928,0),5)</f>
        <v>7.1</v>
      </c>
      <c r="AK44" s="255">
        <v>1100</v>
      </c>
      <c r="AL44" s="21">
        <f>INDEX('[2]Cross-Section Database'!$C$2:$V$3928,MATCH(AF44,'[2]Cross-Section Database'!$B$2:$B$3928,0),11)</f>
        <v>83560000</v>
      </c>
      <c r="AM44" s="24">
        <f>INDEX('[2]Cross-Section Database'!$C$2:$V$3928,MATCH(AF44,'[2]Cross-Section Database'!$B$2:$B$3928,0),12)</f>
        <v>628000</v>
      </c>
      <c r="AN44" s="21">
        <v>25</v>
      </c>
      <c r="AO44" s="21">
        <v>150</v>
      </c>
      <c r="AP44" s="21">
        <v>300</v>
      </c>
      <c r="AQ44" s="21">
        <f t="shared" si="12"/>
        <v>0</v>
      </c>
      <c r="AR44" s="163">
        <v>0</v>
      </c>
      <c r="AS44" s="306" t="s">
        <v>5807</v>
      </c>
      <c r="AT44" s="163" t="s">
        <v>6134</v>
      </c>
      <c r="AU44" s="21">
        <v>70.5</v>
      </c>
      <c r="AV44" s="163">
        <v>24</v>
      </c>
      <c r="AW44" s="163">
        <f t="shared" si="11"/>
        <v>353</v>
      </c>
      <c r="AX44" s="21">
        <v>45</v>
      </c>
      <c r="AY44" s="21">
        <v>45</v>
      </c>
      <c r="AZ44" s="21">
        <v>70</v>
      </c>
      <c r="BA44" s="21">
        <v>70</v>
      </c>
      <c r="BB44" s="21">
        <v>140</v>
      </c>
      <c r="BC44" s="15" t="s">
        <v>4470</v>
      </c>
      <c r="BD44" s="163" t="s">
        <v>6209</v>
      </c>
      <c r="BE44" s="163" t="s">
        <v>6209</v>
      </c>
      <c r="BF44" s="163">
        <v>2</v>
      </c>
      <c r="BG44" s="163">
        <v>4</v>
      </c>
      <c r="BH44" s="202" t="s">
        <v>5792</v>
      </c>
      <c r="BI44" s="203" t="s">
        <v>5792</v>
      </c>
      <c r="BJ44" s="203" t="s">
        <v>5792</v>
      </c>
      <c r="BK44" s="203" t="s">
        <v>5792</v>
      </c>
      <c r="BL44" s="203" t="s">
        <v>5792</v>
      </c>
      <c r="BM44" s="203" t="s">
        <v>5792</v>
      </c>
      <c r="BN44" s="203" t="s">
        <v>5792</v>
      </c>
      <c r="BO44" s="203" t="s">
        <v>5792</v>
      </c>
      <c r="BP44" s="202" t="s">
        <v>5792</v>
      </c>
      <c r="BQ44" s="203" t="s">
        <v>5792</v>
      </c>
      <c r="BR44" s="203" t="s">
        <v>5792</v>
      </c>
      <c r="BS44" s="203" t="s">
        <v>5792</v>
      </c>
      <c r="BT44" s="203" t="s">
        <v>5792</v>
      </c>
      <c r="BU44" s="203" t="s">
        <v>5792</v>
      </c>
      <c r="BV44" s="218" t="s">
        <v>5792</v>
      </c>
      <c r="BW44" s="203" t="s">
        <v>5792</v>
      </c>
      <c r="BX44" s="203" t="s">
        <v>5792</v>
      </c>
      <c r="BY44" s="203" t="s">
        <v>5792</v>
      </c>
      <c r="BZ44" s="203" t="s">
        <v>5792</v>
      </c>
      <c r="CA44" s="203" t="s">
        <v>5792</v>
      </c>
      <c r="CB44" s="218" t="s">
        <v>5792</v>
      </c>
      <c r="CC44" s="32" t="s">
        <v>4449</v>
      </c>
      <c r="CD44" s="47">
        <v>235</v>
      </c>
      <c r="CE44" s="21">
        <v>295.5</v>
      </c>
      <c r="CF44" s="47">
        <v>360</v>
      </c>
      <c r="CG44" s="163">
        <v>419.5</v>
      </c>
      <c r="CH44" s="67">
        <v>200000</v>
      </c>
      <c r="CI44" s="107" t="s">
        <v>4449</v>
      </c>
      <c r="CJ44" s="47">
        <v>235</v>
      </c>
      <c r="CK44" s="163">
        <v>321</v>
      </c>
      <c r="CL44" s="60">
        <v>360</v>
      </c>
      <c r="CM44" s="163">
        <v>447</v>
      </c>
      <c r="CN44" s="67">
        <v>200000</v>
      </c>
      <c r="CO44" s="32" t="s">
        <v>4421</v>
      </c>
      <c r="CP44" s="60">
        <v>250</v>
      </c>
      <c r="CQ44" s="163">
        <v>294</v>
      </c>
      <c r="CR44" s="60">
        <v>475</v>
      </c>
      <c r="CS44" s="163">
        <v>444</v>
      </c>
      <c r="CT44" s="61">
        <v>200000</v>
      </c>
      <c r="CU44" s="207" t="s">
        <v>5792</v>
      </c>
      <c r="CV44" s="208" t="s">
        <v>5792</v>
      </c>
      <c r="CW44" s="208" t="s">
        <v>5792</v>
      </c>
      <c r="CX44" s="209" t="s">
        <v>5792</v>
      </c>
      <c r="CY44" s="207" t="s">
        <v>5792</v>
      </c>
      <c r="CZ44" s="208" t="s">
        <v>5792</v>
      </c>
      <c r="DA44" s="209" t="s">
        <v>5792</v>
      </c>
      <c r="DB44" s="283" t="s">
        <v>5792</v>
      </c>
      <c r="DC44" s="163">
        <v>8.8000000000000007</v>
      </c>
      <c r="DD44" s="163">
        <v>640</v>
      </c>
      <c r="DE44" s="32">
        <v>730</v>
      </c>
      <c r="DF44" s="163">
        <v>800</v>
      </c>
      <c r="DG44" s="32">
        <v>940</v>
      </c>
      <c r="DH44" s="61">
        <v>200000</v>
      </c>
      <c r="DI44" s="29" t="s">
        <v>4573</v>
      </c>
      <c r="DJ44" s="163" t="s">
        <v>4435</v>
      </c>
      <c r="DK44" s="297" t="s">
        <v>4566</v>
      </c>
    </row>
    <row r="45" spans="1:115">
      <c r="A45" s="18">
        <v>40</v>
      </c>
      <c r="B45" s="326"/>
      <c r="C45" s="326"/>
      <c r="D45" s="346"/>
      <c r="E45" s="334"/>
      <c r="F45" s="326"/>
      <c r="G45" s="329"/>
      <c r="H45" s="329"/>
      <c r="I45" s="329"/>
      <c r="J45" s="41" t="s">
        <v>4411</v>
      </c>
      <c r="K45" s="306" t="s">
        <v>4383</v>
      </c>
      <c r="L45" s="163" t="s">
        <v>5792</v>
      </c>
      <c r="M45" s="306" t="s">
        <v>4508</v>
      </c>
      <c r="N45" s="163" t="s">
        <v>4701</v>
      </c>
      <c r="O45" s="18" t="s">
        <v>4507</v>
      </c>
      <c r="P45" s="163" t="s">
        <v>4420</v>
      </c>
      <c r="Q45" s="163" t="s">
        <v>4420</v>
      </c>
      <c r="R45" s="163" t="s">
        <v>6170</v>
      </c>
      <c r="S45" s="163">
        <v>10</v>
      </c>
      <c r="T45" s="163" t="s">
        <v>4470</v>
      </c>
      <c r="U45" s="163">
        <v>15</v>
      </c>
      <c r="V45" s="32" t="s">
        <v>4559</v>
      </c>
      <c r="W45" s="73">
        <v>10</v>
      </c>
      <c r="X45" s="231">
        <v>0</v>
      </c>
      <c r="Y45" s="142">
        <v>0</v>
      </c>
      <c r="Z45" s="306" t="s">
        <v>3982</v>
      </c>
      <c r="AA45" s="21">
        <f>INDEX('[2]Cross-Section Database'!$C$2:$V$2928,MATCH(Z45,'[2]Cross-Section Database'!$B$2:$B$2928,0),3)</f>
        <v>230</v>
      </c>
      <c r="AB45" s="21">
        <f>INDEX('[2]Cross-Section Database'!$C$2:$V$2928,MATCH(Z45,'[2]Cross-Section Database'!$B$2:$B$2928,0),4)</f>
        <v>240</v>
      </c>
      <c r="AC45" s="21">
        <f>INDEX('[2]Cross-Section Database'!$C$2:$V$2928,MATCH(Z45,'[2]Cross-Section Database'!$B$2:$B$2928,0),6)</f>
        <v>12</v>
      </c>
      <c r="AD45" s="21">
        <f>INDEX('[2]Cross-Section Database'!$C$2:$V$2928,MATCH(Z45,'[2]Cross-Section Database'!$B$2:$B$2928,0),5)</f>
        <v>7.5</v>
      </c>
      <c r="AE45" s="228">
        <v>660</v>
      </c>
      <c r="AF45" s="306" t="s">
        <v>3913</v>
      </c>
      <c r="AG45" s="21">
        <f>INDEX('[2]Cross-Section Database'!$C$2:$V$2928,MATCH(AF45,'[2]Cross-Section Database'!$B$2:$B$2928,0),3)</f>
        <v>300</v>
      </c>
      <c r="AH45" s="21">
        <f>INDEX('[2]Cross-Section Database'!$C$2:$V$2928,MATCH(AF45,'[2]Cross-Section Database'!$B$2:$B$2928,0),4)</f>
        <v>150</v>
      </c>
      <c r="AI45" s="21">
        <f>INDEX('[2]Cross-Section Database'!$C$2:$V$2928,MATCH(AF45,'[2]Cross-Section Database'!$B$2:$B$2928,0),6)</f>
        <v>10.7</v>
      </c>
      <c r="AJ45" s="21">
        <f>INDEX('[2]Cross-Section Database'!$C$2:$V$2928,MATCH(AF45,'[2]Cross-Section Database'!$B$2:$B$2928,0),5)</f>
        <v>7.1</v>
      </c>
      <c r="AK45" s="255">
        <v>1100</v>
      </c>
      <c r="AL45" s="21">
        <f>INDEX('[2]Cross-Section Database'!$C$2:$V$3928,MATCH(AF45,'[2]Cross-Section Database'!$B$2:$B$3928,0),11)</f>
        <v>83560000</v>
      </c>
      <c r="AM45" s="24">
        <f>INDEX('[2]Cross-Section Database'!$C$2:$V$3928,MATCH(AF45,'[2]Cross-Section Database'!$B$2:$B$3928,0),12)</f>
        <v>628000</v>
      </c>
      <c r="AN45" s="21">
        <v>25</v>
      </c>
      <c r="AO45" s="21">
        <v>150</v>
      </c>
      <c r="AP45" s="21">
        <v>300</v>
      </c>
      <c r="AQ45" s="21">
        <f t="shared" si="12"/>
        <v>0</v>
      </c>
      <c r="AR45" s="163">
        <v>0</v>
      </c>
      <c r="AS45" s="306" t="s">
        <v>5807</v>
      </c>
      <c r="AT45" s="163" t="s">
        <v>6134</v>
      </c>
      <c r="AU45" s="21">
        <v>74</v>
      </c>
      <c r="AV45" s="163">
        <v>24</v>
      </c>
      <c r="AW45" s="163">
        <f t="shared" si="11"/>
        <v>353</v>
      </c>
      <c r="AX45" s="21">
        <v>45</v>
      </c>
      <c r="AY45" s="21">
        <v>45</v>
      </c>
      <c r="AZ45" s="21">
        <v>70</v>
      </c>
      <c r="BA45" s="21">
        <v>70</v>
      </c>
      <c r="BB45" s="21">
        <v>140</v>
      </c>
      <c r="BC45" s="15" t="s">
        <v>4420</v>
      </c>
      <c r="BD45" s="163" t="s">
        <v>4465</v>
      </c>
      <c r="BE45" s="163" t="s">
        <v>6209</v>
      </c>
      <c r="BF45" s="163">
        <v>4</v>
      </c>
      <c r="BG45" s="163">
        <v>6</v>
      </c>
      <c r="BH45" s="202" t="s">
        <v>5792</v>
      </c>
      <c r="BI45" s="203" t="s">
        <v>5792</v>
      </c>
      <c r="BJ45" s="203" t="s">
        <v>5792</v>
      </c>
      <c r="BK45" s="203" t="s">
        <v>5792</v>
      </c>
      <c r="BL45" s="203" t="s">
        <v>5792</v>
      </c>
      <c r="BM45" s="203" t="s">
        <v>5792</v>
      </c>
      <c r="BN45" s="203" t="s">
        <v>5792</v>
      </c>
      <c r="BO45" s="203" t="s">
        <v>5792</v>
      </c>
      <c r="BP45" s="202" t="s">
        <v>5792</v>
      </c>
      <c r="BQ45" s="203" t="s">
        <v>5792</v>
      </c>
      <c r="BR45" s="203" t="s">
        <v>5792</v>
      </c>
      <c r="BS45" s="203" t="s">
        <v>5792</v>
      </c>
      <c r="BT45" s="203" t="s">
        <v>5792</v>
      </c>
      <c r="BU45" s="203" t="s">
        <v>5792</v>
      </c>
      <c r="BV45" s="218" t="s">
        <v>5792</v>
      </c>
      <c r="BW45" s="203" t="s">
        <v>5792</v>
      </c>
      <c r="BX45" s="203" t="s">
        <v>5792</v>
      </c>
      <c r="BY45" s="203" t="s">
        <v>5792</v>
      </c>
      <c r="BZ45" s="203" t="s">
        <v>5792</v>
      </c>
      <c r="CA45" s="203" t="s">
        <v>5792</v>
      </c>
      <c r="CB45" s="218" t="s">
        <v>5792</v>
      </c>
      <c r="CC45" s="32" t="s">
        <v>4449</v>
      </c>
      <c r="CD45" s="47">
        <v>235</v>
      </c>
      <c r="CE45" s="21">
        <v>295.5</v>
      </c>
      <c r="CF45" s="47">
        <v>360</v>
      </c>
      <c r="CG45" s="163">
        <v>419.5</v>
      </c>
      <c r="CH45" s="67">
        <v>200000</v>
      </c>
      <c r="CI45" s="107" t="s">
        <v>4449</v>
      </c>
      <c r="CJ45" s="47">
        <v>235</v>
      </c>
      <c r="CK45" s="163">
        <v>321</v>
      </c>
      <c r="CL45" s="60">
        <v>360</v>
      </c>
      <c r="CM45" s="163">
        <v>447</v>
      </c>
      <c r="CN45" s="67">
        <v>200000</v>
      </c>
      <c r="CO45" s="32" t="s">
        <v>4421</v>
      </c>
      <c r="CP45" s="60">
        <v>250</v>
      </c>
      <c r="CQ45" s="163">
        <v>294</v>
      </c>
      <c r="CR45" s="60">
        <v>475</v>
      </c>
      <c r="CS45" s="163">
        <v>444</v>
      </c>
      <c r="CT45" s="61">
        <v>200000</v>
      </c>
      <c r="CU45" s="207" t="s">
        <v>5792</v>
      </c>
      <c r="CV45" s="208" t="s">
        <v>5792</v>
      </c>
      <c r="CW45" s="208" t="s">
        <v>5792</v>
      </c>
      <c r="CX45" s="209" t="s">
        <v>5792</v>
      </c>
      <c r="CY45" s="207" t="s">
        <v>5792</v>
      </c>
      <c r="CZ45" s="208" t="s">
        <v>5792</v>
      </c>
      <c r="DA45" s="209" t="s">
        <v>5792</v>
      </c>
      <c r="DB45" s="283" t="s">
        <v>5792</v>
      </c>
      <c r="DC45" s="163">
        <v>8.8000000000000007</v>
      </c>
      <c r="DD45" s="163">
        <v>640</v>
      </c>
      <c r="DE45" s="32">
        <v>730</v>
      </c>
      <c r="DF45" s="163">
        <v>800</v>
      </c>
      <c r="DG45" s="32">
        <v>940</v>
      </c>
      <c r="DH45" s="61">
        <v>200000</v>
      </c>
      <c r="DI45" s="29" t="s">
        <v>4573</v>
      </c>
      <c r="DJ45" s="163" t="s">
        <v>4435</v>
      </c>
      <c r="DK45" s="297" t="s">
        <v>4566</v>
      </c>
    </row>
    <row r="46" spans="1:115">
      <c r="A46" s="18">
        <v>41</v>
      </c>
      <c r="B46" s="326"/>
      <c r="C46" s="326"/>
      <c r="D46" s="346"/>
      <c r="E46" s="334"/>
      <c r="F46" s="326"/>
      <c r="G46" s="329"/>
      <c r="H46" s="329"/>
      <c r="I46" s="329"/>
      <c r="J46" s="41" t="s">
        <v>4412</v>
      </c>
      <c r="K46" s="306" t="s">
        <v>4383</v>
      </c>
      <c r="L46" s="163" t="s">
        <v>5792</v>
      </c>
      <c r="M46" s="306" t="s">
        <v>4508</v>
      </c>
      <c r="N46" s="163" t="s">
        <v>4701</v>
      </c>
      <c r="O46" s="18" t="s">
        <v>4507</v>
      </c>
      <c r="P46" s="163" t="s">
        <v>4420</v>
      </c>
      <c r="Q46" s="163" t="s">
        <v>4420</v>
      </c>
      <c r="R46" s="163" t="s">
        <v>4420</v>
      </c>
      <c r="S46" s="163" t="s">
        <v>5792</v>
      </c>
      <c r="T46" s="163" t="s">
        <v>4420</v>
      </c>
      <c r="U46" s="163" t="s">
        <v>5792</v>
      </c>
      <c r="V46" s="32" t="s">
        <v>4559</v>
      </c>
      <c r="W46" s="73">
        <v>10</v>
      </c>
      <c r="X46" s="231">
        <v>0</v>
      </c>
      <c r="Y46" s="142">
        <v>0</v>
      </c>
      <c r="Z46" s="306" t="s">
        <v>3982</v>
      </c>
      <c r="AA46" s="21">
        <f>INDEX('[2]Cross-Section Database'!$C$2:$V$2928,MATCH(Z46,'[2]Cross-Section Database'!$B$2:$B$2928,0),3)</f>
        <v>230</v>
      </c>
      <c r="AB46" s="21">
        <f>INDEX('[2]Cross-Section Database'!$C$2:$V$2928,MATCH(Z46,'[2]Cross-Section Database'!$B$2:$B$2928,0),4)</f>
        <v>240</v>
      </c>
      <c r="AC46" s="21">
        <f>INDEX('[2]Cross-Section Database'!$C$2:$V$2928,MATCH(Z46,'[2]Cross-Section Database'!$B$2:$B$2928,0),6)</f>
        <v>12</v>
      </c>
      <c r="AD46" s="21">
        <f>INDEX('[2]Cross-Section Database'!$C$2:$V$2928,MATCH(Z46,'[2]Cross-Section Database'!$B$2:$B$2928,0),5)</f>
        <v>7.5</v>
      </c>
      <c r="AE46" s="228">
        <v>660</v>
      </c>
      <c r="AF46" s="306" t="s">
        <v>3913</v>
      </c>
      <c r="AG46" s="21">
        <f>INDEX('[2]Cross-Section Database'!$C$2:$V$2928,MATCH(AF46,'[2]Cross-Section Database'!$B$2:$B$2928,0),3)</f>
        <v>300</v>
      </c>
      <c r="AH46" s="21">
        <f>INDEX('[2]Cross-Section Database'!$C$2:$V$2928,MATCH(AF46,'[2]Cross-Section Database'!$B$2:$B$2928,0),4)</f>
        <v>150</v>
      </c>
      <c r="AI46" s="21">
        <f>INDEX('[2]Cross-Section Database'!$C$2:$V$2928,MATCH(AF46,'[2]Cross-Section Database'!$B$2:$B$2928,0),6)</f>
        <v>10.7</v>
      </c>
      <c r="AJ46" s="21">
        <f>INDEX('[2]Cross-Section Database'!$C$2:$V$2928,MATCH(AF46,'[2]Cross-Section Database'!$B$2:$B$2928,0),5)</f>
        <v>7.1</v>
      </c>
      <c r="AK46" s="255">
        <v>1100</v>
      </c>
      <c r="AL46" s="21">
        <f>INDEX('[2]Cross-Section Database'!$C$2:$V$3928,MATCH(AF46,'[2]Cross-Section Database'!$B$2:$B$3928,0),11)</f>
        <v>83560000</v>
      </c>
      <c r="AM46" s="24">
        <f>INDEX('[2]Cross-Section Database'!$C$2:$V$3928,MATCH(AF46,'[2]Cross-Section Database'!$B$2:$B$3928,0),12)</f>
        <v>628000</v>
      </c>
      <c r="AN46" s="21">
        <v>25</v>
      </c>
      <c r="AO46" s="21">
        <v>150</v>
      </c>
      <c r="AP46" s="21">
        <v>350</v>
      </c>
      <c r="AQ46" s="21">
        <f t="shared" si="12"/>
        <v>0</v>
      </c>
      <c r="AR46" s="163">
        <v>50</v>
      </c>
      <c r="AS46" s="306" t="s">
        <v>5807</v>
      </c>
      <c r="AT46" s="163" t="s">
        <v>6134</v>
      </c>
      <c r="AU46" s="163">
        <v>98</v>
      </c>
      <c r="AV46" s="163">
        <v>24</v>
      </c>
      <c r="AW46" s="163">
        <f t="shared" si="11"/>
        <v>353</v>
      </c>
      <c r="AX46" s="21">
        <v>45</v>
      </c>
      <c r="AY46" s="21">
        <v>95</v>
      </c>
      <c r="AZ46" s="21">
        <v>70</v>
      </c>
      <c r="BA46" s="21">
        <v>70</v>
      </c>
      <c r="BB46" s="21">
        <v>140</v>
      </c>
      <c r="BC46" s="15" t="s">
        <v>4420</v>
      </c>
      <c r="BD46" s="163" t="s">
        <v>4465</v>
      </c>
      <c r="BE46" s="163" t="s">
        <v>6209</v>
      </c>
      <c r="BF46" s="163">
        <v>4</v>
      </c>
      <c r="BG46" s="163">
        <v>6</v>
      </c>
      <c r="BH46" s="202" t="s">
        <v>5792</v>
      </c>
      <c r="BI46" s="203" t="s">
        <v>5792</v>
      </c>
      <c r="BJ46" s="203" t="s">
        <v>5792</v>
      </c>
      <c r="BK46" s="203" t="s">
        <v>5792</v>
      </c>
      <c r="BL46" s="203" t="s">
        <v>5792</v>
      </c>
      <c r="BM46" s="203" t="s">
        <v>5792</v>
      </c>
      <c r="BN46" s="203" t="s">
        <v>5792</v>
      </c>
      <c r="BO46" s="203" t="s">
        <v>5792</v>
      </c>
      <c r="BP46" s="202" t="s">
        <v>5792</v>
      </c>
      <c r="BQ46" s="203" t="s">
        <v>5792</v>
      </c>
      <c r="BR46" s="203" t="s">
        <v>5792</v>
      </c>
      <c r="BS46" s="203" t="s">
        <v>5792</v>
      </c>
      <c r="BT46" s="203" t="s">
        <v>5792</v>
      </c>
      <c r="BU46" s="203" t="s">
        <v>5792</v>
      </c>
      <c r="BV46" s="218" t="s">
        <v>5792</v>
      </c>
      <c r="BW46" s="203" t="s">
        <v>5792</v>
      </c>
      <c r="BX46" s="203" t="s">
        <v>5792</v>
      </c>
      <c r="BY46" s="203" t="s">
        <v>5792</v>
      </c>
      <c r="BZ46" s="203" t="s">
        <v>5792</v>
      </c>
      <c r="CA46" s="203" t="s">
        <v>5792</v>
      </c>
      <c r="CB46" s="218" t="s">
        <v>5792</v>
      </c>
      <c r="CC46" s="32" t="s">
        <v>4449</v>
      </c>
      <c r="CD46" s="47">
        <v>235</v>
      </c>
      <c r="CE46" s="21">
        <v>295.5</v>
      </c>
      <c r="CF46" s="47">
        <v>360</v>
      </c>
      <c r="CG46" s="163">
        <v>419.5</v>
      </c>
      <c r="CH46" s="67">
        <v>200000</v>
      </c>
      <c r="CI46" s="107" t="s">
        <v>4449</v>
      </c>
      <c r="CJ46" s="47">
        <v>235</v>
      </c>
      <c r="CK46" s="163">
        <v>321</v>
      </c>
      <c r="CL46" s="60">
        <v>360</v>
      </c>
      <c r="CM46" s="163">
        <v>447</v>
      </c>
      <c r="CN46" s="67">
        <v>200000</v>
      </c>
      <c r="CO46" s="32" t="s">
        <v>4421</v>
      </c>
      <c r="CP46" s="60">
        <v>250</v>
      </c>
      <c r="CQ46" s="163">
        <v>294</v>
      </c>
      <c r="CR46" s="60">
        <v>475</v>
      </c>
      <c r="CS46" s="163">
        <v>444</v>
      </c>
      <c r="CT46" s="61">
        <v>200000</v>
      </c>
      <c r="CU46" s="207" t="s">
        <v>5792</v>
      </c>
      <c r="CV46" s="208" t="s">
        <v>5792</v>
      </c>
      <c r="CW46" s="208" t="s">
        <v>5792</v>
      </c>
      <c r="CX46" s="209" t="s">
        <v>5792</v>
      </c>
      <c r="CY46" s="207" t="s">
        <v>5792</v>
      </c>
      <c r="CZ46" s="208" t="s">
        <v>5792</v>
      </c>
      <c r="DA46" s="209" t="s">
        <v>5792</v>
      </c>
      <c r="DB46" s="283" t="s">
        <v>5792</v>
      </c>
      <c r="DC46" s="163">
        <v>8.8000000000000007</v>
      </c>
      <c r="DD46" s="163">
        <v>640</v>
      </c>
      <c r="DE46" s="32">
        <v>730</v>
      </c>
      <c r="DF46" s="163">
        <v>800</v>
      </c>
      <c r="DG46" s="32">
        <v>940</v>
      </c>
      <c r="DH46" s="61">
        <v>200000</v>
      </c>
      <c r="DI46" s="29" t="s">
        <v>4771</v>
      </c>
      <c r="DJ46" s="163" t="s">
        <v>4435</v>
      </c>
      <c r="DK46" s="297" t="s">
        <v>4566</v>
      </c>
    </row>
    <row r="47" spans="1:115" ht="16.2" thickBot="1">
      <c r="A47" s="18">
        <v>42</v>
      </c>
      <c r="B47" s="327"/>
      <c r="C47" s="327"/>
      <c r="D47" s="347"/>
      <c r="E47" s="335"/>
      <c r="F47" s="327"/>
      <c r="G47" s="330"/>
      <c r="H47" s="330"/>
      <c r="I47" s="330"/>
      <c r="J47" s="41" t="s">
        <v>4413</v>
      </c>
      <c r="K47" s="306" t="s">
        <v>4383</v>
      </c>
      <c r="L47" s="164" t="s">
        <v>5792</v>
      </c>
      <c r="M47" s="306" t="s">
        <v>4508</v>
      </c>
      <c r="N47" s="163" t="s">
        <v>4701</v>
      </c>
      <c r="O47" s="18" t="s">
        <v>4507</v>
      </c>
      <c r="P47" s="163" t="s">
        <v>4420</v>
      </c>
      <c r="Q47" s="163" t="s">
        <v>4420</v>
      </c>
      <c r="R47" s="163" t="s">
        <v>4420</v>
      </c>
      <c r="S47" s="164" t="s">
        <v>5792</v>
      </c>
      <c r="T47" s="163" t="s">
        <v>4420</v>
      </c>
      <c r="U47" s="164" t="s">
        <v>5792</v>
      </c>
      <c r="V47" s="32" t="s">
        <v>4559</v>
      </c>
      <c r="W47" s="73">
        <v>10</v>
      </c>
      <c r="X47" s="231">
        <v>0</v>
      </c>
      <c r="Y47" s="142">
        <v>0</v>
      </c>
      <c r="Z47" s="306" t="s">
        <v>3982</v>
      </c>
      <c r="AA47" s="21">
        <f>INDEX('[2]Cross-Section Database'!$C$2:$V$2928,MATCH(Z47,'[2]Cross-Section Database'!$B$2:$B$2928,0),3)</f>
        <v>230</v>
      </c>
      <c r="AB47" s="21">
        <f>INDEX('[2]Cross-Section Database'!$C$2:$V$2928,MATCH(Z47,'[2]Cross-Section Database'!$B$2:$B$2928,0),4)</f>
        <v>240</v>
      </c>
      <c r="AC47" s="21">
        <f>INDEX('[2]Cross-Section Database'!$C$2:$V$2928,MATCH(Z47,'[2]Cross-Section Database'!$B$2:$B$2928,0),6)</f>
        <v>12</v>
      </c>
      <c r="AD47" s="21">
        <f>INDEX('[2]Cross-Section Database'!$C$2:$V$2928,MATCH(Z47,'[2]Cross-Section Database'!$B$2:$B$2928,0),5)</f>
        <v>7.5</v>
      </c>
      <c r="AE47" s="228">
        <v>660</v>
      </c>
      <c r="AF47" s="306" t="s">
        <v>3913</v>
      </c>
      <c r="AG47" s="21">
        <f>INDEX('[2]Cross-Section Database'!$C$2:$V$2928,MATCH(AF47,'[2]Cross-Section Database'!$B$2:$B$2928,0),3)</f>
        <v>300</v>
      </c>
      <c r="AH47" s="21">
        <f>INDEX('[2]Cross-Section Database'!$C$2:$V$2928,MATCH(AF47,'[2]Cross-Section Database'!$B$2:$B$2928,0),4)</f>
        <v>150</v>
      </c>
      <c r="AI47" s="21">
        <f>INDEX('[2]Cross-Section Database'!$C$2:$V$2928,MATCH(AF47,'[2]Cross-Section Database'!$B$2:$B$2928,0),6)</f>
        <v>10.7</v>
      </c>
      <c r="AJ47" s="21">
        <f>INDEX('[2]Cross-Section Database'!$C$2:$V$2928,MATCH(AF47,'[2]Cross-Section Database'!$B$2:$B$2928,0),5)</f>
        <v>7.1</v>
      </c>
      <c r="AK47" s="255">
        <v>1100</v>
      </c>
      <c r="AL47" s="21">
        <f>INDEX('[2]Cross-Section Database'!$C$2:$V$3928,MATCH(AF47,'[2]Cross-Section Database'!$B$2:$B$3928,0),11)</f>
        <v>83560000</v>
      </c>
      <c r="AM47" s="24">
        <f>INDEX('[2]Cross-Section Database'!$C$2:$V$3928,MATCH(AF47,'[2]Cross-Section Database'!$B$2:$B$3928,0),12)</f>
        <v>628000</v>
      </c>
      <c r="AN47" s="21">
        <v>25</v>
      </c>
      <c r="AO47" s="21">
        <v>150</v>
      </c>
      <c r="AP47" s="21">
        <v>300</v>
      </c>
      <c r="AQ47" s="21">
        <f t="shared" si="12"/>
        <v>0</v>
      </c>
      <c r="AR47" s="163">
        <v>0</v>
      </c>
      <c r="AS47" s="306" t="s">
        <v>5807</v>
      </c>
      <c r="AT47" s="163" t="s">
        <v>6134</v>
      </c>
      <c r="AU47" s="163">
        <v>120</v>
      </c>
      <c r="AV47" s="163">
        <v>24</v>
      </c>
      <c r="AW47" s="163">
        <f t="shared" si="11"/>
        <v>353</v>
      </c>
      <c r="AX47" s="21">
        <v>45</v>
      </c>
      <c r="AY47" s="21">
        <v>45</v>
      </c>
      <c r="AZ47" s="21">
        <v>70</v>
      </c>
      <c r="BA47" s="21">
        <v>70</v>
      </c>
      <c r="BB47" s="21">
        <v>140</v>
      </c>
      <c r="BC47" s="15" t="s">
        <v>4420</v>
      </c>
      <c r="BD47" s="163" t="s">
        <v>4465</v>
      </c>
      <c r="BE47" s="163" t="s">
        <v>6209</v>
      </c>
      <c r="BF47" s="163">
        <v>4</v>
      </c>
      <c r="BG47" s="163">
        <v>6</v>
      </c>
      <c r="BH47" s="202" t="s">
        <v>5792</v>
      </c>
      <c r="BI47" s="203" t="s">
        <v>5792</v>
      </c>
      <c r="BJ47" s="203" t="s">
        <v>5792</v>
      </c>
      <c r="BK47" s="203" t="s">
        <v>5792</v>
      </c>
      <c r="BL47" s="203" t="s">
        <v>5792</v>
      </c>
      <c r="BM47" s="203" t="s">
        <v>5792</v>
      </c>
      <c r="BN47" s="203" t="s">
        <v>5792</v>
      </c>
      <c r="BO47" s="203" t="s">
        <v>5792</v>
      </c>
      <c r="BP47" s="202" t="s">
        <v>5792</v>
      </c>
      <c r="BQ47" s="203" t="s">
        <v>5792</v>
      </c>
      <c r="BR47" s="203" t="s">
        <v>5792</v>
      </c>
      <c r="BS47" s="203" t="s">
        <v>5792</v>
      </c>
      <c r="BT47" s="203" t="s">
        <v>5792</v>
      </c>
      <c r="BU47" s="203" t="s">
        <v>5792</v>
      </c>
      <c r="BV47" s="218" t="s">
        <v>5792</v>
      </c>
      <c r="BW47" s="203" t="s">
        <v>5792</v>
      </c>
      <c r="BX47" s="203" t="s">
        <v>5792</v>
      </c>
      <c r="BY47" s="203" t="s">
        <v>5792</v>
      </c>
      <c r="BZ47" s="203" t="s">
        <v>5792</v>
      </c>
      <c r="CA47" s="203" t="s">
        <v>5792</v>
      </c>
      <c r="CB47" s="218" t="s">
        <v>5792</v>
      </c>
      <c r="CC47" s="32" t="s">
        <v>4449</v>
      </c>
      <c r="CD47" s="47">
        <v>235</v>
      </c>
      <c r="CE47" s="21">
        <v>295.5</v>
      </c>
      <c r="CF47" s="47">
        <v>360</v>
      </c>
      <c r="CG47" s="163">
        <v>419.5</v>
      </c>
      <c r="CH47" s="67">
        <v>200000</v>
      </c>
      <c r="CI47" s="107" t="s">
        <v>4449</v>
      </c>
      <c r="CJ47" s="47">
        <v>235</v>
      </c>
      <c r="CK47" s="163">
        <v>321</v>
      </c>
      <c r="CL47" s="60">
        <v>360</v>
      </c>
      <c r="CM47" s="163">
        <v>447</v>
      </c>
      <c r="CN47" s="67">
        <v>200000</v>
      </c>
      <c r="CO47" s="32" t="s">
        <v>4421</v>
      </c>
      <c r="CP47" s="60">
        <v>250</v>
      </c>
      <c r="CQ47" s="163">
        <v>294</v>
      </c>
      <c r="CR47" s="60">
        <v>475</v>
      </c>
      <c r="CS47" s="163">
        <v>444</v>
      </c>
      <c r="CT47" s="61">
        <v>200000</v>
      </c>
      <c r="CU47" s="207" t="s">
        <v>5792</v>
      </c>
      <c r="CV47" s="208" t="s">
        <v>5792</v>
      </c>
      <c r="CW47" s="208" t="s">
        <v>5792</v>
      </c>
      <c r="CX47" s="209" t="s">
        <v>5792</v>
      </c>
      <c r="CY47" s="207" t="s">
        <v>5792</v>
      </c>
      <c r="CZ47" s="208" t="s">
        <v>5792</v>
      </c>
      <c r="DA47" s="209" t="s">
        <v>5792</v>
      </c>
      <c r="DB47" s="283" t="s">
        <v>5792</v>
      </c>
      <c r="DC47" s="163">
        <v>8.8000000000000007</v>
      </c>
      <c r="DD47" s="163">
        <v>640</v>
      </c>
      <c r="DE47" s="32">
        <v>730</v>
      </c>
      <c r="DF47" s="163">
        <v>800</v>
      </c>
      <c r="DG47" s="32">
        <v>940</v>
      </c>
      <c r="DH47" s="61">
        <v>200000</v>
      </c>
      <c r="DI47" s="29" t="s">
        <v>4771</v>
      </c>
      <c r="DJ47" s="163" t="s">
        <v>4435</v>
      </c>
      <c r="DK47" s="297" t="s">
        <v>4566</v>
      </c>
    </row>
    <row r="48" spans="1:115" ht="15.6" customHeight="1">
      <c r="A48" s="17">
        <v>43</v>
      </c>
      <c r="B48" s="325">
        <v>4</v>
      </c>
      <c r="C48" s="325">
        <v>1981</v>
      </c>
      <c r="D48" s="345" t="s">
        <v>4666</v>
      </c>
      <c r="E48" s="333" t="s">
        <v>4836</v>
      </c>
      <c r="F48" s="325">
        <v>5</v>
      </c>
      <c r="G48" s="328" t="s">
        <v>5899</v>
      </c>
      <c r="H48" s="325" t="s">
        <v>5895</v>
      </c>
      <c r="I48" s="325" t="s">
        <v>5687</v>
      </c>
      <c r="J48" s="43" t="s">
        <v>4452</v>
      </c>
      <c r="K48" s="305" t="s">
        <v>4383</v>
      </c>
      <c r="L48" s="32" t="s">
        <v>5792</v>
      </c>
      <c r="M48" s="305" t="s">
        <v>4509</v>
      </c>
      <c r="N48" s="162" t="s">
        <v>4703</v>
      </c>
      <c r="O48" s="17" t="s">
        <v>4507</v>
      </c>
      <c r="P48" s="162" t="s">
        <v>4420</v>
      </c>
      <c r="Q48" s="162" t="s">
        <v>4420</v>
      </c>
      <c r="R48" s="162" t="s">
        <v>6169</v>
      </c>
      <c r="S48" s="32">
        <v>10</v>
      </c>
      <c r="T48" s="162" t="s">
        <v>4420</v>
      </c>
      <c r="U48" s="163" t="s">
        <v>5792</v>
      </c>
      <c r="V48" s="30" t="s">
        <v>4559</v>
      </c>
      <c r="W48" s="88">
        <v>10</v>
      </c>
      <c r="X48" s="232">
        <v>0</v>
      </c>
      <c r="Y48" s="155">
        <v>0</v>
      </c>
      <c r="Z48" s="305" t="s">
        <v>508</v>
      </c>
      <c r="AA48" s="16">
        <f>INDEX('[2]Cross-Section Database'!$C$2:$V$2928,MATCH(Z48,'[2]Cross-Section Database'!$B$2:$B$2928,0),3)</f>
        <v>228.6</v>
      </c>
      <c r="AB48" s="16">
        <f>INDEX('[2]Cross-Section Database'!$C$2:$V$2928,MATCH(Z48,'[2]Cross-Section Database'!$B$2:$B$2928,0),4)</f>
        <v>210.31199999999998</v>
      </c>
      <c r="AC48" s="16">
        <f>INDEX('[2]Cross-Section Database'!$C$2:$V$2928,MATCH(Z48,'[2]Cross-Section Database'!$B$2:$B$2928,0),6)</f>
        <v>23.748999999999999</v>
      </c>
      <c r="AD48" s="16">
        <f>INDEX('[2]Cross-Section Database'!$C$2:$V$2928,MATCH(Z48,'[2]Cross-Section Database'!$B$2:$B$2928,0),5)</f>
        <v>14.477999999999998</v>
      </c>
      <c r="AE48" s="227">
        <v>1300</v>
      </c>
      <c r="AF48" s="305" t="s">
        <v>498</v>
      </c>
      <c r="AG48" s="16">
        <f>INDEX('[2]Cross-Section Database'!$C$2:$V$2928,MATCH(AF48,'[2]Cross-Section Database'!$B$2:$B$2928,0),3)</f>
        <v>259.08</v>
      </c>
      <c r="AH48" s="16">
        <f>INDEX('[2]Cross-Section Database'!$C$2:$V$2928,MATCH(AF48,'[2]Cross-Section Database'!$B$2:$B$2928,0),4)</f>
        <v>146.04999999999998</v>
      </c>
      <c r="AI48" s="16">
        <f>INDEX('[2]Cross-Section Database'!$C$2:$V$2928,MATCH(AF48,'[2]Cross-Section Database'!$B$2:$B$2928,0),6)</f>
        <v>9.1439999999999984</v>
      </c>
      <c r="AJ48" s="16">
        <f>INDEX('[2]Cross-Section Database'!$C$2:$V$2928,MATCH(AF48,'[2]Cross-Section Database'!$B$2:$B$2928,0),5)</f>
        <v>6.0959999999999992</v>
      </c>
      <c r="AK48" s="274">
        <v>1100</v>
      </c>
      <c r="AL48" s="16">
        <f>INDEX('[2]Cross-Section Database'!$C$2:$V$3928,MATCH(AF48,'[2]Cross-Section Database'!$B$2:$B$3928,0),11)</f>
        <v>49115308.220799997</v>
      </c>
      <c r="AM48" s="26">
        <f>INDEX('[2]Cross-Section Database'!$C$2:$V$3928,MATCH(AF48,'[2]Cross-Section Database'!$B$2:$B$3928,0),12)</f>
        <v>426063.66399999999</v>
      </c>
      <c r="AN48" s="16">
        <v>9.5</v>
      </c>
      <c r="AO48" s="16">
        <v>160</v>
      </c>
      <c r="AP48" s="16">
        <v>280</v>
      </c>
      <c r="AQ48" s="16">
        <f t="shared" si="12"/>
        <v>10.460000000000008</v>
      </c>
      <c r="AR48" s="16">
        <f>(AP48-AG48)/2</f>
        <v>10.460000000000008</v>
      </c>
      <c r="AS48" s="305" t="s">
        <v>5807</v>
      </c>
      <c r="AT48" s="162" t="s">
        <v>6134</v>
      </c>
      <c r="AU48" s="162">
        <v>188</v>
      </c>
      <c r="AV48" s="162">
        <v>22</v>
      </c>
      <c r="AW48" s="162">
        <f t="shared" si="11"/>
        <v>303</v>
      </c>
      <c r="AX48" s="16">
        <v>55</v>
      </c>
      <c r="AY48" s="16">
        <f t="shared" ref="AY48:AY53" si="14">AX48</f>
        <v>55</v>
      </c>
      <c r="AZ48" s="16">
        <v>60</v>
      </c>
      <c r="BA48" s="16">
        <v>80</v>
      </c>
      <c r="BB48" s="16">
        <v>110</v>
      </c>
      <c r="BC48" s="22" t="s">
        <v>4420</v>
      </c>
      <c r="BD48" s="162" t="s">
        <v>4465</v>
      </c>
      <c r="BE48" s="162" t="s">
        <v>6209</v>
      </c>
      <c r="BF48" s="162">
        <v>4</v>
      </c>
      <c r="BG48" s="162">
        <v>6</v>
      </c>
      <c r="BH48" s="200" t="s">
        <v>5792</v>
      </c>
      <c r="BI48" s="201" t="s">
        <v>5792</v>
      </c>
      <c r="BJ48" s="201" t="s">
        <v>5792</v>
      </c>
      <c r="BK48" s="201" t="s">
        <v>5792</v>
      </c>
      <c r="BL48" s="201" t="s">
        <v>5792</v>
      </c>
      <c r="BM48" s="201" t="s">
        <v>5792</v>
      </c>
      <c r="BN48" s="201" t="s">
        <v>5792</v>
      </c>
      <c r="BO48" s="201" t="s">
        <v>5792</v>
      </c>
      <c r="BP48" s="200" t="s">
        <v>5792</v>
      </c>
      <c r="BQ48" s="201" t="s">
        <v>5792</v>
      </c>
      <c r="BR48" s="201" t="s">
        <v>5792</v>
      </c>
      <c r="BS48" s="201" t="s">
        <v>5792</v>
      </c>
      <c r="BT48" s="201" t="s">
        <v>5792</v>
      </c>
      <c r="BU48" s="201" t="s">
        <v>5792</v>
      </c>
      <c r="BV48" s="219" t="s">
        <v>5792</v>
      </c>
      <c r="BW48" s="201" t="s">
        <v>5792</v>
      </c>
      <c r="BX48" s="201" t="s">
        <v>5792</v>
      </c>
      <c r="BY48" s="201" t="s">
        <v>5792</v>
      </c>
      <c r="BZ48" s="201" t="s">
        <v>5792</v>
      </c>
      <c r="CA48" s="201" t="s">
        <v>5792</v>
      </c>
      <c r="CB48" s="219" t="s">
        <v>5792</v>
      </c>
      <c r="CC48" s="30" t="s">
        <v>5666</v>
      </c>
      <c r="CD48" s="65">
        <v>300</v>
      </c>
      <c r="CE48" s="30">
        <f>CD48*1.2</f>
        <v>360</v>
      </c>
      <c r="CF48" s="65">
        <v>450</v>
      </c>
      <c r="CG48" s="30">
        <f>CF48*1.2</f>
        <v>540</v>
      </c>
      <c r="CH48" s="66">
        <v>200000</v>
      </c>
      <c r="CI48" s="305" t="s">
        <v>5666</v>
      </c>
      <c r="CJ48" s="65">
        <v>300</v>
      </c>
      <c r="CK48" s="162">
        <v>363</v>
      </c>
      <c r="CL48" s="65">
        <v>450</v>
      </c>
      <c r="CM48" s="30">
        <f>CL48*1.2</f>
        <v>540</v>
      </c>
      <c r="CN48" s="66">
        <v>200000</v>
      </c>
      <c r="CO48" s="305" t="s">
        <v>5666</v>
      </c>
      <c r="CP48" s="65">
        <v>300</v>
      </c>
      <c r="CQ48" s="162">
        <v>300</v>
      </c>
      <c r="CR48" s="65">
        <v>450</v>
      </c>
      <c r="CS48" s="30">
        <f>CR48/CP48*CQ48</f>
        <v>450</v>
      </c>
      <c r="CT48" s="76">
        <v>200000</v>
      </c>
      <c r="CU48" s="204" t="s">
        <v>5792</v>
      </c>
      <c r="CV48" s="205" t="s">
        <v>5792</v>
      </c>
      <c r="CW48" s="205" t="s">
        <v>5792</v>
      </c>
      <c r="CX48" s="206" t="s">
        <v>5792</v>
      </c>
      <c r="CY48" s="204" t="s">
        <v>5792</v>
      </c>
      <c r="CZ48" s="205" t="s">
        <v>5792</v>
      </c>
      <c r="DA48" s="206" t="s">
        <v>5792</v>
      </c>
      <c r="DB48" s="282" t="s">
        <v>5792</v>
      </c>
      <c r="DC48" s="162" t="s">
        <v>4422</v>
      </c>
      <c r="DD48" s="162">
        <v>640</v>
      </c>
      <c r="DE48" s="30">
        <v>730</v>
      </c>
      <c r="DF48" s="162">
        <v>800</v>
      </c>
      <c r="DG48" s="30">
        <v>940</v>
      </c>
      <c r="DH48" s="76">
        <v>200000</v>
      </c>
      <c r="DI48" s="28" t="s">
        <v>4782</v>
      </c>
      <c r="DJ48" s="30" t="s">
        <v>4435</v>
      </c>
      <c r="DK48" s="296" t="s">
        <v>4566</v>
      </c>
    </row>
    <row r="49" spans="1:115">
      <c r="A49" s="18">
        <v>44</v>
      </c>
      <c r="B49" s="326"/>
      <c r="C49" s="326"/>
      <c r="D49" s="346"/>
      <c r="E49" s="334"/>
      <c r="F49" s="326"/>
      <c r="G49" s="329"/>
      <c r="H49" s="326"/>
      <c r="I49" s="326"/>
      <c r="J49" s="41" t="s">
        <v>4453</v>
      </c>
      <c r="K49" s="306" t="s">
        <v>4383</v>
      </c>
      <c r="L49" s="32" t="s">
        <v>5792</v>
      </c>
      <c r="M49" s="306" t="s">
        <v>4509</v>
      </c>
      <c r="N49" s="163" t="s">
        <v>4703</v>
      </c>
      <c r="O49" s="18" t="s">
        <v>4507</v>
      </c>
      <c r="P49" s="163" t="s">
        <v>4420</v>
      </c>
      <c r="Q49" s="163" t="s">
        <v>4420</v>
      </c>
      <c r="R49" s="163" t="s">
        <v>6169</v>
      </c>
      <c r="S49" s="32">
        <v>10</v>
      </c>
      <c r="T49" s="163" t="s">
        <v>4420</v>
      </c>
      <c r="U49" s="163" t="s">
        <v>5792</v>
      </c>
      <c r="V49" s="32" t="s">
        <v>4559</v>
      </c>
      <c r="W49" s="73">
        <v>10</v>
      </c>
      <c r="X49" s="231">
        <v>0</v>
      </c>
      <c r="Y49" s="142">
        <v>0</v>
      </c>
      <c r="Z49" s="306" t="s">
        <v>508</v>
      </c>
      <c r="AA49" s="21">
        <f>INDEX('[2]Cross-Section Database'!$C$2:$V$2928,MATCH(Z49,'[2]Cross-Section Database'!$B$2:$B$2928,0),3)</f>
        <v>228.6</v>
      </c>
      <c r="AB49" s="21">
        <f>INDEX('[2]Cross-Section Database'!$C$2:$V$2928,MATCH(Z49,'[2]Cross-Section Database'!$B$2:$B$2928,0),4)</f>
        <v>210.31199999999998</v>
      </c>
      <c r="AC49" s="21">
        <f>INDEX('[2]Cross-Section Database'!$C$2:$V$2928,MATCH(Z49,'[2]Cross-Section Database'!$B$2:$B$2928,0),6)</f>
        <v>23.748999999999999</v>
      </c>
      <c r="AD49" s="21">
        <f>INDEX('[2]Cross-Section Database'!$C$2:$V$2928,MATCH(Z49,'[2]Cross-Section Database'!$B$2:$B$2928,0),5)</f>
        <v>14.477999999999998</v>
      </c>
      <c r="AE49" s="228">
        <v>1300</v>
      </c>
      <c r="AF49" s="306" t="s">
        <v>498</v>
      </c>
      <c r="AG49" s="21">
        <f>INDEX('[2]Cross-Section Database'!$C$2:$V$2928,MATCH(AF49,'[2]Cross-Section Database'!$B$2:$B$2928,0),3)</f>
        <v>259.08</v>
      </c>
      <c r="AH49" s="21">
        <f>INDEX('[2]Cross-Section Database'!$C$2:$V$2928,MATCH(AF49,'[2]Cross-Section Database'!$B$2:$B$2928,0),4)</f>
        <v>146.04999999999998</v>
      </c>
      <c r="AI49" s="21">
        <f>INDEX('[2]Cross-Section Database'!$C$2:$V$2928,MATCH(AF49,'[2]Cross-Section Database'!$B$2:$B$2928,0),6)</f>
        <v>9.1439999999999984</v>
      </c>
      <c r="AJ49" s="21">
        <f>INDEX('[2]Cross-Section Database'!$C$2:$V$2928,MATCH(AF49,'[2]Cross-Section Database'!$B$2:$B$2928,0),5)</f>
        <v>6.0959999999999992</v>
      </c>
      <c r="AK49" s="275">
        <v>1100</v>
      </c>
      <c r="AL49" s="21">
        <f>INDEX('[2]Cross-Section Database'!$C$2:$V$3928,MATCH(AF49,'[2]Cross-Section Database'!$B$2:$B$3928,0),11)</f>
        <v>49115308.220799997</v>
      </c>
      <c r="AM49" s="24">
        <f>INDEX('[2]Cross-Section Database'!$C$2:$V$3928,MATCH(AF49,'[2]Cross-Section Database'!$B$2:$B$3928,0),12)</f>
        <v>426063.66399999999</v>
      </c>
      <c r="AN49" s="21">
        <v>15.9</v>
      </c>
      <c r="AO49" s="21">
        <v>160</v>
      </c>
      <c r="AP49" s="21">
        <v>280</v>
      </c>
      <c r="AQ49" s="21">
        <f t="shared" si="12"/>
        <v>10.460000000000008</v>
      </c>
      <c r="AR49" s="21">
        <f>(AP49-AG49)/2</f>
        <v>10.460000000000008</v>
      </c>
      <c r="AS49" s="306" t="s">
        <v>5807</v>
      </c>
      <c r="AT49" s="163" t="s">
        <v>6134</v>
      </c>
      <c r="AU49" s="163">
        <v>180</v>
      </c>
      <c r="AV49" s="163">
        <v>22</v>
      </c>
      <c r="AW49" s="163">
        <f t="shared" si="11"/>
        <v>303</v>
      </c>
      <c r="AX49" s="21">
        <v>55</v>
      </c>
      <c r="AY49" s="21">
        <f t="shared" si="14"/>
        <v>55</v>
      </c>
      <c r="AZ49" s="21">
        <v>60</v>
      </c>
      <c r="BA49" s="21">
        <v>80</v>
      </c>
      <c r="BB49" s="21">
        <v>110</v>
      </c>
      <c r="BC49" s="15" t="s">
        <v>4420</v>
      </c>
      <c r="BD49" s="163" t="s">
        <v>4465</v>
      </c>
      <c r="BE49" s="163" t="s">
        <v>6209</v>
      </c>
      <c r="BF49" s="163">
        <v>4</v>
      </c>
      <c r="BG49" s="163">
        <v>6</v>
      </c>
      <c r="BH49" s="202" t="s">
        <v>5792</v>
      </c>
      <c r="BI49" s="203" t="s">
        <v>5792</v>
      </c>
      <c r="BJ49" s="203" t="s">
        <v>5792</v>
      </c>
      <c r="BK49" s="203" t="s">
        <v>5792</v>
      </c>
      <c r="BL49" s="203" t="s">
        <v>5792</v>
      </c>
      <c r="BM49" s="203" t="s">
        <v>5792</v>
      </c>
      <c r="BN49" s="203" t="s">
        <v>5792</v>
      </c>
      <c r="BO49" s="203" t="s">
        <v>5792</v>
      </c>
      <c r="BP49" s="202" t="s">
        <v>5792</v>
      </c>
      <c r="BQ49" s="203" t="s">
        <v>5792</v>
      </c>
      <c r="BR49" s="203" t="s">
        <v>5792</v>
      </c>
      <c r="BS49" s="203" t="s">
        <v>5792</v>
      </c>
      <c r="BT49" s="203" t="s">
        <v>5792</v>
      </c>
      <c r="BU49" s="203" t="s">
        <v>5792</v>
      </c>
      <c r="BV49" s="218" t="s">
        <v>5792</v>
      </c>
      <c r="BW49" s="203" t="s">
        <v>5792</v>
      </c>
      <c r="BX49" s="203" t="s">
        <v>5792</v>
      </c>
      <c r="BY49" s="203" t="s">
        <v>5792</v>
      </c>
      <c r="BZ49" s="203" t="s">
        <v>5792</v>
      </c>
      <c r="CA49" s="203" t="s">
        <v>5792</v>
      </c>
      <c r="CB49" s="218" t="s">
        <v>5792</v>
      </c>
      <c r="CC49" s="32" t="s">
        <v>5666</v>
      </c>
      <c r="CD49" s="60">
        <v>300</v>
      </c>
      <c r="CE49" s="32">
        <f t="shared" ref="CE49:CG52" si="15">CD49*1.2</f>
        <v>360</v>
      </c>
      <c r="CF49" s="60">
        <v>450</v>
      </c>
      <c r="CG49" s="32">
        <f t="shared" si="15"/>
        <v>540</v>
      </c>
      <c r="CH49" s="67">
        <v>200000</v>
      </c>
      <c r="CI49" s="306" t="s">
        <v>5666</v>
      </c>
      <c r="CJ49" s="60">
        <v>300</v>
      </c>
      <c r="CK49" s="163">
        <v>363</v>
      </c>
      <c r="CL49" s="60">
        <v>450</v>
      </c>
      <c r="CM49" s="32">
        <f>CL49*1.2</f>
        <v>540</v>
      </c>
      <c r="CN49" s="67">
        <v>200000</v>
      </c>
      <c r="CO49" s="306" t="s">
        <v>5666</v>
      </c>
      <c r="CP49" s="60">
        <v>300</v>
      </c>
      <c r="CQ49" s="163">
        <v>285</v>
      </c>
      <c r="CR49" s="60">
        <v>450</v>
      </c>
      <c r="CS49" s="33">
        <f>CR49/CP49*CQ49</f>
        <v>427.5</v>
      </c>
      <c r="CT49" s="61">
        <v>200000</v>
      </c>
      <c r="CU49" s="207" t="s">
        <v>5792</v>
      </c>
      <c r="CV49" s="208" t="s">
        <v>5792</v>
      </c>
      <c r="CW49" s="208" t="s">
        <v>5792</v>
      </c>
      <c r="CX49" s="209" t="s">
        <v>5792</v>
      </c>
      <c r="CY49" s="207" t="s">
        <v>5792</v>
      </c>
      <c r="CZ49" s="208" t="s">
        <v>5792</v>
      </c>
      <c r="DA49" s="209" t="s">
        <v>5792</v>
      </c>
      <c r="DB49" s="283" t="s">
        <v>5792</v>
      </c>
      <c r="DC49" s="163" t="s">
        <v>4422</v>
      </c>
      <c r="DD49" s="163">
        <v>640</v>
      </c>
      <c r="DE49" s="32">
        <v>730</v>
      </c>
      <c r="DF49" s="163">
        <v>800</v>
      </c>
      <c r="DG49" s="32">
        <v>940</v>
      </c>
      <c r="DH49" s="61">
        <v>200000</v>
      </c>
      <c r="DI49" s="29" t="s">
        <v>15</v>
      </c>
      <c r="DJ49" s="32" t="s">
        <v>4435</v>
      </c>
      <c r="DK49" s="297" t="s">
        <v>4566</v>
      </c>
    </row>
    <row r="50" spans="1:115">
      <c r="A50" s="18">
        <v>45</v>
      </c>
      <c r="B50" s="326"/>
      <c r="C50" s="326"/>
      <c r="D50" s="346"/>
      <c r="E50" s="334"/>
      <c r="F50" s="326"/>
      <c r="G50" s="329"/>
      <c r="H50" s="326"/>
      <c r="I50" s="326"/>
      <c r="J50" s="41" t="s">
        <v>4454</v>
      </c>
      <c r="K50" s="306" t="s">
        <v>4383</v>
      </c>
      <c r="L50" s="32" t="s">
        <v>5792</v>
      </c>
      <c r="M50" s="306" t="s">
        <v>4509</v>
      </c>
      <c r="N50" s="163" t="s">
        <v>4703</v>
      </c>
      <c r="O50" s="18" t="s">
        <v>4507</v>
      </c>
      <c r="P50" s="163" t="s">
        <v>4420</v>
      </c>
      <c r="Q50" s="163" t="s">
        <v>4420</v>
      </c>
      <c r="R50" s="163" t="s">
        <v>6169</v>
      </c>
      <c r="S50" s="32">
        <v>10</v>
      </c>
      <c r="T50" s="163" t="s">
        <v>4420</v>
      </c>
      <c r="U50" s="163" t="s">
        <v>5792</v>
      </c>
      <c r="V50" s="32" t="s">
        <v>4559</v>
      </c>
      <c r="W50" s="73">
        <v>10</v>
      </c>
      <c r="X50" s="231">
        <v>0</v>
      </c>
      <c r="Y50" s="142">
        <v>0</v>
      </c>
      <c r="Z50" s="306" t="s">
        <v>508</v>
      </c>
      <c r="AA50" s="21">
        <f>INDEX('[2]Cross-Section Database'!$C$2:$V$2928,MATCH(Z50,'[2]Cross-Section Database'!$B$2:$B$2928,0),3)</f>
        <v>228.6</v>
      </c>
      <c r="AB50" s="21">
        <f>INDEX('[2]Cross-Section Database'!$C$2:$V$2928,MATCH(Z50,'[2]Cross-Section Database'!$B$2:$B$2928,0),4)</f>
        <v>210.31199999999998</v>
      </c>
      <c r="AC50" s="21">
        <f>INDEX('[2]Cross-Section Database'!$C$2:$V$2928,MATCH(Z50,'[2]Cross-Section Database'!$B$2:$B$2928,0),6)</f>
        <v>23.748999999999999</v>
      </c>
      <c r="AD50" s="21">
        <f>INDEX('[2]Cross-Section Database'!$C$2:$V$2928,MATCH(Z50,'[2]Cross-Section Database'!$B$2:$B$2928,0),5)</f>
        <v>14.477999999999998</v>
      </c>
      <c r="AE50" s="228">
        <v>1300</v>
      </c>
      <c r="AF50" s="306" t="s">
        <v>498</v>
      </c>
      <c r="AG50" s="21">
        <f>INDEX('[2]Cross-Section Database'!$C$2:$V$2928,MATCH(AF50,'[2]Cross-Section Database'!$B$2:$B$2928,0),3)</f>
        <v>259.08</v>
      </c>
      <c r="AH50" s="21">
        <f>INDEX('[2]Cross-Section Database'!$C$2:$V$2928,MATCH(AF50,'[2]Cross-Section Database'!$B$2:$B$2928,0),4)</f>
        <v>146.04999999999998</v>
      </c>
      <c r="AI50" s="21">
        <f>INDEX('[2]Cross-Section Database'!$C$2:$V$2928,MATCH(AF50,'[2]Cross-Section Database'!$B$2:$B$2928,0),6)</f>
        <v>9.1439999999999984</v>
      </c>
      <c r="AJ50" s="21">
        <f>INDEX('[2]Cross-Section Database'!$C$2:$V$2928,MATCH(AF50,'[2]Cross-Section Database'!$B$2:$B$2928,0),5)</f>
        <v>6.0959999999999992</v>
      </c>
      <c r="AK50" s="275">
        <v>1100</v>
      </c>
      <c r="AL50" s="21">
        <f>INDEX('[2]Cross-Section Database'!$C$2:$V$3928,MATCH(AF50,'[2]Cross-Section Database'!$B$2:$B$3928,0),11)</f>
        <v>49115308.220799997</v>
      </c>
      <c r="AM50" s="24">
        <f>INDEX('[2]Cross-Section Database'!$C$2:$V$3928,MATCH(AF50,'[2]Cross-Section Database'!$B$2:$B$3928,0),12)</f>
        <v>426063.66399999999</v>
      </c>
      <c r="AN50" s="21">
        <v>19.100000000000001</v>
      </c>
      <c r="AO50" s="21">
        <v>160</v>
      </c>
      <c r="AP50" s="21">
        <v>280</v>
      </c>
      <c r="AQ50" s="21">
        <f t="shared" si="12"/>
        <v>10.460000000000008</v>
      </c>
      <c r="AR50" s="21">
        <f>(AP50-AG50)/2</f>
        <v>10.460000000000008</v>
      </c>
      <c r="AS50" s="306" t="s">
        <v>5807</v>
      </c>
      <c r="AT50" s="163" t="s">
        <v>6134</v>
      </c>
      <c r="AU50" s="163">
        <v>185</v>
      </c>
      <c r="AV50" s="163">
        <v>22</v>
      </c>
      <c r="AW50" s="163">
        <f t="shared" si="11"/>
        <v>303</v>
      </c>
      <c r="AX50" s="21">
        <v>55</v>
      </c>
      <c r="AY50" s="21">
        <f t="shared" si="14"/>
        <v>55</v>
      </c>
      <c r="AZ50" s="21">
        <v>60</v>
      </c>
      <c r="BA50" s="21">
        <v>80</v>
      </c>
      <c r="BB50" s="21">
        <v>110</v>
      </c>
      <c r="BC50" s="15" t="s">
        <v>4420</v>
      </c>
      <c r="BD50" s="163" t="s">
        <v>4465</v>
      </c>
      <c r="BE50" s="163" t="s">
        <v>6209</v>
      </c>
      <c r="BF50" s="163">
        <v>4</v>
      </c>
      <c r="BG50" s="163">
        <v>6</v>
      </c>
      <c r="BH50" s="202" t="s">
        <v>5792</v>
      </c>
      <c r="BI50" s="203" t="s">
        <v>5792</v>
      </c>
      <c r="BJ50" s="203" t="s">
        <v>5792</v>
      </c>
      <c r="BK50" s="203" t="s">
        <v>5792</v>
      </c>
      <c r="BL50" s="203" t="s">
        <v>5792</v>
      </c>
      <c r="BM50" s="203" t="s">
        <v>5792</v>
      </c>
      <c r="BN50" s="203" t="s">
        <v>5792</v>
      </c>
      <c r="BO50" s="203" t="s">
        <v>5792</v>
      </c>
      <c r="BP50" s="202" t="s">
        <v>5792</v>
      </c>
      <c r="BQ50" s="203" t="s">
        <v>5792</v>
      </c>
      <c r="BR50" s="203" t="s">
        <v>5792</v>
      </c>
      <c r="BS50" s="203" t="s">
        <v>5792</v>
      </c>
      <c r="BT50" s="203" t="s">
        <v>5792</v>
      </c>
      <c r="BU50" s="203" t="s">
        <v>5792</v>
      </c>
      <c r="BV50" s="218" t="s">
        <v>5792</v>
      </c>
      <c r="BW50" s="203" t="s">
        <v>5792</v>
      </c>
      <c r="BX50" s="203" t="s">
        <v>5792</v>
      </c>
      <c r="BY50" s="203" t="s">
        <v>5792</v>
      </c>
      <c r="BZ50" s="203" t="s">
        <v>5792</v>
      </c>
      <c r="CA50" s="203" t="s">
        <v>5792</v>
      </c>
      <c r="CB50" s="218" t="s">
        <v>5792</v>
      </c>
      <c r="CC50" s="32" t="s">
        <v>5666</v>
      </c>
      <c r="CD50" s="60">
        <v>300</v>
      </c>
      <c r="CE50" s="32">
        <f t="shared" si="15"/>
        <v>360</v>
      </c>
      <c r="CF50" s="60">
        <v>450</v>
      </c>
      <c r="CG50" s="32">
        <f t="shared" si="15"/>
        <v>540</v>
      </c>
      <c r="CH50" s="67">
        <v>200000</v>
      </c>
      <c r="CI50" s="306" t="s">
        <v>5666</v>
      </c>
      <c r="CJ50" s="60">
        <v>300</v>
      </c>
      <c r="CK50" s="163">
        <v>363</v>
      </c>
      <c r="CL50" s="60">
        <v>450</v>
      </c>
      <c r="CM50" s="32">
        <f>CL50*1.2</f>
        <v>540</v>
      </c>
      <c r="CN50" s="67">
        <v>200000</v>
      </c>
      <c r="CO50" s="306" t="s">
        <v>5666</v>
      </c>
      <c r="CP50" s="60">
        <v>300</v>
      </c>
      <c r="CQ50" s="163">
        <v>259</v>
      </c>
      <c r="CR50" s="60">
        <v>450</v>
      </c>
      <c r="CS50" s="33">
        <f>CR50/CP50*CQ50</f>
        <v>388.5</v>
      </c>
      <c r="CT50" s="61">
        <v>200000</v>
      </c>
      <c r="CU50" s="207" t="s">
        <v>5792</v>
      </c>
      <c r="CV50" s="208" t="s">
        <v>5792</v>
      </c>
      <c r="CW50" s="208" t="s">
        <v>5792</v>
      </c>
      <c r="CX50" s="209" t="s">
        <v>5792</v>
      </c>
      <c r="CY50" s="207" t="s">
        <v>5792</v>
      </c>
      <c r="CZ50" s="208" t="s">
        <v>5792</v>
      </c>
      <c r="DA50" s="209" t="s">
        <v>5792</v>
      </c>
      <c r="DB50" s="283" t="s">
        <v>5792</v>
      </c>
      <c r="DC50" s="163" t="s">
        <v>4422</v>
      </c>
      <c r="DD50" s="163">
        <v>640</v>
      </c>
      <c r="DE50" s="32">
        <v>730</v>
      </c>
      <c r="DF50" s="163">
        <v>800</v>
      </c>
      <c r="DG50" s="32">
        <v>940</v>
      </c>
      <c r="DH50" s="61">
        <v>200000</v>
      </c>
      <c r="DI50" s="29" t="s">
        <v>15</v>
      </c>
      <c r="DJ50" s="32" t="s">
        <v>4435</v>
      </c>
      <c r="DK50" s="297" t="s">
        <v>4566</v>
      </c>
    </row>
    <row r="51" spans="1:115">
      <c r="A51" s="18">
        <v>46</v>
      </c>
      <c r="B51" s="326"/>
      <c r="C51" s="326"/>
      <c r="D51" s="346"/>
      <c r="E51" s="334"/>
      <c r="F51" s="326"/>
      <c r="G51" s="329"/>
      <c r="H51" s="326"/>
      <c r="I51" s="326"/>
      <c r="J51" s="41" t="s">
        <v>4455</v>
      </c>
      <c r="K51" s="306" t="s">
        <v>4383</v>
      </c>
      <c r="L51" s="32" t="s">
        <v>5792</v>
      </c>
      <c r="M51" s="306" t="s">
        <v>4509</v>
      </c>
      <c r="N51" s="163" t="s">
        <v>4703</v>
      </c>
      <c r="O51" s="18" t="s">
        <v>4507</v>
      </c>
      <c r="P51" s="163" t="s">
        <v>4420</v>
      </c>
      <c r="Q51" s="163" t="s">
        <v>4420</v>
      </c>
      <c r="R51" s="163" t="s">
        <v>6169</v>
      </c>
      <c r="S51" s="32">
        <v>10</v>
      </c>
      <c r="T51" s="163" t="s">
        <v>4420</v>
      </c>
      <c r="U51" s="163" t="s">
        <v>5792</v>
      </c>
      <c r="V51" s="32" t="s">
        <v>4559</v>
      </c>
      <c r="W51" s="73">
        <v>10</v>
      </c>
      <c r="X51" s="231">
        <v>0</v>
      </c>
      <c r="Y51" s="142">
        <v>0</v>
      </c>
      <c r="Z51" s="306" t="s">
        <v>508</v>
      </c>
      <c r="AA51" s="21">
        <f>INDEX('[2]Cross-Section Database'!$C$2:$V$2928,MATCH(Z51,'[2]Cross-Section Database'!$B$2:$B$2928,0),3)</f>
        <v>228.6</v>
      </c>
      <c r="AB51" s="21">
        <f>INDEX('[2]Cross-Section Database'!$C$2:$V$2928,MATCH(Z51,'[2]Cross-Section Database'!$B$2:$B$2928,0),4)</f>
        <v>210.31199999999998</v>
      </c>
      <c r="AC51" s="21">
        <f>INDEX('[2]Cross-Section Database'!$C$2:$V$2928,MATCH(Z51,'[2]Cross-Section Database'!$B$2:$B$2928,0),6)</f>
        <v>23.748999999999999</v>
      </c>
      <c r="AD51" s="21">
        <f>INDEX('[2]Cross-Section Database'!$C$2:$V$2928,MATCH(Z51,'[2]Cross-Section Database'!$B$2:$B$2928,0),5)</f>
        <v>14.477999999999998</v>
      </c>
      <c r="AE51" s="228">
        <v>1300</v>
      </c>
      <c r="AF51" s="306" t="s">
        <v>498</v>
      </c>
      <c r="AG51" s="21">
        <f>INDEX('[2]Cross-Section Database'!$C$2:$V$2928,MATCH(AF51,'[2]Cross-Section Database'!$B$2:$B$2928,0),3)</f>
        <v>259.08</v>
      </c>
      <c r="AH51" s="21">
        <f>INDEX('[2]Cross-Section Database'!$C$2:$V$2928,MATCH(AF51,'[2]Cross-Section Database'!$B$2:$B$2928,0),4)</f>
        <v>146.04999999999998</v>
      </c>
      <c r="AI51" s="21">
        <f>INDEX('[2]Cross-Section Database'!$C$2:$V$2928,MATCH(AF51,'[2]Cross-Section Database'!$B$2:$B$2928,0),6)</f>
        <v>9.1439999999999984</v>
      </c>
      <c r="AJ51" s="21">
        <f>INDEX('[2]Cross-Section Database'!$C$2:$V$2928,MATCH(AF51,'[2]Cross-Section Database'!$B$2:$B$2928,0),5)</f>
        <v>6.0959999999999992</v>
      </c>
      <c r="AK51" s="275">
        <v>1100</v>
      </c>
      <c r="AL51" s="21">
        <f>INDEX('[2]Cross-Section Database'!$C$2:$V$3928,MATCH(AF51,'[2]Cross-Section Database'!$B$2:$B$3928,0),11)</f>
        <v>49115308.220799997</v>
      </c>
      <c r="AM51" s="24">
        <f>INDEX('[2]Cross-Section Database'!$C$2:$V$3928,MATCH(AF51,'[2]Cross-Section Database'!$B$2:$B$3928,0),12)</f>
        <v>426063.66399999999</v>
      </c>
      <c r="AN51" s="21">
        <v>22.2</v>
      </c>
      <c r="AO51" s="21">
        <v>160</v>
      </c>
      <c r="AP51" s="21">
        <v>280</v>
      </c>
      <c r="AQ51" s="21">
        <f t="shared" si="12"/>
        <v>10.460000000000008</v>
      </c>
      <c r="AR51" s="21">
        <f>(AP51-AG51)/2</f>
        <v>10.460000000000008</v>
      </c>
      <c r="AS51" s="306" t="s">
        <v>5807</v>
      </c>
      <c r="AT51" s="163" t="s">
        <v>6134</v>
      </c>
      <c r="AU51" s="163">
        <v>184</v>
      </c>
      <c r="AV51" s="163">
        <v>22</v>
      </c>
      <c r="AW51" s="163">
        <f t="shared" si="11"/>
        <v>303</v>
      </c>
      <c r="AX51" s="21">
        <v>55</v>
      </c>
      <c r="AY51" s="21">
        <f t="shared" si="14"/>
        <v>55</v>
      </c>
      <c r="AZ51" s="21">
        <v>60</v>
      </c>
      <c r="BA51" s="21">
        <v>80</v>
      </c>
      <c r="BB51" s="21">
        <v>110</v>
      </c>
      <c r="BC51" s="15" t="s">
        <v>4420</v>
      </c>
      <c r="BD51" s="163" t="s">
        <v>4465</v>
      </c>
      <c r="BE51" s="163" t="s">
        <v>6209</v>
      </c>
      <c r="BF51" s="163">
        <v>4</v>
      </c>
      <c r="BG51" s="163">
        <v>6</v>
      </c>
      <c r="BH51" s="202" t="s">
        <v>5792</v>
      </c>
      <c r="BI51" s="203" t="s">
        <v>5792</v>
      </c>
      <c r="BJ51" s="203" t="s">
        <v>5792</v>
      </c>
      <c r="BK51" s="203" t="s">
        <v>5792</v>
      </c>
      <c r="BL51" s="203" t="s">
        <v>5792</v>
      </c>
      <c r="BM51" s="203" t="s">
        <v>5792</v>
      </c>
      <c r="BN51" s="203" t="s">
        <v>5792</v>
      </c>
      <c r="BO51" s="203" t="s">
        <v>5792</v>
      </c>
      <c r="BP51" s="202" t="s">
        <v>5792</v>
      </c>
      <c r="BQ51" s="203" t="s">
        <v>5792</v>
      </c>
      <c r="BR51" s="203" t="s">
        <v>5792</v>
      </c>
      <c r="BS51" s="203" t="s">
        <v>5792</v>
      </c>
      <c r="BT51" s="203" t="s">
        <v>5792</v>
      </c>
      <c r="BU51" s="203" t="s">
        <v>5792</v>
      </c>
      <c r="BV51" s="218" t="s">
        <v>5792</v>
      </c>
      <c r="BW51" s="203" t="s">
        <v>5792</v>
      </c>
      <c r="BX51" s="203" t="s">
        <v>5792</v>
      </c>
      <c r="BY51" s="203" t="s">
        <v>5792</v>
      </c>
      <c r="BZ51" s="203" t="s">
        <v>5792</v>
      </c>
      <c r="CA51" s="203" t="s">
        <v>5792</v>
      </c>
      <c r="CB51" s="218" t="s">
        <v>5792</v>
      </c>
      <c r="CC51" s="32" t="s">
        <v>5666</v>
      </c>
      <c r="CD51" s="60">
        <v>300</v>
      </c>
      <c r="CE51" s="32">
        <f t="shared" si="15"/>
        <v>360</v>
      </c>
      <c r="CF51" s="60">
        <v>450</v>
      </c>
      <c r="CG51" s="32">
        <f t="shared" si="15"/>
        <v>540</v>
      </c>
      <c r="CH51" s="67">
        <v>200000</v>
      </c>
      <c r="CI51" s="306" t="s">
        <v>5666</v>
      </c>
      <c r="CJ51" s="60">
        <v>300</v>
      </c>
      <c r="CK51" s="163">
        <v>363</v>
      </c>
      <c r="CL51" s="60">
        <v>450</v>
      </c>
      <c r="CM51" s="32">
        <f>CL51*1.2</f>
        <v>540</v>
      </c>
      <c r="CN51" s="67">
        <v>200000</v>
      </c>
      <c r="CO51" s="306" t="s">
        <v>5666</v>
      </c>
      <c r="CP51" s="60">
        <v>300</v>
      </c>
      <c r="CQ51" s="163">
        <v>264</v>
      </c>
      <c r="CR51" s="60">
        <v>450</v>
      </c>
      <c r="CS51" s="32">
        <f>CR51/CP51*CQ51</f>
        <v>396</v>
      </c>
      <c r="CT51" s="61">
        <v>200000</v>
      </c>
      <c r="CU51" s="207" t="s">
        <v>5792</v>
      </c>
      <c r="CV51" s="208" t="s">
        <v>5792</v>
      </c>
      <c r="CW51" s="208" t="s">
        <v>5792</v>
      </c>
      <c r="CX51" s="209" t="s">
        <v>5792</v>
      </c>
      <c r="CY51" s="207" t="s">
        <v>5792</v>
      </c>
      <c r="CZ51" s="208" t="s">
        <v>5792</v>
      </c>
      <c r="DA51" s="209" t="s">
        <v>5792</v>
      </c>
      <c r="DB51" s="283" t="s">
        <v>5792</v>
      </c>
      <c r="DC51" s="163" t="s">
        <v>4422</v>
      </c>
      <c r="DD51" s="163">
        <v>640</v>
      </c>
      <c r="DE51" s="32">
        <v>730</v>
      </c>
      <c r="DF51" s="163">
        <v>800</v>
      </c>
      <c r="DG51" s="32">
        <v>940</v>
      </c>
      <c r="DH51" s="61">
        <v>200000</v>
      </c>
      <c r="DI51" s="29" t="s">
        <v>4573</v>
      </c>
      <c r="DJ51" s="32" t="s">
        <v>4435</v>
      </c>
      <c r="DK51" s="297" t="s">
        <v>4566</v>
      </c>
    </row>
    <row r="52" spans="1:115" ht="16.2" thickBot="1">
      <c r="A52" s="14">
        <v>47</v>
      </c>
      <c r="B52" s="327"/>
      <c r="C52" s="327"/>
      <c r="D52" s="347"/>
      <c r="E52" s="335"/>
      <c r="F52" s="327"/>
      <c r="G52" s="330"/>
      <c r="H52" s="327"/>
      <c r="I52" s="327"/>
      <c r="J52" s="42" t="s">
        <v>4456</v>
      </c>
      <c r="K52" s="143" t="s">
        <v>4383</v>
      </c>
      <c r="L52" s="34" t="s">
        <v>5792</v>
      </c>
      <c r="M52" s="143" t="s">
        <v>4509</v>
      </c>
      <c r="N52" s="164" t="s">
        <v>4703</v>
      </c>
      <c r="O52" s="14" t="s">
        <v>4507</v>
      </c>
      <c r="P52" s="164" t="s">
        <v>4420</v>
      </c>
      <c r="Q52" s="164" t="s">
        <v>4420</v>
      </c>
      <c r="R52" s="164" t="s">
        <v>6169</v>
      </c>
      <c r="S52" s="34">
        <v>10</v>
      </c>
      <c r="T52" s="164" t="s">
        <v>4420</v>
      </c>
      <c r="U52" s="164" t="s">
        <v>5792</v>
      </c>
      <c r="V52" s="34" t="s">
        <v>4559</v>
      </c>
      <c r="W52" s="118">
        <v>10</v>
      </c>
      <c r="X52" s="233">
        <v>0</v>
      </c>
      <c r="Y52" s="156">
        <v>0</v>
      </c>
      <c r="Z52" s="306" t="s">
        <v>508</v>
      </c>
      <c r="AA52" s="21">
        <f>INDEX('[2]Cross-Section Database'!$C$2:$V$2928,MATCH(Z52,'[2]Cross-Section Database'!$B$2:$B$2928,0),3)</f>
        <v>228.6</v>
      </c>
      <c r="AB52" s="21">
        <f>INDEX('[2]Cross-Section Database'!$C$2:$V$2928,MATCH(Z52,'[2]Cross-Section Database'!$B$2:$B$2928,0),4)</f>
        <v>210.31199999999998</v>
      </c>
      <c r="AC52" s="21">
        <f>INDEX('[2]Cross-Section Database'!$C$2:$V$2928,MATCH(Z52,'[2]Cross-Section Database'!$B$2:$B$2928,0),6)</f>
        <v>23.748999999999999</v>
      </c>
      <c r="AD52" s="21">
        <f>INDEX('[2]Cross-Section Database'!$C$2:$V$2928,MATCH(Z52,'[2]Cross-Section Database'!$B$2:$B$2928,0),5)</f>
        <v>14.477999999999998</v>
      </c>
      <c r="AE52" s="228">
        <v>1300</v>
      </c>
      <c r="AF52" s="143" t="s">
        <v>498</v>
      </c>
      <c r="AG52" s="23">
        <f>INDEX('[2]Cross-Section Database'!$C$2:$V$2928,MATCH(AF52,'[2]Cross-Section Database'!$B$2:$B$2928,0),3)</f>
        <v>259.08</v>
      </c>
      <c r="AH52" s="23">
        <f>INDEX('[2]Cross-Section Database'!$C$2:$V$2928,MATCH(AF52,'[2]Cross-Section Database'!$B$2:$B$2928,0),4)</f>
        <v>146.04999999999998</v>
      </c>
      <c r="AI52" s="23">
        <f>INDEX('[2]Cross-Section Database'!$C$2:$V$2928,MATCH(AF52,'[2]Cross-Section Database'!$B$2:$B$2928,0),6)</f>
        <v>9.1439999999999984</v>
      </c>
      <c r="AJ52" s="23">
        <f>INDEX('[2]Cross-Section Database'!$C$2:$V$2928,MATCH(AF52,'[2]Cross-Section Database'!$B$2:$B$2928,0),5)</f>
        <v>6.0959999999999992</v>
      </c>
      <c r="AK52" s="276">
        <v>1100</v>
      </c>
      <c r="AL52" s="23">
        <f>INDEX('[2]Cross-Section Database'!$C$2:$V$3928,MATCH(AF52,'[2]Cross-Section Database'!$B$2:$B$3928,0),11)</f>
        <v>49115308.220799997</v>
      </c>
      <c r="AM52" s="25">
        <f>INDEX('[2]Cross-Section Database'!$C$2:$V$3928,MATCH(AF52,'[2]Cross-Section Database'!$B$2:$B$3928,0),12)</f>
        <v>426063.66399999999</v>
      </c>
      <c r="AN52" s="23">
        <v>25.4</v>
      </c>
      <c r="AO52" s="23">
        <v>160</v>
      </c>
      <c r="AP52" s="23">
        <v>280</v>
      </c>
      <c r="AQ52" s="23">
        <f t="shared" si="12"/>
        <v>10.460000000000008</v>
      </c>
      <c r="AR52" s="23">
        <f>(AP52-AG52)/2</f>
        <v>10.460000000000008</v>
      </c>
      <c r="AS52" s="143" t="s">
        <v>5807</v>
      </c>
      <c r="AT52" s="164" t="s">
        <v>6134</v>
      </c>
      <c r="AU52" s="164">
        <v>180</v>
      </c>
      <c r="AV52" s="164">
        <v>22</v>
      </c>
      <c r="AW52" s="164">
        <f t="shared" si="11"/>
        <v>303</v>
      </c>
      <c r="AX52" s="23">
        <v>55</v>
      </c>
      <c r="AY52" s="23">
        <f t="shared" si="14"/>
        <v>55</v>
      </c>
      <c r="AZ52" s="23">
        <v>60</v>
      </c>
      <c r="BA52" s="23">
        <v>80</v>
      </c>
      <c r="BB52" s="23">
        <v>110</v>
      </c>
      <c r="BC52" s="19" t="s">
        <v>4420</v>
      </c>
      <c r="BD52" s="164" t="s">
        <v>4465</v>
      </c>
      <c r="BE52" s="164" t="s">
        <v>6209</v>
      </c>
      <c r="BF52" s="164">
        <v>4</v>
      </c>
      <c r="BG52" s="164">
        <v>6</v>
      </c>
      <c r="BH52" s="197" t="s">
        <v>5792</v>
      </c>
      <c r="BI52" s="198" t="s">
        <v>5792</v>
      </c>
      <c r="BJ52" s="198" t="s">
        <v>5792</v>
      </c>
      <c r="BK52" s="198" t="s">
        <v>5792</v>
      </c>
      <c r="BL52" s="198" t="s">
        <v>5792</v>
      </c>
      <c r="BM52" s="198" t="s">
        <v>5792</v>
      </c>
      <c r="BN52" s="198" t="s">
        <v>5792</v>
      </c>
      <c r="BO52" s="198" t="s">
        <v>5792</v>
      </c>
      <c r="BP52" s="197" t="s">
        <v>5792</v>
      </c>
      <c r="BQ52" s="198" t="s">
        <v>5792</v>
      </c>
      <c r="BR52" s="198" t="s">
        <v>5792</v>
      </c>
      <c r="BS52" s="198" t="s">
        <v>5792</v>
      </c>
      <c r="BT52" s="198" t="s">
        <v>5792</v>
      </c>
      <c r="BU52" s="198" t="s">
        <v>5792</v>
      </c>
      <c r="BV52" s="220" t="s">
        <v>5792</v>
      </c>
      <c r="BW52" s="198" t="s">
        <v>5792</v>
      </c>
      <c r="BX52" s="198" t="s">
        <v>5792</v>
      </c>
      <c r="BY52" s="198" t="s">
        <v>5792</v>
      </c>
      <c r="BZ52" s="198" t="s">
        <v>5792</v>
      </c>
      <c r="CA52" s="198" t="s">
        <v>5792</v>
      </c>
      <c r="CB52" s="220" t="s">
        <v>5792</v>
      </c>
      <c r="CC52" s="34" t="s">
        <v>5666</v>
      </c>
      <c r="CD52" s="87">
        <v>300</v>
      </c>
      <c r="CE52" s="34">
        <f t="shared" si="15"/>
        <v>360</v>
      </c>
      <c r="CF52" s="87">
        <v>450</v>
      </c>
      <c r="CG52" s="34">
        <f t="shared" si="15"/>
        <v>540</v>
      </c>
      <c r="CH52" s="70">
        <v>200000</v>
      </c>
      <c r="CI52" s="143" t="s">
        <v>5666</v>
      </c>
      <c r="CJ52" s="87">
        <v>300</v>
      </c>
      <c r="CK52" s="164">
        <v>363</v>
      </c>
      <c r="CL52" s="87">
        <v>450</v>
      </c>
      <c r="CM52" s="34">
        <f>CL52*1.2</f>
        <v>540</v>
      </c>
      <c r="CN52" s="70">
        <v>200000</v>
      </c>
      <c r="CO52" s="143" t="s">
        <v>5666</v>
      </c>
      <c r="CP52" s="87">
        <v>300</v>
      </c>
      <c r="CQ52" s="164">
        <v>264</v>
      </c>
      <c r="CR52" s="87">
        <v>450</v>
      </c>
      <c r="CS52" s="34">
        <f>CR52/CP52*CQ52</f>
        <v>396</v>
      </c>
      <c r="CT52" s="77">
        <v>200000</v>
      </c>
      <c r="CU52" s="210" t="s">
        <v>5792</v>
      </c>
      <c r="CV52" s="211" t="s">
        <v>5792</v>
      </c>
      <c r="CW52" s="211" t="s">
        <v>5792</v>
      </c>
      <c r="CX52" s="212" t="s">
        <v>5792</v>
      </c>
      <c r="CY52" s="210" t="s">
        <v>5792</v>
      </c>
      <c r="CZ52" s="211" t="s">
        <v>5792</v>
      </c>
      <c r="DA52" s="212" t="s">
        <v>5792</v>
      </c>
      <c r="DB52" s="284" t="s">
        <v>5792</v>
      </c>
      <c r="DC52" s="164" t="s">
        <v>4422</v>
      </c>
      <c r="DD52" s="164">
        <v>640</v>
      </c>
      <c r="DE52" s="34">
        <v>730</v>
      </c>
      <c r="DF52" s="164">
        <v>800</v>
      </c>
      <c r="DG52" s="34">
        <v>940</v>
      </c>
      <c r="DH52" s="77">
        <v>200000</v>
      </c>
      <c r="DI52" s="27" t="s">
        <v>15</v>
      </c>
      <c r="DJ52" s="34" t="s">
        <v>4435</v>
      </c>
      <c r="DK52" s="298" t="s">
        <v>4566</v>
      </c>
    </row>
    <row r="53" spans="1:115" ht="16.2" thickBot="1">
      <c r="A53" s="18">
        <v>48</v>
      </c>
      <c r="B53" s="294">
        <v>5</v>
      </c>
      <c r="C53" s="294">
        <v>1981</v>
      </c>
      <c r="D53" s="300" t="s">
        <v>4510</v>
      </c>
      <c r="E53" s="300" t="s">
        <v>4871</v>
      </c>
      <c r="F53" s="294">
        <v>1</v>
      </c>
      <c r="G53" s="294" t="s">
        <v>5901</v>
      </c>
      <c r="H53" s="294" t="s">
        <v>5900</v>
      </c>
      <c r="I53" s="294" t="s">
        <v>5683</v>
      </c>
      <c r="J53" s="41" t="s">
        <v>4511</v>
      </c>
      <c r="K53" s="306" t="s">
        <v>4383</v>
      </c>
      <c r="L53" s="108" t="s">
        <v>5792</v>
      </c>
      <c r="M53" s="107" t="s">
        <v>4509</v>
      </c>
      <c r="N53" s="30" t="s">
        <v>4703</v>
      </c>
      <c r="O53" s="18" t="s">
        <v>4507</v>
      </c>
      <c r="P53" s="9" t="s">
        <v>4420</v>
      </c>
      <c r="Q53" s="108" t="s">
        <v>4420</v>
      </c>
      <c r="R53" s="108" t="s">
        <v>4420</v>
      </c>
      <c r="S53" s="108" t="s">
        <v>5792</v>
      </c>
      <c r="T53" s="108" t="s">
        <v>4420</v>
      </c>
      <c r="U53" s="108" t="s">
        <v>5792</v>
      </c>
      <c r="V53" s="113" t="s">
        <v>4559</v>
      </c>
      <c r="W53" s="273">
        <v>10</v>
      </c>
      <c r="X53" s="231">
        <v>0</v>
      </c>
      <c r="Y53" s="142">
        <v>0</v>
      </c>
      <c r="Z53" s="9" t="s">
        <v>4352</v>
      </c>
      <c r="AA53" s="110">
        <f>INDEX('[2]Cross-Section Database'!$C$2:$V$2928,MATCH(Z53,'[2]Cross-Section Database'!$B$2:$B$2928,0),3)</f>
        <v>307.89999999999998</v>
      </c>
      <c r="AB53" s="110">
        <f>INDEX('[2]Cross-Section Database'!$C$2:$V$2928,MATCH(Z53,'[2]Cross-Section Database'!$B$2:$B$2928,0),4)</f>
        <v>305.3</v>
      </c>
      <c r="AC53" s="110">
        <f>INDEX('[2]Cross-Section Database'!$C$2:$V$2928,MATCH(Z53,'[2]Cross-Section Database'!$B$2:$B$2928,0),6)</f>
        <v>15.4</v>
      </c>
      <c r="AD53" s="110">
        <f>INDEX('[2]Cross-Section Database'!$C$2:$V$2928,MATCH(Z53,'[2]Cross-Section Database'!$B$2:$B$2928,0),5)</f>
        <v>9.9</v>
      </c>
      <c r="AE53" s="226">
        <v>1200</v>
      </c>
      <c r="AF53" s="306" t="s">
        <v>4240</v>
      </c>
      <c r="AG53" s="21">
        <f>INDEX('[2]Cross-Section Database'!$C$2:$V$2928,MATCH(AF53,'[2]Cross-Section Database'!$B$2:$B$2928,0),3)</f>
        <v>457</v>
      </c>
      <c r="AH53" s="20">
        <f>INDEX('[2]Cross-Section Database'!$C$2:$V$2928,MATCH(AF53,'[2]Cross-Section Database'!$B$2:$B$2928,0),4)</f>
        <v>190.4</v>
      </c>
      <c r="AI53" s="20">
        <f>INDEX('[2]Cross-Section Database'!$C$2:$V$2928,MATCH(AF53,'[2]Cross-Section Database'!$B$2:$B$2928,0),6)</f>
        <v>14.5</v>
      </c>
      <c r="AJ53" s="21">
        <f>INDEX('[2]Cross-Section Database'!$C$2:$V$2928,MATCH(AF53,'[2]Cross-Section Database'!$B$2:$B$2928,0),5)</f>
        <v>9</v>
      </c>
      <c r="AK53" s="253">
        <v>1200</v>
      </c>
      <c r="AL53" s="38">
        <f>INDEX('[2]Cross-Section Database'!$C$2:$V$3928,MATCH(AF53,'[2]Cross-Section Database'!$B$2:$B$3928,0),11)</f>
        <v>333200000</v>
      </c>
      <c r="AM53" s="24">
        <f>INDEX('[2]Cross-Section Database'!$C$2:$V$3928,MATCH(AF53,'[2]Cross-Section Database'!$B$2:$B$3928,0),12)</f>
        <v>1653000</v>
      </c>
      <c r="AN53" s="21">
        <v>25</v>
      </c>
      <c r="AO53" s="21">
        <v>200</v>
      </c>
      <c r="AP53" s="21">
        <v>400</v>
      </c>
      <c r="AQ53" s="21">
        <v>0</v>
      </c>
      <c r="AR53" s="21">
        <v>0</v>
      </c>
      <c r="AS53" s="306" t="s">
        <v>5807</v>
      </c>
      <c r="AT53" s="163" t="s">
        <v>4499</v>
      </c>
      <c r="AU53" s="163" t="s">
        <v>6134</v>
      </c>
      <c r="AV53" s="163">
        <v>20</v>
      </c>
      <c r="AW53" s="163">
        <f t="shared" si="11"/>
        <v>245</v>
      </c>
      <c r="AX53" s="21">
        <v>50</v>
      </c>
      <c r="AY53" s="21">
        <f t="shared" si="14"/>
        <v>50</v>
      </c>
      <c r="AZ53" s="21">
        <v>75</v>
      </c>
      <c r="BA53" s="21">
        <v>140</v>
      </c>
      <c r="BB53" s="21">
        <v>0</v>
      </c>
      <c r="BC53" s="15" t="s">
        <v>4420</v>
      </c>
      <c r="BD53" s="163" t="s">
        <v>4465</v>
      </c>
      <c r="BE53" s="163" t="s">
        <v>4465</v>
      </c>
      <c r="BF53" s="163">
        <v>4</v>
      </c>
      <c r="BG53" s="163">
        <v>10</v>
      </c>
      <c r="BH53" s="202" t="s">
        <v>5792</v>
      </c>
      <c r="BI53" s="203" t="s">
        <v>5792</v>
      </c>
      <c r="BJ53" s="203" t="s">
        <v>5792</v>
      </c>
      <c r="BK53" s="203" t="s">
        <v>5792</v>
      </c>
      <c r="BL53" s="203" t="s">
        <v>5792</v>
      </c>
      <c r="BM53" s="203" t="s">
        <v>5792</v>
      </c>
      <c r="BN53" s="203" t="s">
        <v>5792</v>
      </c>
      <c r="BO53" s="203" t="s">
        <v>5792</v>
      </c>
      <c r="BP53" s="202" t="s">
        <v>5792</v>
      </c>
      <c r="BQ53" s="203" t="s">
        <v>5792</v>
      </c>
      <c r="BR53" s="203" t="s">
        <v>5792</v>
      </c>
      <c r="BS53" s="203" t="s">
        <v>5792</v>
      </c>
      <c r="BT53" s="203" t="s">
        <v>5792</v>
      </c>
      <c r="BU53" s="203" t="s">
        <v>5792</v>
      </c>
      <c r="BV53" s="218" t="s">
        <v>5792</v>
      </c>
      <c r="BW53" s="203" t="s">
        <v>5792</v>
      </c>
      <c r="BX53" s="203" t="s">
        <v>5792</v>
      </c>
      <c r="BY53" s="203" t="s">
        <v>5792</v>
      </c>
      <c r="BZ53" s="203" t="s">
        <v>5792</v>
      </c>
      <c r="CA53" s="203" t="s">
        <v>5792</v>
      </c>
      <c r="CB53" s="218" t="s">
        <v>5792</v>
      </c>
      <c r="CC53" s="32" t="s">
        <v>4449</v>
      </c>
      <c r="CD53" s="47">
        <v>235</v>
      </c>
      <c r="CE53" s="32">
        <v>300</v>
      </c>
      <c r="CF53" s="47">
        <v>360</v>
      </c>
      <c r="CG53" s="32">
        <v>450</v>
      </c>
      <c r="CH53" s="67">
        <v>200000</v>
      </c>
      <c r="CI53" s="107" t="s">
        <v>4449</v>
      </c>
      <c r="CJ53" s="47">
        <v>235</v>
      </c>
      <c r="CK53" s="32">
        <v>300</v>
      </c>
      <c r="CL53" s="60">
        <v>360</v>
      </c>
      <c r="CM53" s="32">
        <v>450</v>
      </c>
      <c r="CN53" s="67">
        <v>200000</v>
      </c>
      <c r="CO53" s="32" t="s">
        <v>4449</v>
      </c>
      <c r="CP53" s="47">
        <v>235</v>
      </c>
      <c r="CQ53" s="32">
        <v>300</v>
      </c>
      <c r="CR53" s="60">
        <v>360</v>
      </c>
      <c r="CS53" s="32">
        <v>450</v>
      </c>
      <c r="CT53" s="61">
        <v>200000</v>
      </c>
      <c r="CU53" s="207" t="s">
        <v>5792</v>
      </c>
      <c r="CV53" s="208" t="s">
        <v>5792</v>
      </c>
      <c r="CW53" s="208" t="s">
        <v>5792</v>
      </c>
      <c r="CX53" s="209" t="s">
        <v>5792</v>
      </c>
      <c r="CY53" s="207" t="s">
        <v>5792</v>
      </c>
      <c r="CZ53" s="208" t="s">
        <v>5792</v>
      </c>
      <c r="DA53" s="209" t="s">
        <v>5792</v>
      </c>
      <c r="DB53" s="283" t="s">
        <v>5792</v>
      </c>
      <c r="DC53" s="163">
        <v>8.8000000000000007</v>
      </c>
      <c r="DD53" s="163">
        <v>640</v>
      </c>
      <c r="DE53" s="32">
        <v>730</v>
      </c>
      <c r="DF53" s="163">
        <v>800</v>
      </c>
      <c r="DG53" s="32">
        <v>940</v>
      </c>
      <c r="DH53" s="61">
        <v>200000</v>
      </c>
      <c r="DI53" s="29" t="s">
        <v>4566</v>
      </c>
      <c r="DJ53" s="163" t="s">
        <v>4561</v>
      </c>
      <c r="DK53" s="297" t="s">
        <v>4566</v>
      </c>
    </row>
    <row r="54" spans="1:115" ht="15.6" customHeight="1">
      <c r="A54" s="17">
        <v>49</v>
      </c>
      <c r="B54" s="325">
        <v>6</v>
      </c>
      <c r="C54" s="325">
        <v>1981</v>
      </c>
      <c r="D54" s="345" t="s">
        <v>4464</v>
      </c>
      <c r="E54" s="333" t="s">
        <v>5864</v>
      </c>
      <c r="F54" s="325">
        <v>23</v>
      </c>
      <c r="G54" s="328" t="s">
        <v>5898</v>
      </c>
      <c r="H54" s="328" t="s">
        <v>5897</v>
      </c>
      <c r="I54" s="328" t="s">
        <v>6224</v>
      </c>
      <c r="J54" s="43" t="s">
        <v>4411</v>
      </c>
      <c r="K54" s="305" t="s">
        <v>4383</v>
      </c>
      <c r="L54" s="163" t="s">
        <v>5792</v>
      </c>
      <c r="M54" s="305" t="s">
        <v>4509</v>
      </c>
      <c r="N54" s="162" t="s">
        <v>4703</v>
      </c>
      <c r="O54" s="17" t="s">
        <v>4507</v>
      </c>
      <c r="P54" s="163" t="s">
        <v>4420</v>
      </c>
      <c r="Q54" s="163" t="s">
        <v>4420</v>
      </c>
      <c r="R54" s="163" t="s">
        <v>4420</v>
      </c>
      <c r="S54" s="163" t="s">
        <v>5792</v>
      </c>
      <c r="T54" s="163" t="s">
        <v>4420</v>
      </c>
      <c r="U54" s="163" t="s">
        <v>5792</v>
      </c>
      <c r="V54" s="163" t="s">
        <v>4559</v>
      </c>
      <c r="W54" s="18">
        <v>10</v>
      </c>
      <c r="X54" s="232">
        <v>0</v>
      </c>
      <c r="Y54" s="155">
        <v>0</v>
      </c>
      <c r="Z54" s="305" t="s">
        <v>4021</v>
      </c>
      <c r="AA54" s="16">
        <f>INDEX('[2]Cross-Section Database'!$C$2:$V$2928,MATCH(Z54,'[2]Cross-Section Database'!$B$2:$B$2928,0),3)</f>
        <v>478</v>
      </c>
      <c r="AB54" s="16">
        <f>INDEX('[2]Cross-Section Database'!$C$2:$V$2928,MATCH(Z54,'[2]Cross-Section Database'!$B$2:$B$2928,0),4)</f>
        <v>307</v>
      </c>
      <c r="AC54" s="16">
        <f>INDEX('[2]Cross-Section Database'!$C$2:$V$2928,MATCH(Z54,'[2]Cross-Section Database'!$B$2:$B$2928,0),6)</f>
        <v>40</v>
      </c>
      <c r="AD54" s="16">
        <f>INDEX('[2]Cross-Section Database'!$C$2:$V$2928,MATCH(Z54,'[2]Cross-Section Database'!$B$2:$B$2928,0),5)</f>
        <v>21</v>
      </c>
      <c r="AE54" s="227">
        <v>1300</v>
      </c>
      <c r="AF54" s="305" t="s">
        <v>3997</v>
      </c>
      <c r="AG54" s="16">
        <f>INDEX('[2]Cross-Section Database'!$C$2:$V$2928,MATCH(AF54,'[2]Cross-Section Database'!$B$2:$B$2928,0),3)</f>
        <v>290</v>
      </c>
      <c r="AH54" s="16">
        <f>INDEX('[2]Cross-Section Database'!$C$2:$V$2928,MATCH(AF54,'[2]Cross-Section Database'!$B$2:$B$2928,0),4)</f>
        <v>300</v>
      </c>
      <c r="AI54" s="16">
        <f>INDEX('[2]Cross-Section Database'!$C$2:$V$2928,MATCH(AF54,'[2]Cross-Section Database'!$B$2:$B$2928,0),6)</f>
        <v>14</v>
      </c>
      <c r="AJ54" s="16">
        <f>INDEX('[2]Cross-Section Database'!$C$2:$V$2928,MATCH(AF54,'[2]Cross-Section Database'!$B$2:$B$2928,0),5)</f>
        <v>8.5</v>
      </c>
      <c r="AK54" s="256">
        <v>1100</v>
      </c>
      <c r="AL54" s="16">
        <f>INDEX('[2]Cross-Section Database'!$C$2:$V$3928,MATCH(AF54,'[2]Cross-Section Database'!$B$2:$B$3928,0),11)</f>
        <v>182600000</v>
      </c>
      <c r="AM54" s="26">
        <f>INDEX('[2]Cross-Section Database'!$C$2:$V$3928,MATCH(AF54,'[2]Cross-Section Database'!$B$2:$B$3928,0),12)</f>
        <v>1383000</v>
      </c>
      <c r="AN54" s="16">
        <v>12</v>
      </c>
      <c r="AO54" s="16">
        <v>230</v>
      </c>
      <c r="AP54" s="16">
        <v>290</v>
      </c>
      <c r="AQ54" s="16">
        <f t="shared" ref="AQ54:AQ80" si="16">(AP54-AG54)-AR54</f>
        <v>0</v>
      </c>
      <c r="AR54" s="16">
        <v>0</v>
      </c>
      <c r="AS54" s="305" t="s">
        <v>5807</v>
      </c>
      <c r="AT54" s="162" t="s">
        <v>6134</v>
      </c>
      <c r="AU54" s="162">
        <v>48</v>
      </c>
      <c r="AV54" s="162">
        <v>24</v>
      </c>
      <c r="AW54" s="162">
        <f t="shared" si="11"/>
        <v>353</v>
      </c>
      <c r="AX54" s="16">
        <v>55</v>
      </c>
      <c r="AY54" s="16">
        <v>55</v>
      </c>
      <c r="AZ54" s="16">
        <v>0</v>
      </c>
      <c r="BA54" s="16">
        <v>120</v>
      </c>
      <c r="BB54" s="16">
        <v>180</v>
      </c>
      <c r="BC54" s="22" t="s">
        <v>4470</v>
      </c>
      <c r="BD54" s="162" t="s">
        <v>6209</v>
      </c>
      <c r="BE54" s="162" t="s">
        <v>6209</v>
      </c>
      <c r="BF54" s="162">
        <v>2</v>
      </c>
      <c r="BG54" s="162">
        <v>4</v>
      </c>
      <c r="BH54" s="200" t="s">
        <v>5792</v>
      </c>
      <c r="BI54" s="201" t="s">
        <v>5792</v>
      </c>
      <c r="BJ54" s="201" t="s">
        <v>5792</v>
      </c>
      <c r="BK54" s="201" t="s">
        <v>5792</v>
      </c>
      <c r="BL54" s="201" t="s">
        <v>5792</v>
      </c>
      <c r="BM54" s="201" t="s">
        <v>5792</v>
      </c>
      <c r="BN54" s="201" t="s">
        <v>5792</v>
      </c>
      <c r="BO54" s="201" t="s">
        <v>5792</v>
      </c>
      <c r="BP54" s="200" t="s">
        <v>5792</v>
      </c>
      <c r="BQ54" s="201" t="s">
        <v>5792</v>
      </c>
      <c r="BR54" s="201" t="s">
        <v>5792</v>
      </c>
      <c r="BS54" s="201" t="s">
        <v>5792</v>
      </c>
      <c r="BT54" s="201" t="s">
        <v>5792</v>
      </c>
      <c r="BU54" s="201" t="s">
        <v>5792</v>
      </c>
      <c r="BV54" s="219" t="s">
        <v>5792</v>
      </c>
      <c r="BW54" s="201" t="s">
        <v>5792</v>
      </c>
      <c r="BX54" s="201" t="s">
        <v>5792</v>
      </c>
      <c r="BY54" s="201" t="s">
        <v>5792</v>
      </c>
      <c r="BZ54" s="201" t="s">
        <v>5792</v>
      </c>
      <c r="CA54" s="201" t="s">
        <v>5792</v>
      </c>
      <c r="CB54" s="219" t="s">
        <v>5792</v>
      </c>
      <c r="CC54" s="30" t="s">
        <v>4449</v>
      </c>
      <c r="CD54" s="72">
        <v>235</v>
      </c>
      <c r="CE54" s="30">
        <v>300</v>
      </c>
      <c r="CF54" s="72">
        <v>360</v>
      </c>
      <c r="CG54" s="30">
        <v>450</v>
      </c>
      <c r="CH54" s="66">
        <v>200000</v>
      </c>
      <c r="CI54" s="106" t="s">
        <v>4449</v>
      </c>
      <c r="CJ54" s="72">
        <v>235</v>
      </c>
      <c r="CK54" s="30">
        <v>300</v>
      </c>
      <c r="CL54" s="65">
        <v>360</v>
      </c>
      <c r="CM54" s="30">
        <v>450</v>
      </c>
      <c r="CN54" s="66">
        <v>200000</v>
      </c>
      <c r="CO54" s="30" t="s">
        <v>4449</v>
      </c>
      <c r="CP54" s="72">
        <v>235</v>
      </c>
      <c r="CQ54" s="162">
        <v>294</v>
      </c>
      <c r="CR54" s="65">
        <v>360</v>
      </c>
      <c r="CS54" s="30">
        <v>450</v>
      </c>
      <c r="CT54" s="76">
        <v>200000</v>
      </c>
      <c r="CU54" s="204" t="s">
        <v>5792</v>
      </c>
      <c r="CV54" s="205" t="s">
        <v>5792</v>
      </c>
      <c r="CW54" s="205" t="s">
        <v>5792</v>
      </c>
      <c r="CX54" s="206" t="s">
        <v>5792</v>
      </c>
      <c r="CY54" s="204" t="s">
        <v>5792</v>
      </c>
      <c r="CZ54" s="205" t="s">
        <v>5792</v>
      </c>
      <c r="DA54" s="206" t="s">
        <v>5792</v>
      </c>
      <c r="DB54" s="282" t="s">
        <v>5792</v>
      </c>
      <c r="DC54" s="162">
        <v>8.8000000000000007</v>
      </c>
      <c r="DD54" s="162">
        <v>640</v>
      </c>
      <c r="DE54" s="30">
        <v>730</v>
      </c>
      <c r="DF54" s="162">
        <v>800</v>
      </c>
      <c r="DG54" s="30">
        <v>940</v>
      </c>
      <c r="DH54" s="76">
        <v>200000</v>
      </c>
      <c r="DI54" s="28" t="s">
        <v>4573</v>
      </c>
      <c r="DJ54" s="162" t="s">
        <v>6055</v>
      </c>
      <c r="DK54" s="296" t="s">
        <v>4566</v>
      </c>
    </row>
    <row r="55" spans="1:115">
      <c r="A55" s="18">
        <v>50</v>
      </c>
      <c r="B55" s="326"/>
      <c r="C55" s="326"/>
      <c r="D55" s="346"/>
      <c r="E55" s="334"/>
      <c r="F55" s="326"/>
      <c r="G55" s="329"/>
      <c r="H55" s="329"/>
      <c r="I55" s="329"/>
      <c r="J55" s="41" t="s">
        <v>4412</v>
      </c>
      <c r="K55" s="306" t="s">
        <v>4383</v>
      </c>
      <c r="L55" s="163" t="s">
        <v>5792</v>
      </c>
      <c r="M55" s="306" t="s">
        <v>4509</v>
      </c>
      <c r="N55" s="163" t="s">
        <v>4703</v>
      </c>
      <c r="O55" s="18" t="s">
        <v>4507</v>
      </c>
      <c r="P55" s="163" t="s">
        <v>4420</v>
      </c>
      <c r="Q55" s="163" t="s">
        <v>4420</v>
      </c>
      <c r="R55" s="163" t="s">
        <v>4420</v>
      </c>
      <c r="S55" s="163" t="s">
        <v>5792</v>
      </c>
      <c r="T55" s="163" t="s">
        <v>4420</v>
      </c>
      <c r="U55" s="163" t="s">
        <v>5792</v>
      </c>
      <c r="V55" s="163" t="s">
        <v>4559</v>
      </c>
      <c r="W55" s="18">
        <v>10</v>
      </c>
      <c r="X55" s="231">
        <v>0</v>
      </c>
      <c r="Y55" s="142">
        <v>0</v>
      </c>
      <c r="Z55" s="306" t="s">
        <v>4021</v>
      </c>
      <c r="AA55" s="21">
        <f>INDEX('[2]Cross-Section Database'!$C$2:$V$2928,MATCH(Z55,'[2]Cross-Section Database'!$B$2:$B$2928,0),3)</f>
        <v>478</v>
      </c>
      <c r="AB55" s="21">
        <f>INDEX('[2]Cross-Section Database'!$C$2:$V$2928,MATCH(Z55,'[2]Cross-Section Database'!$B$2:$B$2928,0),4)</f>
        <v>307</v>
      </c>
      <c r="AC55" s="21">
        <f>INDEX('[2]Cross-Section Database'!$C$2:$V$2928,MATCH(Z55,'[2]Cross-Section Database'!$B$2:$B$2928,0),6)</f>
        <v>40</v>
      </c>
      <c r="AD55" s="21">
        <f>INDEX('[2]Cross-Section Database'!$C$2:$V$2928,MATCH(Z55,'[2]Cross-Section Database'!$B$2:$B$2928,0),5)</f>
        <v>21</v>
      </c>
      <c r="AE55" s="228">
        <v>1300</v>
      </c>
      <c r="AF55" s="306" t="s">
        <v>3997</v>
      </c>
      <c r="AG55" s="21">
        <f>INDEX('[2]Cross-Section Database'!$C$2:$V$2928,MATCH(AF55,'[2]Cross-Section Database'!$B$2:$B$2928,0),3)</f>
        <v>290</v>
      </c>
      <c r="AH55" s="21">
        <f>INDEX('[2]Cross-Section Database'!$C$2:$V$2928,MATCH(AF55,'[2]Cross-Section Database'!$B$2:$B$2928,0),4)</f>
        <v>300</v>
      </c>
      <c r="AI55" s="21">
        <f>INDEX('[2]Cross-Section Database'!$C$2:$V$2928,MATCH(AF55,'[2]Cross-Section Database'!$B$2:$B$2928,0),6)</f>
        <v>14</v>
      </c>
      <c r="AJ55" s="21">
        <f>INDEX('[2]Cross-Section Database'!$C$2:$V$2928,MATCH(AF55,'[2]Cross-Section Database'!$B$2:$B$2928,0),5)</f>
        <v>8.5</v>
      </c>
      <c r="AK55" s="255">
        <v>1100</v>
      </c>
      <c r="AL55" s="21">
        <f>INDEX('[2]Cross-Section Database'!$C$2:$V$3928,MATCH(AF55,'[2]Cross-Section Database'!$B$2:$B$3928,0),11)</f>
        <v>182600000</v>
      </c>
      <c r="AM55" s="24">
        <f>INDEX('[2]Cross-Section Database'!$C$2:$V$3928,MATCH(AF55,'[2]Cross-Section Database'!$B$2:$B$3928,0),12)</f>
        <v>1383000</v>
      </c>
      <c r="AN55" s="21">
        <v>16</v>
      </c>
      <c r="AO55" s="21">
        <v>230</v>
      </c>
      <c r="AP55" s="21">
        <v>290</v>
      </c>
      <c r="AQ55" s="21">
        <f t="shared" si="16"/>
        <v>0</v>
      </c>
      <c r="AR55" s="21">
        <v>0</v>
      </c>
      <c r="AS55" s="306" t="s">
        <v>5807</v>
      </c>
      <c r="AT55" s="163" t="s">
        <v>6134</v>
      </c>
      <c r="AU55" s="163">
        <v>40</v>
      </c>
      <c r="AV55" s="163">
        <v>24</v>
      </c>
      <c r="AW55" s="163">
        <f t="shared" si="11"/>
        <v>353</v>
      </c>
      <c r="AX55" s="21">
        <v>55</v>
      </c>
      <c r="AY55" s="21">
        <v>55</v>
      </c>
      <c r="AZ55" s="21">
        <v>0</v>
      </c>
      <c r="BA55" s="21">
        <v>120</v>
      </c>
      <c r="BB55" s="21">
        <v>180</v>
      </c>
      <c r="BC55" s="15" t="s">
        <v>4470</v>
      </c>
      <c r="BD55" s="163" t="s">
        <v>6209</v>
      </c>
      <c r="BE55" s="163" t="s">
        <v>6209</v>
      </c>
      <c r="BF55" s="163">
        <v>2</v>
      </c>
      <c r="BG55" s="163">
        <v>4</v>
      </c>
      <c r="BH55" s="202" t="s">
        <v>5792</v>
      </c>
      <c r="BI55" s="203" t="s">
        <v>5792</v>
      </c>
      <c r="BJ55" s="203" t="s">
        <v>5792</v>
      </c>
      <c r="BK55" s="203" t="s">
        <v>5792</v>
      </c>
      <c r="BL55" s="203" t="s">
        <v>5792</v>
      </c>
      <c r="BM55" s="203" t="s">
        <v>5792</v>
      </c>
      <c r="BN55" s="203" t="s">
        <v>5792</v>
      </c>
      <c r="BO55" s="203" t="s">
        <v>5792</v>
      </c>
      <c r="BP55" s="202" t="s">
        <v>5792</v>
      </c>
      <c r="BQ55" s="203" t="s">
        <v>5792</v>
      </c>
      <c r="BR55" s="203" t="s">
        <v>5792</v>
      </c>
      <c r="BS55" s="203" t="s">
        <v>5792</v>
      </c>
      <c r="BT55" s="203" t="s">
        <v>5792</v>
      </c>
      <c r="BU55" s="203" t="s">
        <v>5792</v>
      </c>
      <c r="BV55" s="218" t="s">
        <v>5792</v>
      </c>
      <c r="BW55" s="203" t="s">
        <v>5792</v>
      </c>
      <c r="BX55" s="203" t="s">
        <v>5792</v>
      </c>
      <c r="BY55" s="203" t="s">
        <v>5792</v>
      </c>
      <c r="BZ55" s="203" t="s">
        <v>5792</v>
      </c>
      <c r="CA55" s="203" t="s">
        <v>5792</v>
      </c>
      <c r="CB55" s="218" t="s">
        <v>5792</v>
      </c>
      <c r="CC55" s="32" t="s">
        <v>4449</v>
      </c>
      <c r="CD55" s="47">
        <v>235</v>
      </c>
      <c r="CE55" s="32">
        <v>300</v>
      </c>
      <c r="CF55" s="47">
        <v>360</v>
      </c>
      <c r="CG55" s="32">
        <v>450</v>
      </c>
      <c r="CH55" s="67">
        <v>200000</v>
      </c>
      <c r="CI55" s="107" t="s">
        <v>4449</v>
      </c>
      <c r="CJ55" s="47">
        <v>235</v>
      </c>
      <c r="CK55" s="32">
        <v>300</v>
      </c>
      <c r="CL55" s="60">
        <v>360</v>
      </c>
      <c r="CM55" s="32">
        <v>450</v>
      </c>
      <c r="CN55" s="67">
        <v>200000</v>
      </c>
      <c r="CO55" s="32" t="s">
        <v>4449</v>
      </c>
      <c r="CP55" s="47">
        <v>235</v>
      </c>
      <c r="CQ55" s="163">
        <v>286</v>
      </c>
      <c r="CR55" s="60">
        <v>360</v>
      </c>
      <c r="CS55" s="32">
        <v>450</v>
      </c>
      <c r="CT55" s="61">
        <v>200000</v>
      </c>
      <c r="CU55" s="207" t="s">
        <v>5792</v>
      </c>
      <c r="CV55" s="208" t="s">
        <v>5792</v>
      </c>
      <c r="CW55" s="208" t="s">
        <v>5792</v>
      </c>
      <c r="CX55" s="209" t="s">
        <v>5792</v>
      </c>
      <c r="CY55" s="207" t="s">
        <v>5792</v>
      </c>
      <c r="CZ55" s="208" t="s">
        <v>5792</v>
      </c>
      <c r="DA55" s="209" t="s">
        <v>5792</v>
      </c>
      <c r="DB55" s="283" t="s">
        <v>5792</v>
      </c>
      <c r="DC55" s="163">
        <v>8.8000000000000007</v>
      </c>
      <c r="DD55" s="163">
        <v>640</v>
      </c>
      <c r="DE55" s="32">
        <v>730</v>
      </c>
      <c r="DF55" s="163">
        <v>800</v>
      </c>
      <c r="DG55" s="32">
        <v>940</v>
      </c>
      <c r="DH55" s="61">
        <v>200000</v>
      </c>
      <c r="DI55" s="29" t="s">
        <v>4573</v>
      </c>
      <c r="DJ55" s="163" t="s">
        <v>6055</v>
      </c>
      <c r="DK55" s="297" t="s">
        <v>4566</v>
      </c>
    </row>
    <row r="56" spans="1:115">
      <c r="A56" s="18">
        <v>51</v>
      </c>
      <c r="B56" s="326"/>
      <c r="C56" s="326"/>
      <c r="D56" s="346"/>
      <c r="E56" s="334"/>
      <c r="F56" s="326"/>
      <c r="G56" s="329"/>
      <c r="H56" s="329"/>
      <c r="I56" s="329"/>
      <c r="J56" s="41" t="s">
        <v>4413</v>
      </c>
      <c r="K56" s="306" t="s">
        <v>4383</v>
      </c>
      <c r="L56" s="163" t="s">
        <v>5792</v>
      </c>
      <c r="M56" s="306" t="s">
        <v>4509</v>
      </c>
      <c r="N56" s="163" t="s">
        <v>4703</v>
      </c>
      <c r="O56" s="18" t="s">
        <v>4507</v>
      </c>
      <c r="P56" s="163" t="s">
        <v>4420</v>
      </c>
      <c r="Q56" s="163" t="s">
        <v>4420</v>
      </c>
      <c r="R56" s="163" t="s">
        <v>4420</v>
      </c>
      <c r="S56" s="163" t="s">
        <v>5792</v>
      </c>
      <c r="T56" s="163" t="s">
        <v>4420</v>
      </c>
      <c r="U56" s="163" t="s">
        <v>5792</v>
      </c>
      <c r="V56" s="163" t="s">
        <v>4559</v>
      </c>
      <c r="W56" s="18">
        <v>10</v>
      </c>
      <c r="X56" s="231">
        <v>0</v>
      </c>
      <c r="Y56" s="142">
        <v>0</v>
      </c>
      <c r="Z56" s="306" t="s">
        <v>4021</v>
      </c>
      <c r="AA56" s="21">
        <f>INDEX('[2]Cross-Section Database'!$C$2:$V$2928,MATCH(Z56,'[2]Cross-Section Database'!$B$2:$B$2928,0),3)</f>
        <v>478</v>
      </c>
      <c r="AB56" s="21">
        <f>INDEX('[2]Cross-Section Database'!$C$2:$V$2928,MATCH(Z56,'[2]Cross-Section Database'!$B$2:$B$2928,0),4)</f>
        <v>307</v>
      </c>
      <c r="AC56" s="21">
        <f>INDEX('[2]Cross-Section Database'!$C$2:$V$2928,MATCH(Z56,'[2]Cross-Section Database'!$B$2:$B$2928,0),6)</f>
        <v>40</v>
      </c>
      <c r="AD56" s="21">
        <f>INDEX('[2]Cross-Section Database'!$C$2:$V$2928,MATCH(Z56,'[2]Cross-Section Database'!$B$2:$B$2928,0),5)</f>
        <v>21</v>
      </c>
      <c r="AE56" s="228">
        <v>1300</v>
      </c>
      <c r="AF56" s="306" t="s">
        <v>3997</v>
      </c>
      <c r="AG56" s="21">
        <f>INDEX('[2]Cross-Section Database'!$C$2:$V$2928,MATCH(AF56,'[2]Cross-Section Database'!$B$2:$B$2928,0),3)</f>
        <v>290</v>
      </c>
      <c r="AH56" s="21">
        <f>INDEX('[2]Cross-Section Database'!$C$2:$V$2928,MATCH(AF56,'[2]Cross-Section Database'!$B$2:$B$2928,0),4)</f>
        <v>300</v>
      </c>
      <c r="AI56" s="21">
        <f>INDEX('[2]Cross-Section Database'!$C$2:$V$2928,MATCH(AF56,'[2]Cross-Section Database'!$B$2:$B$2928,0),6)</f>
        <v>14</v>
      </c>
      <c r="AJ56" s="21">
        <f>INDEX('[2]Cross-Section Database'!$C$2:$V$2928,MATCH(AF56,'[2]Cross-Section Database'!$B$2:$B$2928,0),5)</f>
        <v>8.5</v>
      </c>
      <c r="AK56" s="255">
        <v>1100</v>
      </c>
      <c r="AL56" s="21">
        <f>INDEX('[2]Cross-Section Database'!$C$2:$V$3928,MATCH(AF56,'[2]Cross-Section Database'!$B$2:$B$3928,0),11)</f>
        <v>182600000</v>
      </c>
      <c r="AM56" s="24">
        <f>INDEX('[2]Cross-Section Database'!$C$2:$V$3928,MATCH(AF56,'[2]Cross-Section Database'!$B$2:$B$3928,0),12)</f>
        <v>1383000</v>
      </c>
      <c r="AN56" s="21">
        <v>12</v>
      </c>
      <c r="AO56" s="21">
        <v>230</v>
      </c>
      <c r="AP56" s="21">
        <v>290</v>
      </c>
      <c r="AQ56" s="21">
        <f t="shared" si="16"/>
        <v>0</v>
      </c>
      <c r="AR56" s="21">
        <v>0</v>
      </c>
      <c r="AS56" s="306" t="s">
        <v>5807</v>
      </c>
      <c r="AT56" s="163" t="s">
        <v>6134</v>
      </c>
      <c r="AU56" s="163">
        <v>44</v>
      </c>
      <c r="AV56" s="163">
        <v>24</v>
      </c>
      <c r="AW56" s="163">
        <f t="shared" si="11"/>
        <v>353</v>
      </c>
      <c r="AX56" s="21">
        <v>75</v>
      </c>
      <c r="AY56" s="21">
        <v>75</v>
      </c>
      <c r="AZ56" s="21">
        <v>0</v>
      </c>
      <c r="BA56" s="21">
        <v>120</v>
      </c>
      <c r="BB56" s="21">
        <v>140</v>
      </c>
      <c r="BC56" s="15" t="s">
        <v>4470</v>
      </c>
      <c r="BD56" s="163" t="s">
        <v>6209</v>
      </c>
      <c r="BE56" s="163" t="s">
        <v>6209</v>
      </c>
      <c r="BF56" s="163">
        <v>2</v>
      </c>
      <c r="BG56" s="163">
        <v>4</v>
      </c>
      <c r="BH56" s="202" t="s">
        <v>5792</v>
      </c>
      <c r="BI56" s="203" t="s">
        <v>5792</v>
      </c>
      <c r="BJ56" s="203" t="s">
        <v>5792</v>
      </c>
      <c r="BK56" s="203" t="s">
        <v>5792</v>
      </c>
      <c r="BL56" s="203" t="s">
        <v>5792</v>
      </c>
      <c r="BM56" s="203" t="s">
        <v>5792</v>
      </c>
      <c r="BN56" s="203" t="s">
        <v>5792</v>
      </c>
      <c r="BO56" s="203" t="s">
        <v>5792</v>
      </c>
      <c r="BP56" s="202" t="s">
        <v>5792</v>
      </c>
      <c r="BQ56" s="203" t="s">
        <v>5792</v>
      </c>
      <c r="BR56" s="203" t="s">
        <v>5792</v>
      </c>
      <c r="BS56" s="203" t="s">
        <v>5792</v>
      </c>
      <c r="BT56" s="203" t="s">
        <v>5792</v>
      </c>
      <c r="BU56" s="203" t="s">
        <v>5792</v>
      </c>
      <c r="BV56" s="218" t="s">
        <v>5792</v>
      </c>
      <c r="BW56" s="203" t="s">
        <v>5792</v>
      </c>
      <c r="BX56" s="203" t="s">
        <v>5792</v>
      </c>
      <c r="BY56" s="203" t="s">
        <v>5792</v>
      </c>
      <c r="BZ56" s="203" t="s">
        <v>5792</v>
      </c>
      <c r="CA56" s="203" t="s">
        <v>5792</v>
      </c>
      <c r="CB56" s="218" t="s">
        <v>5792</v>
      </c>
      <c r="CC56" s="32" t="s">
        <v>4449</v>
      </c>
      <c r="CD56" s="47">
        <v>235</v>
      </c>
      <c r="CE56" s="32">
        <v>300</v>
      </c>
      <c r="CF56" s="47">
        <v>360</v>
      </c>
      <c r="CG56" s="32">
        <v>450</v>
      </c>
      <c r="CH56" s="67">
        <v>200000</v>
      </c>
      <c r="CI56" s="107" t="s">
        <v>4449</v>
      </c>
      <c r="CJ56" s="47">
        <v>235</v>
      </c>
      <c r="CK56" s="32">
        <v>300</v>
      </c>
      <c r="CL56" s="60">
        <v>360</v>
      </c>
      <c r="CM56" s="32">
        <v>450</v>
      </c>
      <c r="CN56" s="67">
        <v>200000</v>
      </c>
      <c r="CO56" s="32" t="s">
        <v>4449</v>
      </c>
      <c r="CP56" s="47">
        <v>235</v>
      </c>
      <c r="CQ56" s="163">
        <v>294</v>
      </c>
      <c r="CR56" s="60">
        <v>360</v>
      </c>
      <c r="CS56" s="32">
        <v>450</v>
      </c>
      <c r="CT56" s="61">
        <v>200000</v>
      </c>
      <c r="CU56" s="207" t="s">
        <v>5792</v>
      </c>
      <c r="CV56" s="208" t="s">
        <v>5792</v>
      </c>
      <c r="CW56" s="208" t="s">
        <v>5792</v>
      </c>
      <c r="CX56" s="209" t="s">
        <v>5792</v>
      </c>
      <c r="CY56" s="207" t="s">
        <v>5792</v>
      </c>
      <c r="CZ56" s="208" t="s">
        <v>5792</v>
      </c>
      <c r="DA56" s="209" t="s">
        <v>5792</v>
      </c>
      <c r="DB56" s="283" t="s">
        <v>5792</v>
      </c>
      <c r="DC56" s="163">
        <v>8.8000000000000007</v>
      </c>
      <c r="DD56" s="163">
        <v>640</v>
      </c>
      <c r="DE56" s="32">
        <v>730</v>
      </c>
      <c r="DF56" s="163">
        <v>800</v>
      </c>
      <c r="DG56" s="32">
        <v>940</v>
      </c>
      <c r="DH56" s="61">
        <v>200000</v>
      </c>
      <c r="DI56" s="29" t="s">
        <v>4573</v>
      </c>
      <c r="DJ56" s="163" t="s">
        <v>6055</v>
      </c>
      <c r="DK56" s="297" t="s">
        <v>4566</v>
      </c>
    </row>
    <row r="57" spans="1:115">
      <c r="A57" s="18">
        <v>52</v>
      </c>
      <c r="B57" s="326"/>
      <c r="C57" s="326"/>
      <c r="D57" s="346"/>
      <c r="E57" s="334"/>
      <c r="F57" s="326"/>
      <c r="G57" s="329"/>
      <c r="H57" s="329"/>
      <c r="I57" s="329"/>
      <c r="J57" s="41" t="s">
        <v>4414</v>
      </c>
      <c r="K57" s="306" t="s">
        <v>4383</v>
      </c>
      <c r="L57" s="163" t="s">
        <v>5792</v>
      </c>
      <c r="M57" s="306" t="s">
        <v>4509</v>
      </c>
      <c r="N57" s="163" t="s">
        <v>4703</v>
      </c>
      <c r="O57" s="18" t="s">
        <v>4507</v>
      </c>
      <c r="P57" s="163" t="s">
        <v>4420</v>
      </c>
      <c r="Q57" s="163" t="s">
        <v>4420</v>
      </c>
      <c r="R57" s="163" t="s">
        <v>4420</v>
      </c>
      <c r="S57" s="163" t="s">
        <v>5792</v>
      </c>
      <c r="T57" s="163" t="s">
        <v>4420</v>
      </c>
      <c r="U57" s="163" t="s">
        <v>5792</v>
      </c>
      <c r="V57" s="163" t="s">
        <v>4559</v>
      </c>
      <c r="W57" s="18">
        <v>10</v>
      </c>
      <c r="X57" s="231">
        <v>0</v>
      </c>
      <c r="Y57" s="142">
        <v>0</v>
      </c>
      <c r="Z57" s="306" t="s">
        <v>4021</v>
      </c>
      <c r="AA57" s="21">
        <f>INDEX('[2]Cross-Section Database'!$C$2:$V$2928,MATCH(Z57,'[2]Cross-Section Database'!$B$2:$B$2928,0),3)</f>
        <v>478</v>
      </c>
      <c r="AB57" s="21">
        <f>INDEX('[2]Cross-Section Database'!$C$2:$V$2928,MATCH(Z57,'[2]Cross-Section Database'!$B$2:$B$2928,0),4)</f>
        <v>307</v>
      </c>
      <c r="AC57" s="21">
        <f>INDEX('[2]Cross-Section Database'!$C$2:$V$2928,MATCH(Z57,'[2]Cross-Section Database'!$B$2:$B$2928,0),6)</f>
        <v>40</v>
      </c>
      <c r="AD57" s="21">
        <f>INDEX('[2]Cross-Section Database'!$C$2:$V$2928,MATCH(Z57,'[2]Cross-Section Database'!$B$2:$B$2928,0),5)</f>
        <v>21</v>
      </c>
      <c r="AE57" s="228">
        <v>1300</v>
      </c>
      <c r="AF57" s="306" t="s">
        <v>3997</v>
      </c>
      <c r="AG57" s="21">
        <f>INDEX('[2]Cross-Section Database'!$C$2:$V$2928,MATCH(AF57,'[2]Cross-Section Database'!$B$2:$B$2928,0),3)</f>
        <v>290</v>
      </c>
      <c r="AH57" s="21">
        <f>INDEX('[2]Cross-Section Database'!$C$2:$V$2928,MATCH(AF57,'[2]Cross-Section Database'!$B$2:$B$2928,0),4)</f>
        <v>300</v>
      </c>
      <c r="AI57" s="21">
        <f>INDEX('[2]Cross-Section Database'!$C$2:$V$2928,MATCH(AF57,'[2]Cross-Section Database'!$B$2:$B$2928,0),6)</f>
        <v>14</v>
      </c>
      <c r="AJ57" s="21">
        <f>INDEX('[2]Cross-Section Database'!$C$2:$V$2928,MATCH(AF57,'[2]Cross-Section Database'!$B$2:$B$2928,0),5)</f>
        <v>8.5</v>
      </c>
      <c r="AK57" s="255">
        <v>1100</v>
      </c>
      <c r="AL57" s="21">
        <f>INDEX('[2]Cross-Section Database'!$C$2:$V$3928,MATCH(AF57,'[2]Cross-Section Database'!$B$2:$B$3928,0),11)</f>
        <v>182600000</v>
      </c>
      <c r="AM57" s="24">
        <f>INDEX('[2]Cross-Section Database'!$C$2:$V$3928,MATCH(AF57,'[2]Cross-Section Database'!$B$2:$B$3928,0),12)</f>
        <v>1383000</v>
      </c>
      <c r="AN57" s="21">
        <v>16</v>
      </c>
      <c r="AO57" s="21">
        <v>230</v>
      </c>
      <c r="AP57" s="21">
        <v>290</v>
      </c>
      <c r="AQ57" s="21">
        <f t="shared" si="16"/>
        <v>0</v>
      </c>
      <c r="AR57" s="21">
        <v>0</v>
      </c>
      <c r="AS57" s="306" t="s">
        <v>5807</v>
      </c>
      <c r="AT57" s="163" t="s">
        <v>6134</v>
      </c>
      <c r="AU57" s="163">
        <v>36</v>
      </c>
      <c r="AV57" s="163">
        <v>24</v>
      </c>
      <c r="AW57" s="163">
        <f t="shared" si="11"/>
        <v>353</v>
      </c>
      <c r="AX57" s="21">
        <v>75</v>
      </c>
      <c r="AY57" s="21">
        <v>75</v>
      </c>
      <c r="AZ57" s="21">
        <v>0</v>
      </c>
      <c r="BA57" s="21">
        <v>120</v>
      </c>
      <c r="BB57" s="21">
        <v>140</v>
      </c>
      <c r="BC57" s="15" t="s">
        <v>4470</v>
      </c>
      <c r="BD57" s="163" t="s">
        <v>6209</v>
      </c>
      <c r="BE57" s="163" t="s">
        <v>6209</v>
      </c>
      <c r="BF57" s="163">
        <v>2</v>
      </c>
      <c r="BG57" s="163">
        <v>4</v>
      </c>
      <c r="BH57" s="202" t="s">
        <v>5792</v>
      </c>
      <c r="BI57" s="203" t="s">
        <v>5792</v>
      </c>
      <c r="BJ57" s="203" t="s">
        <v>5792</v>
      </c>
      <c r="BK57" s="203" t="s">
        <v>5792</v>
      </c>
      <c r="BL57" s="203" t="s">
        <v>5792</v>
      </c>
      <c r="BM57" s="203" t="s">
        <v>5792</v>
      </c>
      <c r="BN57" s="203" t="s">
        <v>5792</v>
      </c>
      <c r="BO57" s="203" t="s">
        <v>5792</v>
      </c>
      <c r="BP57" s="202" t="s">
        <v>5792</v>
      </c>
      <c r="BQ57" s="203" t="s">
        <v>5792</v>
      </c>
      <c r="BR57" s="203" t="s">
        <v>5792</v>
      </c>
      <c r="BS57" s="203" t="s">
        <v>5792</v>
      </c>
      <c r="BT57" s="203" t="s">
        <v>5792</v>
      </c>
      <c r="BU57" s="203" t="s">
        <v>5792</v>
      </c>
      <c r="BV57" s="218" t="s">
        <v>5792</v>
      </c>
      <c r="BW57" s="203" t="s">
        <v>5792</v>
      </c>
      <c r="BX57" s="203" t="s">
        <v>5792</v>
      </c>
      <c r="BY57" s="203" t="s">
        <v>5792</v>
      </c>
      <c r="BZ57" s="203" t="s">
        <v>5792</v>
      </c>
      <c r="CA57" s="203" t="s">
        <v>5792</v>
      </c>
      <c r="CB57" s="218" t="s">
        <v>5792</v>
      </c>
      <c r="CC57" s="32" t="s">
        <v>4449</v>
      </c>
      <c r="CD57" s="47">
        <v>235</v>
      </c>
      <c r="CE57" s="32">
        <v>300</v>
      </c>
      <c r="CF57" s="47">
        <v>360</v>
      </c>
      <c r="CG57" s="32">
        <v>450</v>
      </c>
      <c r="CH57" s="67">
        <v>200000</v>
      </c>
      <c r="CI57" s="107" t="s">
        <v>4449</v>
      </c>
      <c r="CJ57" s="47">
        <v>235</v>
      </c>
      <c r="CK57" s="32">
        <v>300</v>
      </c>
      <c r="CL57" s="60">
        <v>360</v>
      </c>
      <c r="CM57" s="32">
        <v>450</v>
      </c>
      <c r="CN57" s="67">
        <v>200000</v>
      </c>
      <c r="CO57" s="32" t="s">
        <v>4449</v>
      </c>
      <c r="CP57" s="47">
        <v>235</v>
      </c>
      <c r="CQ57" s="163">
        <v>286</v>
      </c>
      <c r="CR57" s="60">
        <v>360</v>
      </c>
      <c r="CS57" s="32">
        <v>450</v>
      </c>
      <c r="CT57" s="61">
        <v>200000</v>
      </c>
      <c r="CU57" s="207" t="s">
        <v>5792</v>
      </c>
      <c r="CV57" s="208" t="s">
        <v>5792</v>
      </c>
      <c r="CW57" s="208" t="s">
        <v>5792</v>
      </c>
      <c r="CX57" s="209" t="s">
        <v>5792</v>
      </c>
      <c r="CY57" s="207" t="s">
        <v>5792</v>
      </c>
      <c r="CZ57" s="208" t="s">
        <v>5792</v>
      </c>
      <c r="DA57" s="209" t="s">
        <v>5792</v>
      </c>
      <c r="DB57" s="283" t="s">
        <v>5792</v>
      </c>
      <c r="DC57" s="163">
        <v>8.8000000000000007</v>
      </c>
      <c r="DD57" s="163">
        <v>640</v>
      </c>
      <c r="DE57" s="32">
        <v>730</v>
      </c>
      <c r="DF57" s="163">
        <v>800</v>
      </c>
      <c r="DG57" s="32">
        <v>940</v>
      </c>
      <c r="DH57" s="61">
        <v>200000</v>
      </c>
      <c r="DI57" s="29" t="s">
        <v>4573</v>
      </c>
      <c r="DJ57" s="163" t="s">
        <v>6055</v>
      </c>
      <c r="DK57" s="297" t="s">
        <v>4566</v>
      </c>
    </row>
    <row r="58" spans="1:115">
      <c r="A58" s="18">
        <v>53</v>
      </c>
      <c r="B58" s="326"/>
      <c r="C58" s="326"/>
      <c r="D58" s="346"/>
      <c r="E58" s="334"/>
      <c r="F58" s="326"/>
      <c r="G58" s="329"/>
      <c r="H58" s="329"/>
      <c r="I58" s="329"/>
      <c r="J58" s="41" t="s">
        <v>4415</v>
      </c>
      <c r="K58" s="306" t="s">
        <v>4383</v>
      </c>
      <c r="L58" s="163" t="s">
        <v>5792</v>
      </c>
      <c r="M58" s="306" t="s">
        <v>4509</v>
      </c>
      <c r="N58" s="163" t="s">
        <v>4703</v>
      </c>
      <c r="O58" s="18" t="s">
        <v>4507</v>
      </c>
      <c r="P58" s="163" t="s">
        <v>4420</v>
      </c>
      <c r="Q58" s="163" t="s">
        <v>4420</v>
      </c>
      <c r="R58" s="163" t="s">
        <v>4420</v>
      </c>
      <c r="S58" s="163" t="s">
        <v>5792</v>
      </c>
      <c r="T58" s="163" t="s">
        <v>4420</v>
      </c>
      <c r="U58" s="163" t="s">
        <v>5792</v>
      </c>
      <c r="V58" s="163" t="s">
        <v>4559</v>
      </c>
      <c r="W58" s="18">
        <v>10</v>
      </c>
      <c r="X58" s="231">
        <v>0</v>
      </c>
      <c r="Y58" s="142">
        <v>0</v>
      </c>
      <c r="Z58" s="306" t="s">
        <v>4021</v>
      </c>
      <c r="AA58" s="21">
        <f>INDEX('[2]Cross-Section Database'!$C$2:$V$2928,MATCH(Z58,'[2]Cross-Section Database'!$B$2:$B$2928,0),3)</f>
        <v>478</v>
      </c>
      <c r="AB58" s="21">
        <f>INDEX('[2]Cross-Section Database'!$C$2:$V$2928,MATCH(Z58,'[2]Cross-Section Database'!$B$2:$B$2928,0),4)</f>
        <v>307</v>
      </c>
      <c r="AC58" s="21">
        <f>INDEX('[2]Cross-Section Database'!$C$2:$V$2928,MATCH(Z58,'[2]Cross-Section Database'!$B$2:$B$2928,0),6)</f>
        <v>40</v>
      </c>
      <c r="AD58" s="21">
        <f>INDEX('[2]Cross-Section Database'!$C$2:$V$2928,MATCH(Z58,'[2]Cross-Section Database'!$B$2:$B$2928,0),5)</f>
        <v>21</v>
      </c>
      <c r="AE58" s="228">
        <v>1300</v>
      </c>
      <c r="AF58" s="306" t="s">
        <v>3997</v>
      </c>
      <c r="AG58" s="21">
        <f>INDEX('[2]Cross-Section Database'!$C$2:$V$2928,MATCH(AF58,'[2]Cross-Section Database'!$B$2:$B$2928,0),3)</f>
        <v>290</v>
      </c>
      <c r="AH58" s="21">
        <f>INDEX('[2]Cross-Section Database'!$C$2:$V$2928,MATCH(AF58,'[2]Cross-Section Database'!$B$2:$B$2928,0),4)</f>
        <v>300</v>
      </c>
      <c r="AI58" s="21">
        <f>INDEX('[2]Cross-Section Database'!$C$2:$V$2928,MATCH(AF58,'[2]Cross-Section Database'!$B$2:$B$2928,0),6)</f>
        <v>14</v>
      </c>
      <c r="AJ58" s="21">
        <f>INDEX('[2]Cross-Section Database'!$C$2:$V$2928,MATCH(AF58,'[2]Cross-Section Database'!$B$2:$B$2928,0),5)</f>
        <v>8.5</v>
      </c>
      <c r="AK58" s="255">
        <v>1100</v>
      </c>
      <c r="AL58" s="21">
        <f>INDEX('[2]Cross-Section Database'!$C$2:$V$3928,MATCH(AF58,'[2]Cross-Section Database'!$B$2:$B$3928,0),11)</f>
        <v>182600000</v>
      </c>
      <c r="AM58" s="24">
        <f>INDEX('[2]Cross-Section Database'!$C$2:$V$3928,MATCH(AF58,'[2]Cross-Section Database'!$B$2:$B$3928,0),12)</f>
        <v>1383000</v>
      </c>
      <c r="AN58" s="21">
        <v>12</v>
      </c>
      <c r="AO58" s="21">
        <v>230</v>
      </c>
      <c r="AP58" s="21">
        <v>290</v>
      </c>
      <c r="AQ58" s="21">
        <f t="shared" si="16"/>
        <v>0</v>
      </c>
      <c r="AR58" s="21">
        <v>0</v>
      </c>
      <c r="AS58" s="306" t="s">
        <v>5807</v>
      </c>
      <c r="AT58" s="163" t="s">
        <v>6134</v>
      </c>
      <c r="AU58" s="163">
        <v>72</v>
      </c>
      <c r="AV58" s="163">
        <v>24</v>
      </c>
      <c r="AW58" s="163">
        <f t="shared" si="11"/>
        <v>353</v>
      </c>
      <c r="AX58" s="21">
        <v>55</v>
      </c>
      <c r="AY58" s="21">
        <v>55</v>
      </c>
      <c r="AZ58" s="21">
        <v>0</v>
      </c>
      <c r="BA58" s="21">
        <v>120</v>
      </c>
      <c r="BB58" s="21">
        <v>180</v>
      </c>
      <c r="BC58" s="15" t="s">
        <v>4470</v>
      </c>
      <c r="BD58" s="163" t="s">
        <v>6209</v>
      </c>
      <c r="BE58" s="163" t="s">
        <v>6209</v>
      </c>
      <c r="BF58" s="163">
        <v>2</v>
      </c>
      <c r="BG58" s="163">
        <v>4</v>
      </c>
      <c r="BH58" s="202" t="s">
        <v>5792</v>
      </c>
      <c r="BI58" s="203" t="s">
        <v>5792</v>
      </c>
      <c r="BJ58" s="203" t="s">
        <v>5792</v>
      </c>
      <c r="BK58" s="203" t="s">
        <v>5792</v>
      </c>
      <c r="BL58" s="203" t="s">
        <v>5792</v>
      </c>
      <c r="BM58" s="203" t="s">
        <v>5792</v>
      </c>
      <c r="BN58" s="203" t="s">
        <v>5792</v>
      </c>
      <c r="BO58" s="203" t="s">
        <v>5792</v>
      </c>
      <c r="BP58" s="202" t="s">
        <v>5792</v>
      </c>
      <c r="BQ58" s="203" t="s">
        <v>5792</v>
      </c>
      <c r="BR58" s="203" t="s">
        <v>5792</v>
      </c>
      <c r="BS58" s="203" t="s">
        <v>5792</v>
      </c>
      <c r="BT58" s="203" t="s">
        <v>5792</v>
      </c>
      <c r="BU58" s="203" t="s">
        <v>5792</v>
      </c>
      <c r="BV58" s="218" t="s">
        <v>5792</v>
      </c>
      <c r="BW58" s="203" t="s">
        <v>5792</v>
      </c>
      <c r="BX58" s="203" t="s">
        <v>5792</v>
      </c>
      <c r="BY58" s="203" t="s">
        <v>5792</v>
      </c>
      <c r="BZ58" s="203" t="s">
        <v>5792</v>
      </c>
      <c r="CA58" s="203" t="s">
        <v>5792</v>
      </c>
      <c r="CB58" s="218" t="s">
        <v>5792</v>
      </c>
      <c r="CC58" s="32" t="s">
        <v>4449</v>
      </c>
      <c r="CD58" s="47">
        <v>235</v>
      </c>
      <c r="CE58" s="32">
        <v>300</v>
      </c>
      <c r="CF58" s="47">
        <v>360</v>
      </c>
      <c r="CG58" s="32">
        <v>450</v>
      </c>
      <c r="CH58" s="67">
        <v>200000</v>
      </c>
      <c r="CI58" s="107" t="s">
        <v>4449</v>
      </c>
      <c r="CJ58" s="47">
        <v>235</v>
      </c>
      <c r="CK58" s="32">
        <v>300</v>
      </c>
      <c r="CL58" s="60">
        <v>360</v>
      </c>
      <c r="CM58" s="32">
        <v>450</v>
      </c>
      <c r="CN58" s="67">
        <v>200000</v>
      </c>
      <c r="CO58" s="32" t="s">
        <v>4449</v>
      </c>
      <c r="CP58" s="47">
        <v>235</v>
      </c>
      <c r="CQ58" s="163">
        <v>294</v>
      </c>
      <c r="CR58" s="60">
        <v>360</v>
      </c>
      <c r="CS58" s="32">
        <v>450</v>
      </c>
      <c r="CT58" s="61">
        <v>200000</v>
      </c>
      <c r="CU58" s="207" t="s">
        <v>5792</v>
      </c>
      <c r="CV58" s="208" t="s">
        <v>5792</v>
      </c>
      <c r="CW58" s="208" t="s">
        <v>5792</v>
      </c>
      <c r="CX58" s="209" t="s">
        <v>5792</v>
      </c>
      <c r="CY58" s="207" t="s">
        <v>5792</v>
      </c>
      <c r="CZ58" s="208" t="s">
        <v>5792</v>
      </c>
      <c r="DA58" s="209" t="s">
        <v>5792</v>
      </c>
      <c r="DB58" s="283" t="s">
        <v>5792</v>
      </c>
      <c r="DC58" s="163">
        <v>8.8000000000000007</v>
      </c>
      <c r="DD58" s="163">
        <v>640</v>
      </c>
      <c r="DE58" s="32">
        <v>730</v>
      </c>
      <c r="DF58" s="163">
        <v>800</v>
      </c>
      <c r="DG58" s="32">
        <v>940</v>
      </c>
      <c r="DH58" s="61">
        <v>200000</v>
      </c>
      <c r="DI58" s="29" t="s">
        <v>4573</v>
      </c>
      <c r="DJ58" s="163" t="s">
        <v>6055</v>
      </c>
      <c r="DK58" s="297" t="s">
        <v>4566</v>
      </c>
    </row>
    <row r="59" spans="1:115">
      <c r="A59" s="18">
        <v>54</v>
      </c>
      <c r="B59" s="326"/>
      <c r="C59" s="326"/>
      <c r="D59" s="346"/>
      <c r="E59" s="334"/>
      <c r="F59" s="326"/>
      <c r="G59" s="329"/>
      <c r="H59" s="329"/>
      <c r="I59" s="329"/>
      <c r="J59" s="41" t="s">
        <v>4416</v>
      </c>
      <c r="K59" s="306" t="s">
        <v>4383</v>
      </c>
      <c r="L59" s="163" t="s">
        <v>5792</v>
      </c>
      <c r="M59" s="306" t="s">
        <v>4509</v>
      </c>
      <c r="N59" s="163" t="s">
        <v>4703</v>
      </c>
      <c r="O59" s="18" t="s">
        <v>4507</v>
      </c>
      <c r="P59" s="163" t="s">
        <v>4420</v>
      </c>
      <c r="Q59" s="163" t="s">
        <v>4420</v>
      </c>
      <c r="R59" s="163" t="s">
        <v>4420</v>
      </c>
      <c r="S59" s="163" t="s">
        <v>5792</v>
      </c>
      <c r="T59" s="163" t="s">
        <v>4420</v>
      </c>
      <c r="U59" s="163" t="s">
        <v>5792</v>
      </c>
      <c r="V59" s="163" t="s">
        <v>4559</v>
      </c>
      <c r="W59" s="18">
        <v>6</v>
      </c>
      <c r="X59" s="231">
        <v>0</v>
      </c>
      <c r="Y59" s="142">
        <v>0</v>
      </c>
      <c r="Z59" s="306" t="s">
        <v>4021</v>
      </c>
      <c r="AA59" s="21">
        <f>INDEX('[2]Cross-Section Database'!$C$2:$V$2928,MATCH(Z59,'[2]Cross-Section Database'!$B$2:$B$2928,0),3)</f>
        <v>478</v>
      </c>
      <c r="AB59" s="21">
        <f>INDEX('[2]Cross-Section Database'!$C$2:$V$2928,MATCH(Z59,'[2]Cross-Section Database'!$B$2:$B$2928,0),4)</f>
        <v>307</v>
      </c>
      <c r="AC59" s="21">
        <f>INDEX('[2]Cross-Section Database'!$C$2:$V$2928,MATCH(Z59,'[2]Cross-Section Database'!$B$2:$B$2928,0),6)</f>
        <v>40</v>
      </c>
      <c r="AD59" s="21">
        <f>INDEX('[2]Cross-Section Database'!$C$2:$V$2928,MATCH(Z59,'[2]Cross-Section Database'!$B$2:$B$2928,0),5)</f>
        <v>21</v>
      </c>
      <c r="AE59" s="228">
        <v>1300</v>
      </c>
      <c r="AF59" s="306" t="s">
        <v>3997</v>
      </c>
      <c r="AG59" s="21">
        <f>INDEX('[2]Cross-Section Database'!$C$2:$V$2928,MATCH(AF59,'[2]Cross-Section Database'!$B$2:$B$2928,0),3)</f>
        <v>290</v>
      </c>
      <c r="AH59" s="21">
        <f>INDEX('[2]Cross-Section Database'!$C$2:$V$2928,MATCH(AF59,'[2]Cross-Section Database'!$B$2:$B$2928,0),4)</f>
        <v>300</v>
      </c>
      <c r="AI59" s="21">
        <f>INDEX('[2]Cross-Section Database'!$C$2:$V$2928,MATCH(AF59,'[2]Cross-Section Database'!$B$2:$B$2928,0),6)</f>
        <v>14</v>
      </c>
      <c r="AJ59" s="21">
        <f>INDEX('[2]Cross-Section Database'!$C$2:$V$2928,MATCH(AF59,'[2]Cross-Section Database'!$B$2:$B$2928,0),5)</f>
        <v>8.5</v>
      </c>
      <c r="AK59" s="255">
        <v>1100</v>
      </c>
      <c r="AL59" s="21">
        <f>INDEX('[2]Cross-Section Database'!$C$2:$V$3928,MATCH(AF59,'[2]Cross-Section Database'!$B$2:$B$3928,0),11)</f>
        <v>182600000</v>
      </c>
      <c r="AM59" s="24">
        <f>INDEX('[2]Cross-Section Database'!$C$2:$V$3928,MATCH(AF59,'[2]Cross-Section Database'!$B$2:$B$3928,0),12)</f>
        <v>1383000</v>
      </c>
      <c r="AN59" s="21">
        <v>16</v>
      </c>
      <c r="AO59" s="21">
        <v>230</v>
      </c>
      <c r="AP59" s="21">
        <v>290</v>
      </c>
      <c r="AQ59" s="21">
        <f t="shared" si="16"/>
        <v>0</v>
      </c>
      <c r="AR59" s="21">
        <v>0</v>
      </c>
      <c r="AS59" s="306" t="s">
        <v>5807</v>
      </c>
      <c r="AT59" s="163" t="s">
        <v>6134</v>
      </c>
      <c r="AU59" s="163">
        <v>40</v>
      </c>
      <c r="AV59" s="163">
        <v>24</v>
      </c>
      <c r="AW59" s="163">
        <f t="shared" si="11"/>
        <v>353</v>
      </c>
      <c r="AX59" s="21">
        <v>55</v>
      </c>
      <c r="AY59" s="21">
        <v>55</v>
      </c>
      <c r="AZ59" s="21">
        <v>0</v>
      </c>
      <c r="BA59" s="21">
        <v>120</v>
      </c>
      <c r="BB59" s="21">
        <v>180</v>
      </c>
      <c r="BC59" s="15" t="s">
        <v>4470</v>
      </c>
      <c r="BD59" s="163" t="s">
        <v>6209</v>
      </c>
      <c r="BE59" s="163" t="s">
        <v>6209</v>
      </c>
      <c r="BF59" s="163">
        <v>2</v>
      </c>
      <c r="BG59" s="163">
        <v>4</v>
      </c>
      <c r="BH59" s="202" t="s">
        <v>5792</v>
      </c>
      <c r="BI59" s="203" t="s">
        <v>5792</v>
      </c>
      <c r="BJ59" s="203" t="s">
        <v>5792</v>
      </c>
      <c r="BK59" s="203" t="s">
        <v>5792</v>
      </c>
      <c r="BL59" s="203" t="s">
        <v>5792</v>
      </c>
      <c r="BM59" s="203" t="s">
        <v>5792</v>
      </c>
      <c r="BN59" s="203" t="s">
        <v>5792</v>
      </c>
      <c r="BO59" s="203" t="s">
        <v>5792</v>
      </c>
      <c r="BP59" s="202" t="s">
        <v>5792</v>
      </c>
      <c r="BQ59" s="203" t="s">
        <v>5792</v>
      </c>
      <c r="BR59" s="203" t="s">
        <v>5792</v>
      </c>
      <c r="BS59" s="203" t="s">
        <v>5792</v>
      </c>
      <c r="BT59" s="203" t="s">
        <v>5792</v>
      </c>
      <c r="BU59" s="203" t="s">
        <v>5792</v>
      </c>
      <c r="BV59" s="218" t="s">
        <v>5792</v>
      </c>
      <c r="BW59" s="203" t="s">
        <v>5792</v>
      </c>
      <c r="BX59" s="203" t="s">
        <v>5792</v>
      </c>
      <c r="BY59" s="203" t="s">
        <v>5792</v>
      </c>
      <c r="BZ59" s="203" t="s">
        <v>5792</v>
      </c>
      <c r="CA59" s="203" t="s">
        <v>5792</v>
      </c>
      <c r="CB59" s="218" t="s">
        <v>5792</v>
      </c>
      <c r="CC59" s="32" t="s">
        <v>4449</v>
      </c>
      <c r="CD59" s="47">
        <v>235</v>
      </c>
      <c r="CE59" s="32">
        <v>300</v>
      </c>
      <c r="CF59" s="47">
        <v>360</v>
      </c>
      <c r="CG59" s="32">
        <v>450</v>
      </c>
      <c r="CH59" s="67">
        <v>200000</v>
      </c>
      <c r="CI59" s="107" t="s">
        <v>4449</v>
      </c>
      <c r="CJ59" s="47">
        <v>235</v>
      </c>
      <c r="CK59" s="32">
        <v>300</v>
      </c>
      <c r="CL59" s="60">
        <v>360</v>
      </c>
      <c r="CM59" s="32">
        <v>450</v>
      </c>
      <c r="CN59" s="67">
        <v>200000</v>
      </c>
      <c r="CO59" s="32" t="s">
        <v>4449</v>
      </c>
      <c r="CP59" s="47">
        <v>235</v>
      </c>
      <c r="CQ59" s="163">
        <v>286</v>
      </c>
      <c r="CR59" s="60">
        <v>360</v>
      </c>
      <c r="CS59" s="32">
        <v>450</v>
      </c>
      <c r="CT59" s="61">
        <v>200000</v>
      </c>
      <c r="CU59" s="207" t="s">
        <v>5792</v>
      </c>
      <c r="CV59" s="208" t="s">
        <v>5792</v>
      </c>
      <c r="CW59" s="208" t="s">
        <v>5792</v>
      </c>
      <c r="CX59" s="209" t="s">
        <v>5792</v>
      </c>
      <c r="CY59" s="207" t="s">
        <v>5792</v>
      </c>
      <c r="CZ59" s="208" t="s">
        <v>5792</v>
      </c>
      <c r="DA59" s="209" t="s">
        <v>5792</v>
      </c>
      <c r="DB59" s="283" t="s">
        <v>5792</v>
      </c>
      <c r="DC59" s="163">
        <v>8.8000000000000007</v>
      </c>
      <c r="DD59" s="163">
        <v>640</v>
      </c>
      <c r="DE59" s="32">
        <v>730</v>
      </c>
      <c r="DF59" s="163">
        <v>800</v>
      </c>
      <c r="DG59" s="32">
        <v>940</v>
      </c>
      <c r="DH59" s="61">
        <v>200000</v>
      </c>
      <c r="DI59" s="29" t="s">
        <v>4573</v>
      </c>
      <c r="DJ59" s="163" t="s">
        <v>6055</v>
      </c>
      <c r="DK59" s="297" t="s">
        <v>4566</v>
      </c>
    </row>
    <row r="60" spans="1:115">
      <c r="A60" s="18">
        <v>55</v>
      </c>
      <c r="B60" s="326"/>
      <c r="C60" s="326"/>
      <c r="D60" s="346"/>
      <c r="E60" s="334"/>
      <c r="F60" s="326"/>
      <c r="G60" s="329"/>
      <c r="H60" s="329"/>
      <c r="I60" s="329"/>
      <c r="J60" s="41" t="s">
        <v>4417</v>
      </c>
      <c r="K60" s="306" t="s">
        <v>4383</v>
      </c>
      <c r="L60" s="163" t="s">
        <v>5792</v>
      </c>
      <c r="M60" s="306" t="s">
        <v>4509</v>
      </c>
      <c r="N60" s="163" t="s">
        <v>4703</v>
      </c>
      <c r="O60" s="18" t="s">
        <v>4507</v>
      </c>
      <c r="P60" s="163" t="s">
        <v>4420</v>
      </c>
      <c r="Q60" s="163" t="s">
        <v>4420</v>
      </c>
      <c r="R60" s="163" t="s">
        <v>4420</v>
      </c>
      <c r="S60" s="163" t="s">
        <v>5792</v>
      </c>
      <c r="T60" s="163" t="s">
        <v>4420</v>
      </c>
      <c r="U60" s="163" t="s">
        <v>5792</v>
      </c>
      <c r="V60" s="163" t="s">
        <v>4559</v>
      </c>
      <c r="W60" s="18">
        <v>6</v>
      </c>
      <c r="X60" s="231">
        <v>0</v>
      </c>
      <c r="Y60" s="142">
        <v>0</v>
      </c>
      <c r="Z60" s="306" t="s">
        <v>4021</v>
      </c>
      <c r="AA60" s="21">
        <f>INDEX('[2]Cross-Section Database'!$C$2:$V$2928,MATCH(Z60,'[2]Cross-Section Database'!$B$2:$B$2928,0),3)</f>
        <v>478</v>
      </c>
      <c r="AB60" s="21">
        <f>INDEX('[2]Cross-Section Database'!$C$2:$V$2928,MATCH(Z60,'[2]Cross-Section Database'!$B$2:$B$2928,0),4)</f>
        <v>307</v>
      </c>
      <c r="AC60" s="21">
        <f>INDEX('[2]Cross-Section Database'!$C$2:$V$2928,MATCH(Z60,'[2]Cross-Section Database'!$B$2:$B$2928,0),6)</f>
        <v>40</v>
      </c>
      <c r="AD60" s="21">
        <f>INDEX('[2]Cross-Section Database'!$C$2:$V$2928,MATCH(Z60,'[2]Cross-Section Database'!$B$2:$B$2928,0),5)</f>
        <v>21</v>
      </c>
      <c r="AE60" s="228">
        <v>1300</v>
      </c>
      <c r="AF60" s="306" t="s">
        <v>3997</v>
      </c>
      <c r="AG60" s="21">
        <f>INDEX('[2]Cross-Section Database'!$C$2:$V$2928,MATCH(AF60,'[2]Cross-Section Database'!$B$2:$B$2928,0),3)</f>
        <v>290</v>
      </c>
      <c r="AH60" s="21">
        <f>INDEX('[2]Cross-Section Database'!$C$2:$V$2928,MATCH(AF60,'[2]Cross-Section Database'!$B$2:$B$2928,0),4)</f>
        <v>300</v>
      </c>
      <c r="AI60" s="21">
        <f>INDEX('[2]Cross-Section Database'!$C$2:$V$2928,MATCH(AF60,'[2]Cross-Section Database'!$B$2:$B$2928,0),6)</f>
        <v>14</v>
      </c>
      <c r="AJ60" s="21">
        <f>INDEX('[2]Cross-Section Database'!$C$2:$V$2928,MATCH(AF60,'[2]Cross-Section Database'!$B$2:$B$2928,0),5)</f>
        <v>8.5</v>
      </c>
      <c r="AK60" s="255">
        <v>1100</v>
      </c>
      <c r="AL60" s="21">
        <f>INDEX('[2]Cross-Section Database'!$C$2:$V$3928,MATCH(AF60,'[2]Cross-Section Database'!$B$2:$B$3928,0),11)</f>
        <v>182600000</v>
      </c>
      <c r="AM60" s="24">
        <f>INDEX('[2]Cross-Section Database'!$C$2:$V$3928,MATCH(AF60,'[2]Cross-Section Database'!$B$2:$B$3928,0),12)</f>
        <v>1383000</v>
      </c>
      <c r="AN60" s="21">
        <v>12</v>
      </c>
      <c r="AO60" s="21">
        <v>230</v>
      </c>
      <c r="AP60" s="21">
        <v>290</v>
      </c>
      <c r="AQ60" s="21">
        <f t="shared" si="16"/>
        <v>0</v>
      </c>
      <c r="AR60" s="21">
        <v>0</v>
      </c>
      <c r="AS60" s="306" t="s">
        <v>5807</v>
      </c>
      <c r="AT60" s="163" t="s">
        <v>6134</v>
      </c>
      <c r="AU60" s="163">
        <v>48</v>
      </c>
      <c r="AV60" s="163">
        <v>24</v>
      </c>
      <c r="AW60" s="163">
        <f t="shared" si="11"/>
        <v>353</v>
      </c>
      <c r="AX60" s="21">
        <v>75</v>
      </c>
      <c r="AY60" s="21">
        <v>75</v>
      </c>
      <c r="AZ60" s="21">
        <v>0</v>
      </c>
      <c r="BA60" s="21">
        <v>120</v>
      </c>
      <c r="BB60" s="21">
        <v>140</v>
      </c>
      <c r="BC60" s="15" t="s">
        <v>4470</v>
      </c>
      <c r="BD60" s="163" t="s">
        <v>6209</v>
      </c>
      <c r="BE60" s="163" t="s">
        <v>6209</v>
      </c>
      <c r="BF60" s="163">
        <v>2</v>
      </c>
      <c r="BG60" s="163">
        <v>4</v>
      </c>
      <c r="BH60" s="202" t="s">
        <v>5792</v>
      </c>
      <c r="BI60" s="203" t="s">
        <v>5792</v>
      </c>
      <c r="BJ60" s="203" t="s">
        <v>5792</v>
      </c>
      <c r="BK60" s="203" t="s">
        <v>5792</v>
      </c>
      <c r="BL60" s="203" t="s">
        <v>5792</v>
      </c>
      <c r="BM60" s="203" t="s">
        <v>5792</v>
      </c>
      <c r="BN60" s="203" t="s">
        <v>5792</v>
      </c>
      <c r="BO60" s="203" t="s">
        <v>5792</v>
      </c>
      <c r="BP60" s="202" t="s">
        <v>5792</v>
      </c>
      <c r="BQ60" s="203" t="s">
        <v>5792</v>
      </c>
      <c r="BR60" s="203" t="s">
        <v>5792</v>
      </c>
      <c r="BS60" s="203" t="s">
        <v>5792</v>
      </c>
      <c r="BT60" s="203" t="s">
        <v>5792</v>
      </c>
      <c r="BU60" s="203" t="s">
        <v>5792</v>
      </c>
      <c r="BV60" s="218" t="s">
        <v>5792</v>
      </c>
      <c r="BW60" s="203" t="s">
        <v>5792</v>
      </c>
      <c r="BX60" s="203" t="s">
        <v>5792</v>
      </c>
      <c r="BY60" s="203" t="s">
        <v>5792</v>
      </c>
      <c r="BZ60" s="203" t="s">
        <v>5792</v>
      </c>
      <c r="CA60" s="203" t="s">
        <v>5792</v>
      </c>
      <c r="CB60" s="218" t="s">
        <v>5792</v>
      </c>
      <c r="CC60" s="32" t="s">
        <v>4449</v>
      </c>
      <c r="CD60" s="47">
        <v>235</v>
      </c>
      <c r="CE60" s="32">
        <v>300</v>
      </c>
      <c r="CF60" s="47">
        <v>360</v>
      </c>
      <c r="CG60" s="32">
        <v>450</v>
      </c>
      <c r="CH60" s="67">
        <v>200000</v>
      </c>
      <c r="CI60" s="107" t="s">
        <v>4449</v>
      </c>
      <c r="CJ60" s="47">
        <v>235</v>
      </c>
      <c r="CK60" s="32">
        <v>300</v>
      </c>
      <c r="CL60" s="60">
        <v>360</v>
      </c>
      <c r="CM60" s="32">
        <v>450</v>
      </c>
      <c r="CN60" s="67">
        <v>200000</v>
      </c>
      <c r="CO60" s="32" t="s">
        <v>4449</v>
      </c>
      <c r="CP60" s="47">
        <v>235</v>
      </c>
      <c r="CQ60" s="163">
        <v>294</v>
      </c>
      <c r="CR60" s="60">
        <v>360</v>
      </c>
      <c r="CS60" s="32">
        <v>450</v>
      </c>
      <c r="CT60" s="61">
        <v>200000</v>
      </c>
      <c r="CU60" s="207" t="s">
        <v>5792</v>
      </c>
      <c r="CV60" s="208" t="s">
        <v>5792</v>
      </c>
      <c r="CW60" s="208" t="s">
        <v>5792</v>
      </c>
      <c r="CX60" s="209" t="s">
        <v>5792</v>
      </c>
      <c r="CY60" s="207" t="s">
        <v>5792</v>
      </c>
      <c r="CZ60" s="208" t="s">
        <v>5792</v>
      </c>
      <c r="DA60" s="209" t="s">
        <v>5792</v>
      </c>
      <c r="DB60" s="283" t="s">
        <v>5792</v>
      </c>
      <c r="DC60" s="163">
        <v>8.8000000000000007</v>
      </c>
      <c r="DD60" s="163">
        <v>640</v>
      </c>
      <c r="DE60" s="32">
        <v>730</v>
      </c>
      <c r="DF60" s="163">
        <v>800</v>
      </c>
      <c r="DG60" s="32">
        <v>940</v>
      </c>
      <c r="DH60" s="61">
        <v>200000</v>
      </c>
      <c r="DI60" s="29" t="s">
        <v>4573</v>
      </c>
      <c r="DJ60" s="163" t="s">
        <v>6055</v>
      </c>
      <c r="DK60" s="297" t="s">
        <v>4566</v>
      </c>
    </row>
    <row r="61" spans="1:115">
      <c r="A61" s="18">
        <v>56</v>
      </c>
      <c r="B61" s="326"/>
      <c r="C61" s="326"/>
      <c r="D61" s="346"/>
      <c r="E61" s="334"/>
      <c r="F61" s="326"/>
      <c r="G61" s="329"/>
      <c r="H61" s="329"/>
      <c r="I61" s="329"/>
      <c r="J61" s="41" t="s">
        <v>4418</v>
      </c>
      <c r="K61" s="306" t="s">
        <v>4383</v>
      </c>
      <c r="L61" s="163" t="s">
        <v>5792</v>
      </c>
      <c r="M61" s="306" t="s">
        <v>4509</v>
      </c>
      <c r="N61" s="163" t="s">
        <v>4703</v>
      </c>
      <c r="O61" s="18" t="s">
        <v>4507</v>
      </c>
      <c r="P61" s="163" t="s">
        <v>4420</v>
      </c>
      <c r="Q61" s="163" t="s">
        <v>4420</v>
      </c>
      <c r="R61" s="163" t="s">
        <v>4420</v>
      </c>
      <c r="S61" s="163" t="s">
        <v>5792</v>
      </c>
      <c r="T61" s="163" t="s">
        <v>4420</v>
      </c>
      <c r="U61" s="163" t="s">
        <v>5792</v>
      </c>
      <c r="V61" s="163" t="s">
        <v>4559</v>
      </c>
      <c r="W61" s="18">
        <v>6</v>
      </c>
      <c r="X61" s="231">
        <v>0</v>
      </c>
      <c r="Y61" s="18">
        <v>0</v>
      </c>
      <c r="Z61" s="306" t="s">
        <v>4021</v>
      </c>
      <c r="AA61" s="21">
        <f>INDEX('[2]Cross-Section Database'!$C$2:$V$2928,MATCH(Z61,'[2]Cross-Section Database'!$B$2:$B$2928,0),3)</f>
        <v>478</v>
      </c>
      <c r="AB61" s="21">
        <f>INDEX('[2]Cross-Section Database'!$C$2:$V$2928,MATCH(Z61,'[2]Cross-Section Database'!$B$2:$B$2928,0),4)</f>
        <v>307</v>
      </c>
      <c r="AC61" s="21">
        <f>INDEX('[2]Cross-Section Database'!$C$2:$V$2928,MATCH(Z61,'[2]Cross-Section Database'!$B$2:$B$2928,0),6)</f>
        <v>40</v>
      </c>
      <c r="AD61" s="21">
        <f>INDEX('[2]Cross-Section Database'!$C$2:$V$2928,MATCH(Z61,'[2]Cross-Section Database'!$B$2:$B$2928,0),5)</f>
        <v>21</v>
      </c>
      <c r="AE61" s="228">
        <v>1300</v>
      </c>
      <c r="AF61" s="306" t="s">
        <v>3997</v>
      </c>
      <c r="AG61" s="21">
        <f>INDEX('[2]Cross-Section Database'!$C$2:$V$2928,MATCH(AF61,'[2]Cross-Section Database'!$B$2:$B$2928,0),3)</f>
        <v>290</v>
      </c>
      <c r="AH61" s="21">
        <f>INDEX('[2]Cross-Section Database'!$C$2:$V$2928,MATCH(AF61,'[2]Cross-Section Database'!$B$2:$B$2928,0),4)</f>
        <v>300</v>
      </c>
      <c r="AI61" s="21">
        <f>INDEX('[2]Cross-Section Database'!$C$2:$V$2928,MATCH(AF61,'[2]Cross-Section Database'!$B$2:$B$2928,0),6)</f>
        <v>14</v>
      </c>
      <c r="AJ61" s="21">
        <f>INDEX('[2]Cross-Section Database'!$C$2:$V$2928,MATCH(AF61,'[2]Cross-Section Database'!$B$2:$B$2928,0),5)</f>
        <v>8.5</v>
      </c>
      <c r="AK61" s="255">
        <v>1100</v>
      </c>
      <c r="AL61" s="21">
        <f>INDEX('[2]Cross-Section Database'!$C$2:$V$3928,MATCH(AF61,'[2]Cross-Section Database'!$B$2:$B$3928,0),11)</f>
        <v>182600000</v>
      </c>
      <c r="AM61" s="24">
        <f>INDEX('[2]Cross-Section Database'!$C$2:$V$3928,MATCH(AF61,'[2]Cross-Section Database'!$B$2:$B$3928,0),12)</f>
        <v>1383000</v>
      </c>
      <c r="AN61" s="21">
        <v>16</v>
      </c>
      <c r="AO61" s="21">
        <v>230</v>
      </c>
      <c r="AP61" s="21">
        <v>290</v>
      </c>
      <c r="AQ61" s="21">
        <f t="shared" si="16"/>
        <v>0</v>
      </c>
      <c r="AR61" s="21">
        <v>0</v>
      </c>
      <c r="AS61" s="306" t="s">
        <v>5807</v>
      </c>
      <c r="AT61" s="163" t="s">
        <v>6134</v>
      </c>
      <c r="AU61" s="163">
        <v>48</v>
      </c>
      <c r="AV61" s="163">
        <v>24</v>
      </c>
      <c r="AW61" s="163">
        <f t="shared" si="11"/>
        <v>353</v>
      </c>
      <c r="AX61" s="21">
        <v>75</v>
      </c>
      <c r="AY61" s="21">
        <v>75</v>
      </c>
      <c r="AZ61" s="21">
        <v>0</v>
      </c>
      <c r="BA61" s="21">
        <v>120</v>
      </c>
      <c r="BB61" s="21">
        <v>140</v>
      </c>
      <c r="BC61" s="15" t="s">
        <v>4470</v>
      </c>
      <c r="BD61" s="163" t="s">
        <v>6209</v>
      </c>
      <c r="BE61" s="163" t="s">
        <v>6209</v>
      </c>
      <c r="BF61" s="163">
        <v>2</v>
      </c>
      <c r="BG61" s="163">
        <v>4</v>
      </c>
      <c r="BH61" s="202" t="s">
        <v>5792</v>
      </c>
      <c r="BI61" s="203" t="s">
        <v>5792</v>
      </c>
      <c r="BJ61" s="203" t="s">
        <v>5792</v>
      </c>
      <c r="BK61" s="203" t="s">
        <v>5792</v>
      </c>
      <c r="BL61" s="203" t="s">
        <v>5792</v>
      </c>
      <c r="BM61" s="203" t="s">
        <v>5792</v>
      </c>
      <c r="BN61" s="203" t="s">
        <v>5792</v>
      </c>
      <c r="BO61" s="203" t="s">
        <v>5792</v>
      </c>
      <c r="BP61" s="202" t="s">
        <v>5792</v>
      </c>
      <c r="BQ61" s="203" t="s">
        <v>5792</v>
      </c>
      <c r="BR61" s="203" t="s">
        <v>5792</v>
      </c>
      <c r="BS61" s="203" t="s">
        <v>5792</v>
      </c>
      <c r="BT61" s="203" t="s">
        <v>5792</v>
      </c>
      <c r="BU61" s="203" t="s">
        <v>5792</v>
      </c>
      <c r="BV61" s="218" t="s">
        <v>5792</v>
      </c>
      <c r="BW61" s="203" t="s">
        <v>5792</v>
      </c>
      <c r="BX61" s="203" t="s">
        <v>5792</v>
      </c>
      <c r="BY61" s="203" t="s">
        <v>5792</v>
      </c>
      <c r="BZ61" s="203" t="s">
        <v>5792</v>
      </c>
      <c r="CA61" s="203" t="s">
        <v>5792</v>
      </c>
      <c r="CB61" s="218" t="s">
        <v>5792</v>
      </c>
      <c r="CC61" s="32" t="s">
        <v>4449</v>
      </c>
      <c r="CD61" s="47">
        <v>235</v>
      </c>
      <c r="CE61" s="32">
        <v>300</v>
      </c>
      <c r="CF61" s="47">
        <v>360</v>
      </c>
      <c r="CG61" s="32">
        <v>450</v>
      </c>
      <c r="CH61" s="67">
        <v>200000</v>
      </c>
      <c r="CI61" s="107" t="s">
        <v>4449</v>
      </c>
      <c r="CJ61" s="47">
        <v>235</v>
      </c>
      <c r="CK61" s="32">
        <v>300</v>
      </c>
      <c r="CL61" s="60">
        <v>360</v>
      </c>
      <c r="CM61" s="32">
        <v>450</v>
      </c>
      <c r="CN61" s="67">
        <v>200000</v>
      </c>
      <c r="CO61" s="32" t="s">
        <v>4449</v>
      </c>
      <c r="CP61" s="47">
        <v>235</v>
      </c>
      <c r="CQ61" s="163">
        <v>286</v>
      </c>
      <c r="CR61" s="60">
        <v>360</v>
      </c>
      <c r="CS61" s="32">
        <v>450</v>
      </c>
      <c r="CT61" s="61">
        <v>200000</v>
      </c>
      <c r="CU61" s="207" t="s">
        <v>5792</v>
      </c>
      <c r="CV61" s="208" t="s">
        <v>5792</v>
      </c>
      <c r="CW61" s="208" t="s">
        <v>5792</v>
      </c>
      <c r="CX61" s="209" t="s">
        <v>5792</v>
      </c>
      <c r="CY61" s="207" t="s">
        <v>5792</v>
      </c>
      <c r="CZ61" s="208" t="s">
        <v>5792</v>
      </c>
      <c r="DA61" s="209" t="s">
        <v>5792</v>
      </c>
      <c r="DB61" s="283" t="s">
        <v>5792</v>
      </c>
      <c r="DC61" s="163">
        <v>8.8000000000000007</v>
      </c>
      <c r="DD61" s="163">
        <v>640</v>
      </c>
      <c r="DE61" s="32">
        <v>730</v>
      </c>
      <c r="DF61" s="163">
        <v>800</v>
      </c>
      <c r="DG61" s="32">
        <v>940</v>
      </c>
      <c r="DH61" s="61">
        <v>200000</v>
      </c>
      <c r="DI61" s="29" t="s">
        <v>4573</v>
      </c>
      <c r="DJ61" s="163" t="s">
        <v>6055</v>
      </c>
      <c r="DK61" s="297" t="s">
        <v>4566</v>
      </c>
    </row>
    <row r="62" spans="1:115">
      <c r="A62" s="18">
        <v>57</v>
      </c>
      <c r="B62" s="326"/>
      <c r="C62" s="326"/>
      <c r="D62" s="346"/>
      <c r="E62" s="334"/>
      <c r="F62" s="326"/>
      <c r="G62" s="329"/>
      <c r="H62" s="329"/>
      <c r="I62" s="329"/>
      <c r="J62" s="41" t="s">
        <v>4419</v>
      </c>
      <c r="K62" s="306" t="s">
        <v>4383</v>
      </c>
      <c r="L62" s="163" t="s">
        <v>5792</v>
      </c>
      <c r="M62" s="306" t="s">
        <v>4509</v>
      </c>
      <c r="N62" s="163" t="s">
        <v>4703</v>
      </c>
      <c r="O62" s="18" t="s">
        <v>4507</v>
      </c>
      <c r="P62" s="163" t="s">
        <v>4420</v>
      </c>
      <c r="Q62" s="163" t="s">
        <v>4420</v>
      </c>
      <c r="R62" s="163" t="s">
        <v>4420</v>
      </c>
      <c r="S62" s="163" t="s">
        <v>5792</v>
      </c>
      <c r="T62" s="163" t="s">
        <v>4420</v>
      </c>
      <c r="U62" s="163" t="s">
        <v>5792</v>
      </c>
      <c r="V62" s="163" t="s">
        <v>4559</v>
      </c>
      <c r="W62" s="18">
        <v>6</v>
      </c>
      <c r="X62" s="231">
        <v>0</v>
      </c>
      <c r="Y62" s="18">
        <v>0</v>
      </c>
      <c r="Z62" s="306" t="s">
        <v>4021</v>
      </c>
      <c r="AA62" s="21">
        <f>INDEX('[2]Cross-Section Database'!$C$2:$V$2928,MATCH(Z62,'[2]Cross-Section Database'!$B$2:$B$2928,0),3)</f>
        <v>478</v>
      </c>
      <c r="AB62" s="21">
        <f>INDEX('[2]Cross-Section Database'!$C$2:$V$2928,MATCH(Z62,'[2]Cross-Section Database'!$B$2:$B$2928,0),4)</f>
        <v>307</v>
      </c>
      <c r="AC62" s="21">
        <f>INDEX('[2]Cross-Section Database'!$C$2:$V$2928,MATCH(Z62,'[2]Cross-Section Database'!$B$2:$B$2928,0),6)</f>
        <v>40</v>
      </c>
      <c r="AD62" s="21">
        <f>INDEX('[2]Cross-Section Database'!$C$2:$V$2928,MATCH(Z62,'[2]Cross-Section Database'!$B$2:$B$2928,0),5)</f>
        <v>21</v>
      </c>
      <c r="AE62" s="228">
        <v>1300</v>
      </c>
      <c r="AF62" s="306" t="s">
        <v>3997</v>
      </c>
      <c r="AG62" s="21">
        <f>INDEX('[2]Cross-Section Database'!$C$2:$V$2928,MATCH(AF62,'[2]Cross-Section Database'!$B$2:$B$2928,0),3)</f>
        <v>290</v>
      </c>
      <c r="AH62" s="21">
        <f>INDEX('[2]Cross-Section Database'!$C$2:$V$2928,MATCH(AF62,'[2]Cross-Section Database'!$B$2:$B$2928,0),4)</f>
        <v>300</v>
      </c>
      <c r="AI62" s="21">
        <f>INDEX('[2]Cross-Section Database'!$C$2:$V$2928,MATCH(AF62,'[2]Cross-Section Database'!$B$2:$B$2928,0),6)</f>
        <v>14</v>
      </c>
      <c r="AJ62" s="21">
        <f>INDEX('[2]Cross-Section Database'!$C$2:$V$2928,MATCH(AF62,'[2]Cross-Section Database'!$B$2:$B$2928,0),5)</f>
        <v>8.5</v>
      </c>
      <c r="AK62" s="255">
        <v>1100</v>
      </c>
      <c r="AL62" s="21">
        <f>INDEX('[2]Cross-Section Database'!$C$2:$V$3928,MATCH(AF62,'[2]Cross-Section Database'!$B$2:$B$3928,0),11)</f>
        <v>182600000</v>
      </c>
      <c r="AM62" s="24">
        <f>INDEX('[2]Cross-Section Database'!$C$2:$V$3928,MATCH(AF62,'[2]Cross-Section Database'!$B$2:$B$3928,0),12)</f>
        <v>1383000</v>
      </c>
      <c r="AN62" s="21">
        <v>12</v>
      </c>
      <c r="AO62" s="21">
        <v>230</v>
      </c>
      <c r="AP62" s="21">
        <v>290</v>
      </c>
      <c r="AQ62" s="21">
        <f t="shared" si="16"/>
        <v>0</v>
      </c>
      <c r="AR62" s="21">
        <v>0</v>
      </c>
      <c r="AS62" s="306" t="s">
        <v>5807</v>
      </c>
      <c r="AT62" s="163" t="s">
        <v>6134</v>
      </c>
      <c r="AU62" s="21">
        <v>48</v>
      </c>
      <c r="AV62" s="163">
        <v>24</v>
      </c>
      <c r="AW62" s="163">
        <f t="shared" si="11"/>
        <v>353</v>
      </c>
      <c r="AX62" s="21">
        <v>55</v>
      </c>
      <c r="AY62" s="21">
        <v>55</v>
      </c>
      <c r="AZ62" s="21">
        <v>180</v>
      </c>
      <c r="BA62" s="21">
        <v>120</v>
      </c>
      <c r="BB62" s="21">
        <v>125</v>
      </c>
      <c r="BC62" s="15" t="s">
        <v>4420</v>
      </c>
      <c r="BD62" s="163" t="s">
        <v>4465</v>
      </c>
      <c r="BE62" s="163" t="s">
        <v>6209</v>
      </c>
      <c r="BF62" s="163">
        <v>4</v>
      </c>
      <c r="BG62" s="163">
        <v>6</v>
      </c>
      <c r="BH62" s="202" t="s">
        <v>5792</v>
      </c>
      <c r="BI62" s="203" t="s">
        <v>5792</v>
      </c>
      <c r="BJ62" s="203" t="s">
        <v>5792</v>
      </c>
      <c r="BK62" s="203" t="s">
        <v>5792</v>
      </c>
      <c r="BL62" s="203" t="s">
        <v>5792</v>
      </c>
      <c r="BM62" s="203" t="s">
        <v>5792</v>
      </c>
      <c r="BN62" s="203" t="s">
        <v>5792</v>
      </c>
      <c r="BO62" s="203" t="s">
        <v>5792</v>
      </c>
      <c r="BP62" s="202" t="s">
        <v>5792</v>
      </c>
      <c r="BQ62" s="203" t="s">
        <v>5792</v>
      </c>
      <c r="BR62" s="203" t="s">
        <v>5792</v>
      </c>
      <c r="BS62" s="203" t="s">
        <v>5792</v>
      </c>
      <c r="BT62" s="203" t="s">
        <v>5792</v>
      </c>
      <c r="BU62" s="203" t="s">
        <v>5792</v>
      </c>
      <c r="BV62" s="218" t="s">
        <v>5792</v>
      </c>
      <c r="BW62" s="203" t="s">
        <v>5792</v>
      </c>
      <c r="BX62" s="203" t="s">
        <v>5792</v>
      </c>
      <c r="BY62" s="203" t="s">
        <v>5792</v>
      </c>
      <c r="BZ62" s="203" t="s">
        <v>5792</v>
      </c>
      <c r="CA62" s="203" t="s">
        <v>5792</v>
      </c>
      <c r="CB62" s="218" t="s">
        <v>5792</v>
      </c>
      <c r="CC62" s="32" t="s">
        <v>4449</v>
      </c>
      <c r="CD62" s="47">
        <v>235</v>
      </c>
      <c r="CE62" s="32">
        <v>300</v>
      </c>
      <c r="CF62" s="47">
        <v>360</v>
      </c>
      <c r="CG62" s="32">
        <v>450</v>
      </c>
      <c r="CH62" s="67">
        <v>200000</v>
      </c>
      <c r="CI62" s="107" t="s">
        <v>4449</v>
      </c>
      <c r="CJ62" s="47">
        <v>235</v>
      </c>
      <c r="CK62" s="32">
        <v>300</v>
      </c>
      <c r="CL62" s="60">
        <v>360</v>
      </c>
      <c r="CM62" s="32">
        <v>450</v>
      </c>
      <c r="CN62" s="67">
        <v>200000</v>
      </c>
      <c r="CO62" s="32" t="s">
        <v>4449</v>
      </c>
      <c r="CP62" s="47">
        <v>235</v>
      </c>
      <c r="CQ62" s="163">
        <v>294</v>
      </c>
      <c r="CR62" s="60">
        <v>360</v>
      </c>
      <c r="CS62" s="32">
        <v>450</v>
      </c>
      <c r="CT62" s="61">
        <v>200000</v>
      </c>
      <c r="CU62" s="207" t="s">
        <v>5792</v>
      </c>
      <c r="CV62" s="208" t="s">
        <v>5792</v>
      </c>
      <c r="CW62" s="208" t="s">
        <v>5792</v>
      </c>
      <c r="CX62" s="209" t="s">
        <v>5792</v>
      </c>
      <c r="CY62" s="207" t="s">
        <v>5792</v>
      </c>
      <c r="CZ62" s="208" t="s">
        <v>5792</v>
      </c>
      <c r="DA62" s="209" t="s">
        <v>5792</v>
      </c>
      <c r="DB62" s="283" t="s">
        <v>5792</v>
      </c>
      <c r="DC62" s="163">
        <v>8.8000000000000007</v>
      </c>
      <c r="DD62" s="163">
        <v>640</v>
      </c>
      <c r="DE62" s="32">
        <v>730</v>
      </c>
      <c r="DF62" s="163">
        <v>800</v>
      </c>
      <c r="DG62" s="32">
        <v>940</v>
      </c>
      <c r="DH62" s="61">
        <v>200000</v>
      </c>
      <c r="DI62" s="29" t="s">
        <v>4573</v>
      </c>
      <c r="DJ62" s="163" t="s">
        <v>6055</v>
      </c>
      <c r="DK62" s="297" t="s">
        <v>4566</v>
      </c>
    </row>
    <row r="63" spans="1:115">
      <c r="A63" s="18">
        <v>58</v>
      </c>
      <c r="B63" s="326"/>
      <c r="C63" s="326"/>
      <c r="D63" s="346"/>
      <c r="E63" s="334"/>
      <c r="F63" s="326"/>
      <c r="G63" s="329"/>
      <c r="H63" s="329"/>
      <c r="I63" s="329"/>
      <c r="J63" s="41" t="s">
        <v>4480</v>
      </c>
      <c r="K63" s="306" t="s">
        <v>4383</v>
      </c>
      <c r="L63" s="163" t="s">
        <v>5792</v>
      </c>
      <c r="M63" s="306" t="s">
        <v>4509</v>
      </c>
      <c r="N63" s="163" t="s">
        <v>4703</v>
      </c>
      <c r="O63" s="18" t="s">
        <v>4507</v>
      </c>
      <c r="P63" s="163" t="s">
        <v>4420</v>
      </c>
      <c r="Q63" s="163" t="s">
        <v>4420</v>
      </c>
      <c r="R63" s="163" t="s">
        <v>4420</v>
      </c>
      <c r="S63" s="163" t="s">
        <v>5792</v>
      </c>
      <c r="T63" s="163" t="s">
        <v>4420</v>
      </c>
      <c r="U63" s="163" t="s">
        <v>5792</v>
      </c>
      <c r="V63" s="163" t="s">
        <v>4559</v>
      </c>
      <c r="W63" s="18">
        <v>6</v>
      </c>
      <c r="X63" s="231">
        <v>0</v>
      </c>
      <c r="Y63" s="18">
        <v>0</v>
      </c>
      <c r="Z63" s="306" t="s">
        <v>4021</v>
      </c>
      <c r="AA63" s="21">
        <f>INDEX('[2]Cross-Section Database'!$C$2:$V$2928,MATCH(Z63,'[2]Cross-Section Database'!$B$2:$B$2928,0),3)</f>
        <v>478</v>
      </c>
      <c r="AB63" s="21">
        <f>INDEX('[2]Cross-Section Database'!$C$2:$V$2928,MATCH(Z63,'[2]Cross-Section Database'!$B$2:$B$2928,0),4)</f>
        <v>307</v>
      </c>
      <c r="AC63" s="21">
        <f>INDEX('[2]Cross-Section Database'!$C$2:$V$2928,MATCH(Z63,'[2]Cross-Section Database'!$B$2:$B$2928,0),6)</f>
        <v>40</v>
      </c>
      <c r="AD63" s="21">
        <f>INDEX('[2]Cross-Section Database'!$C$2:$V$2928,MATCH(Z63,'[2]Cross-Section Database'!$B$2:$B$2928,0),5)</f>
        <v>21</v>
      </c>
      <c r="AE63" s="228">
        <v>1300</v>
      </c>
      <c r="AF63" s="306" t="s">
        <v>3997</v>
      </c>
      <c r="AG63" s="21">
        <f>INDEX('[2]Cross-Section Database'!$C$2:$V$2928,MATCH(AF63,'[2]Cross-Section Database'!$B$2:$B$2928,0),3)</f>
        <v>290</v>
      </c>
      <c r="AH63" s="21">
        <f>INDEX('[2]Cross-Section Database'!$C$2:$V$2928,MATCH(AF63,'[2]Cross-Section Database'!$B$2:$B$2928,0),4)</f>
        <v>300</v>
      </c>
      <c r="AI63" s="21">
        <f>INDEX('[2]Cross-Section Database'!$C$2:$V$2928,MATCH(AF63,'[2]Cross-Section Database'!$B$2:$B$2928,0),6)</f>
        <v>14</v>
      </c>
      <c r="AJ63" s="21">
        <f>INDEX('[2]Cross-Section Database'!$C$2:$V$2928,MATCH(AF63,'[2]Cross-Section Database'!$B$2:$B$2928,0),5)</f>
        <v>8.5</v>
      </c>
      <c r="AK63" s="255">
        <v>1100</v>
      </c>
      <c r="AL63" s="21">
        <f>INDEX('[2]Cross-Section Database'!$C$2:$V$3928,MATCH(AF63,'[2]Cross-Section Database'!$B$2:$B$3928,0),11)</f>
        <v>182600000</v>
      </c>
      <c r="AM63" s="24">
        <f>INDEX('[2]Cross-Section Database'!$C$2:$V$3928,MATCH(AF63,'[2]Cross-Section Database'!$B$2:$B$3928,0),12)</f>
        <v>1383000</v>
      </c>
      <c r="AN63" s="21">
        <v>16</v>
      </c>
      <c r="AO63" s="21">
        <v>230</v>
      </c>
      <c r="AP63" s="21">
        <v>290</v>
      </c>
      <c r="AQ63" s="21">
        <f t="shared" si="16"/>
        <v>0</v>
      </c>
      <c r="AR63" s="21">
        <v>0</v>
      </c>
      <c r="AS63" s="306" t="s">
        <v>5807</v>
      </c>
      <c r="AT63" s="163" t="s">
        <v>6134</v>
      </c>
      <c r="AU63" s="21">
        <v>40</v>
      </c>
      <c r="AV63" s="163">
        <v>24</v>
      </c>
      <c r="AW63" s="163">
        <f t="shared" si="11"/>
        <v>353</v>
      </c>
      <c r="AX63" s="21">
        <v>55</v>
      </c>
      <c r="AY63" s="21">
        <v>55</v>
      </c>
      <c r="AZ63" s="21">
        <v>180</v>
      </c>
      <c r="BA63" s="21">
        <v>120</v>
      </c>
      <c r="BB63" s="21">
        <v>125</v>
      </c>
      <c r="BC63" s="15" t="s">
        <v>4420</v>
      </c>
      <c r="BD63" s="163" t="s">
        <v>4465</v>
      </c>
      <c r="BE63" s="163" t="s">
        <v>6209</v>
      </c>
      <c r="BF63" s="163">
        <v>4</v>
      </c>
      <c r="BG63" s="163">
        <v>6</v>
      </c>
      <c r="BH63" s="202" t="s">
        <v>5792</v>
      </c>
      <c r="BI63" s="203" t="s">
        <v>5792</v>
      </c>
      <c r="BJ63" s="203" t="s">
        <v>5792</v>
      </c>
      <c r="BK63" s="203" t="s">
        <v>5792</v>
      </c>
      <c r="BL63" s="203" t="s">
        <v>5792</v>
      </c>
      <c r="BM63" s="203" t="s">
        <v>5792</v>
      </c>
      <c r="BN63" s="203" t="s">
        <v>5792</v>
      </c>
      <c r="BO63" s="203" t="s">
        <v>5792</v>
      </c>
      <c r="BP63" s="202" t="s">
        <v>5792</v>
      </c>
      <c r="BQ63" s="203" t="s">
        <v>5792</v>
      </c>
      <c r="BR63" s="203" t="s">
        <v>5792</v>
      </c>
      <c r="BS63" s="203" t="s">
        <v>5792</v>
      </c>
      <c r="BT63" s="203" t="s">
        <v>5792</v>
      </c>
      <c r="BU63" s="203" t="s">
        <v>5792</v>
      </c>
      <c r="BV63" s="218" t="s">
        <v>5792</v>
      </c>
      <c r="BW63" s="203" t="s">
        <v>5792</v>
      </c>
      <c r="BX63" s="203" t="s">
        <v>5792</v>
      </c>
      <c r="BY63" s="203" t="s">
        <v>5792</v>
      </c>
      <c r="BZ63" s="203" t="s">
        <v>5792</v>
      </c>
      <c r="CA63" s="203" t="s">
        <v>5792</v>
      </c>
      <c r="CB63" s="218" t="s">
        <v>5792</v>
      </c>
      <c r="CC63" s="32" t="s">
        <v>4449</v>
      </c>
      <c r="CD63" s="47">
        <v>235</v>
      </c>
      <c r="CE63" s="32">
        <v>300</v>
      </c>
      <c r="CF63" s="47">
        <v>360</v>
      </c>
      <c r="CG63" s="32">
        <v>450</v>
      </c>
      <c r="CH63" s="67">
        <v>200000</v>
      </c>
      <c r="CI63" s="107" t="s">
        <v>4449</v>
      </c>
      <c r="CJ63" s="47">
        <v>235</v>
      </c>
      <c r="CK63" s="32">
        <v>300</v>
      </c>
      <c r="CL63" s="60">
        <v>360</v>
      </c>
      <c r="CM63" s="32">
        <v>450</v>
      </c>
      <c r="CN63" s="67">
        <v>200000</v>
      </c>
      <c r="CO63" s="32" t="s">
        <v>4449</v>
      </c>
      <c r="CP63" s="47">
        <v>235</v>
      </c>
      <c r="CQ63" s="163">
        <v>286</v>
      </c>
      <c r="CR63" s="60">
        <v>360</v>
      </c>
      <c r="CS63" s="32">
        <v>450</v>
      </c>
      <c r="CT63" s="61">
        <v>200000</v>
      </c>
      <c r="CU63" s="207" t="s">
        <v>5792</v>
      </c>
      <c r="CV63" s="208" t="s">
        <v>5792</v>
      </c>
      <c r="CW63" s="208" t="s">
        <v>5792</v>
      </c>
      <c r="CX63" s="209" t="s">
        <v>5792</v>
      </c>
      <c r="CY63" s="207" t="s">
        <v>5792</v>
      </c>
      <c r="CZ63" s="208" t="s">
        <v>5792</v>
      </c>
      <c r="DA63" s="209" t="s">
        <v>5792</v>
      </c>
      <c r="DB63" s="283" t="s">
        <v>5792</v>
      </c>
      <c r="DC63" s="163">
        <v>8.8000000000000007</v>
      </c>
      <c r="DD63" s="163">
        <v>640</v>
      </c>
      <c r="DE63" s="32">
        <v>730</v>
      </c>
      <c r="DF63" s="163">
        <v>800</v>
      </c>
      <c r="DG63" s="32">
        <v>940</v>
      </c>
      <c r="DH63" s="61">
        <v>200000</v>
      </c>
      <c r="DI63" s="29" t="s">
        <v>4573</v>
      </c>
      <c r="DJ63" s="163" t="s">
        <v>6055</v>
      </c>
      <c r="DK63" s="297" t="s">
        <v>4566</v>
      </c>
    </row>
    <row r="64" spans="1:115">
      <c r="A64" s="18">
        <v>59</v>
      </c>
      <c r="B64" s="326"/>
      <c r="C64" s="326"/>
      <c r="D64" s="346"/>
      <c r="E64" s="334"/>
      <c r="F64" s="326"/>
      <c r="G64" s="329"/>
      <c r="H64" s="329"/>
      <c r="I64" s="329"/>
      <c r="J64" s="41" t="s">
        <v>4481</v>
      </c>
      <c r="K64" s="306" t="s">
        <v>4383</v>
      </c>
      <c r="L64" s="163" t="s">
        <v>5792</v>
      </c>
      <c r="M64" s="306" t="s">
        <v>4509</v>
      </c>
      <c r="N64" s="163" t="s">
        <v>4703</v>
      </c>
      <c r="O64" s="18" t="s">
        <v>4507</v>
      </c>
      <c r="P64" s="163" t="s">
        <v>4420</v>
      </c>
      <c r="Q64" s="163" t="s">
        <v>4420</v>
      </c>
      <c r="R64" s="163" t="s">
        <v>4420</v>
      </c>
      <c r="S64" s="163" t="s">
        <v>5792</v>
      </c>
      <c r="T64" s="163" t="s">
        <v>4420</v>
      </c>
      <c r="U64" s="163" t="s">
        <v>5792</v>
      </c>
      <c r="V64" s="163" t="s">
        <v>4559</v>
      </c>
      <c r="W64" s="18">
        <v>6</v>
      </c>
      <c r="X64" s="231">
        <v>0</v>
      </c>
      <c r="Y64" s="18">
        <v>0</v>
      </c>
      <c r="Z64" s="306" t="s">
        <v>4021</v>
      </c>
      <c r="AA64" s="21">
        <f>INDEX('[2]Cross-Section Database'!$C$2:$V$2928,MATCH(Z64,'[2]Cross-Section Database'!$B$2:$B$2928,0),3)</f>
        <v>478</v>
      </c>
      <c r="AB64" s="21">
        <f>INDEX('[2]Cross-Section Database'!$C$2:$V$2928,MATCH(Z64,'[2]Cross-Section Database'!$B$2:$B$2928,0),4)</f>
        <v>307</v>
      </c>
      <c r="AC64" s="21">
        <f>INDEX('[2]Cross-Section Database'!$C$2:$V$2928,MATCH(Z64,'[2]Cross-Section Database'!$B$2:$B$2928,0),6)</f>
        <v>40</v>
      </c>
      <c r="AD64" s="21">
        <f>INDEX('[2]Cross-Section Database'!$C$2:$V$2928,MATCH(Z64,'[2]Cross-Section Database'!$B$2:$B$2928,0),5)</f>
        <v>21</v>
      </c>
      <c r="AE64" s="228">
        <v>1300</v>
      </c>
      <c r="AF64" s="306" t="s">
        <v>3997</v>
      </c>
      <c r="AG64" s="21">
        <f>INDEX('[2]Cross-Section Database'!$C$2:$V$2928,MATCH(AF64,'[2]Cross-Section Database'!$B$2:$B$2928,0),3)</f>
        <v>290</v>
      </c>
      <c r="AH64" s="21">
        <f>INDEX('[2]Cross-Section Database'!$C$2:$V$2928,MATCH(AF64,'[2]Cross-Section Database'!$B$2:$B$2928,0),4)</f>
        <v>300</v>
      </c>
      <c r="AI64" s="21">
        <f>INDEX('[2]Cross-Section Database'!$C$2:$V$2928,MATCH(AF64,'[2]Cross-Section Database'!$B$2:$B$2928,0),6)</f>
        <v>14</v>
      </c>
      <c r="AJ64" s="21">
        <f>INDEX('[2]Cross-Section Database'!$C$2:$V$2928,MATCH(AF64,'[2]Cross-Section Database'!$B$2:$B$2928,0),5)</f>
        <v>8.5</v>
      </c>
      <c r="AK64" s="255">
        <v>1100</v>
      </c>
      <c r="AL64" s="21">
        <f>INDEX('[2]Cross-Section Database'!$C$2:$V$3928,MATCH(AF64,'[2]Cross-Section Database'!$B$2:$B$3928,0),11)</f>
        <v>182600000</v>
      </c>
      <c r="AM64" s="24">
        <f>INDEX('[2]Cross-Section Database'!$C$2:$V$3928,MATCH(AF64,'[2]Cross-Section Database'!$B$2:$B$3928,0),12)</f>
        <v>1383000</v>
      </c>
      <c r="AN64" s="21">
        <v>12</v>
      </c>
      <c r="AO64" s="21">
        <v>230</v>
      </c>
      <c r="AP64" s="21">
        <v>290</v>
      </c>
      <c r="AQ64" s="21">
        <f t="shared" si="16"/>
        <v>0</v>
      </c>
      <c r="AR64" s="21">
        <v>0</v>
      </c>
      <c r="AS64" s="306" t="s">
        <v>5807</v>
      </c>
      <c r="AT64" s="163" t="s">
        <v>6134</v>
      </c>
      <c r="AU64" s="21">
        <v>42</v>
      </c>
      <c r="AV64" s="163">
        <v>24</v>
      </c>
      <c r="AW64" s="163">
        <f t="shared" si="11"/>
        <v>353</v>
      </c>
      <c r="AX64" s="21">
        <v>55</v>
      </c>
      <c r="AY64" s="21">
        <v>55</v>
      </c>
      <c r="AZ64" s="21">
        <v>0</v>
      </c>
      <c r="BA64" s="21">
        <v>120</v>
      </c>
      <c r="BB64" s="21">
        <v>125</v>
      </c>
      <c r="BC64" s="15" t="s">
        <v>4470</v>
      </c>
      <c r="BD64" s="163" t="s">
        <v>6211</v>
      </c>
      <c r="BE64" s="163" t="s">
        <v>6209</v>
      </c>
      <c r="BF64" s="163">
        <v>4</v>
      </c>
      <c r="BG64" s="163">
        <v>6</v>
      </c>
      <c r="BH64" s="202" t="s">
        <v>5792</v>
      </c>
      <c r="BI64" s="203" t="s">
        <v>5792</v>
      </c>
      <c r="BJ64" s="203" t="s">
        <v>5792</v>
      </c>
      <c r="BK64" s="203" t="s">
        <v>5792</v>
      </c>
      <c r="BL64" s="203" t="s">
        <v>5792</v>
      </c>
      <c r="BM64" s="203" t="s">
        <v>5792</v>
      </c>
      <c r="BN64" s="203" t="s">
        <v>5792</v>
      </c>
      <c r="BO64" s="203" t="s">
        <v>5792</v>
      </c>
      <c r="BP64" s="202" t="s">
        <v>5792</v>
      </c>
      <c r="BQ64" s="203" t="s">
        <v>5792</v>
      </c>
      <c r="BR64" s="203" t="s">
        <v>5792</v>
      </c>
      <c r="BS64" s="203" t="s">
        <v>5792</v>
      </c>
      <c r="BT64" s="203" t="s">
        <v>5792</v>
      </c>
      <c r="BU64" s="203" t="s">
        <v>5792</v>
      </c>
      <c r="BV64" s="218" t="s">
        <v>5792</v>
      </c>
      <c r="BW64" s="203" t="s">
        <v>5792</v>
      </c>
      <c r="BX64" s="203" t="s">
        <v>5792</v>
      </c>
      <c r="BY64" s="203" t="s">
        <v>5792</v>
      </c>
      <c r="BZ64" s="203" t="s">
        <v>5792</v>
      </c>
      <c r="CA64" s="203" t="s">
        <v>5792</v>
      </c>
      <c r="CB64" s="218" t="s">
        <v>5792</v>
      </c>
      <c r="CC64" s="32" t="s">
        <v>4449</v>
      </c>
      <c r="CD64" s="47">
        <v>235</v>
      </c>
      <c r="CE64" s="32">
        <v>300</v>
      </c>
      <c r="CF64" s="47">
        <v>360</v>
      </c>
      <c r="CG64" s="32">
        <v>450</v>
      </c>
      <c r="CH64" s="67">
        <v>200000</v>
      </c>
      <c r="CI64" s="107" t="s">
        <v>4449</v>
      </c>
      <c r="CJ64" s="47">
        <v>235</v>
      </c>
      <c r="CK64" s="32">
        <v>300</v>
      </c>
      <c r="CL64" s="60">
        <v>360</v>
      </c>
      <c r="CM64" s="32">
        <v>450</v>
      </c>
      <c r="CN64" s="67">
        <v>200000</v>
      </c>
      <c r="CO64" s="32" t="s">
        <v>4449</v>
      </c>
      <c r="CP64" s="47">
        <v>235</v>
      </c>
      <c r="CQ64" s="163">
        <v>294</v>
      </c>
      <c r="CR64" s="60">
        <v>360</v>
      </c>
      <c r="CS64" s="32">
        <v>450</v>
      </c>
      <c r="CT64" s="61">
        <v>200000</v>
      </c>
      <c r="CU64" s="207" t="s">
        <v>5792</v>
      </c>
      <c r="CV64" s="208" t="s">
        <v>5792</v>
      </c>
      <c r="CW64" s="208" t="s">
        <v>5792</v>
      </c>
      <c r="CX64" s="209" t="s">
        <v>5792</v>
      </c>
      <c r="CY64" s="207" t="s">
        <v>5792</v>
      </c>
      <c r="CZ64" s="208" t="s">
        <v>5792</v>
      </c>
      <c r="DA64" s="209" t="s">
        <v>5792</v>
      </c>
      <c r="DB64" s="283" t="s">
        <v>5792</v>
      </c>
      <c r="DC64" s="163">
        <v>8.8000000000000007</v>
      </c>
      <c r="DD64" s="163">
        <v>640</v>
      </c>
      <c r="DE64" s="32">
        <v>730</v>
      </c>
      <c r="DF64" s="163">
        <v>800</v>
      </c>
      <c r="DG64" s="32">
        <v>940</v>
      </c>
      <c r="DH64" s="61">
        <v>200000</v>
      </c>
      <c r="DI64" s="29" t="s">
        <v>4573</v>
      </c>
      <c r="DJ64" s="163" t="s">
        <v>6055</v>
      </c>
      <c r="DK64" s="297" t="s">
        <v>4566</v>
      </c>
    </row>
    <row r="65" spans="1:115">
      <c r="A65" s="18">
        <v>60</v>
      </c>
      <c r="B65" s="326"/>
      <c r="C65" s="326"/>
      <c r="D65" s="346"/>
      <c r="E65" s="334"/>
      <c r="F65" s="326"/>
      <c r="G65" s="329"/>
      <c r="H65" s="329"/>
      <c r="I65" s="329"/>
      <c r="J65" s="41" t="s">
        <v>4482</v>
      </c>
      <c r="K65" s="306" t="s">
        <v>4383</v>
      </c>
      <c r="L65" s="163" t="s">
        <v>5792</v>
      </c>
      <c r="M65" s="306" t="s">
        <v>4509</v>
      </c>
      <c r="N65" s="163" t="s">
        <v>4703</v>
      </c>
      <c r="O65" s="18" t="s">
        <v>4507</v>
      </c>
      <c r="P65" s="163" t="s">
        <v>4420</v>
      </c>
      <c r="Q65" s="163" t="s">
        <v>4420</v>
      </c>
      <c r="R65" s="163" t="s">
        <v>4420</v>
      </c>
      <c r="S65" s="163" t="s">
        <v>5792</v>
      </c>
      <c r="T65" s="163" t="s">
        <v>4420</v>
      </c>
      <c r="U65" s="163" t="s">
        <v>5792</v>
      </c>
      <c r="V65" s="163" t="s">
        <v>4559</v>
      </c>
      <c r="W65" s="18">
        <v>6</v>
      </c>
      <c r="X65" s="231">
        <v>0</v>
      </c>
      <c r="Y65" s="18">
        <v>0</v>
      </c>
      <c r="Z65" s="306" t="s">
        <v>4021</v>
      </c>
      <c r="AA65" s="21">
        <f>INDEX('[2]Cross-Section Database'!$C$2:$V$2928,MATCH(Z65,'[2]Cross-Section Database'!$B$2:$B$2928,0),3)</f>
        <v>478</v>
      </c>
      <c r="AB65" s="21">
        <f>INDEX('[2]Cross-Section Database'!$C$2:$V$2928,MATCH(Z65,'[2]Cross-Section Database'!$B$2:$B$2928,0),4)</f>
        <v>307</v>
      </c>
      <c r="AC65" s="21">
        <f>INDEX('[2]Cross-Section Database'!$C$2:$V$2928,MATCH(Z65,'[2]Cross-Section Database'!$B$2:$B$2928,0),6)</f>
        <v>40</v>
      </c>
      <c r="AD65" s="21">
        <f>INDEX('[2]Cross-Section Database'!$C$2:$V$2928,MATCH(Z65,'[2]Cross-Section Database'!$B$2:$B$2928,0),5)</f>
        <v>21</v>
      </c>
      <c r="AE65" s="228">
        <v>1300</v>
      </c>
      <c r="AF65" s="306" t="s">
        <v>3997</v>
      </c>
      <c r="AG65" s="21">
        <f>INDEX('[2]Cross-Section Database'!$C$2:$V$2928,MATCH(AF65,'[2]Cross-Section Database'!$B$2:$B$2928,0),3)</f>
        <v>290</v>
      </c>
      <c r="AH65" s="21">
        <f>INDEX('[2]Cross-Section Database'!$C$2:$V$2928,MATCH(AF65,'[2]Cross-Section Database'!$B$2:$B$2928,0),4)</f>
        <v>300</v>
      </c>
      <c r="AI65" s="21">
        <f>INDEX('[2]Cross-Section Database'!$C$2:$V$2928,MATCH(AF65,'[2]Cross-Section Database'!$B$2:$B$2928,0),6)</f>
        <v>14</v>
      </c>
      <c r="AJ65" s="21">
        <f>INDEX('[2]Cross-Section Database'!$C$2:$V$2928,MATCH(AF65,'[2]Cross-Section Database'!$B$2:$B$2928,0),5)</f>
        <v>8.5</v>
      </c>
      <c r="AK65" s="255">
        <v>1100</v>
      </c>
      <c r="AL65" s="21">
        <f>INDEX('[2]Cross-Section Database'!$C$2:$V$3928,MATCH(AF65,'[2]Cross-Section Database'!$B$2:$B$3928,0),11)</f>
        <v>182600000</v>
      </c>
      <c r="AM65" s="24">
        <f>INDEX('[2]Cross-Section Database'!$C$2:$V$3928,MATCH(AF65,'[2]Cross-Section Database'!$B$2:$B$3928,0),12)</f>
        <v>1383000</v>
      </c>
      <c r="AN65" s="21">
        <v>16</v>
      </c>
      <c r="AO65" s="21">
        <v>230</v>
      </c>
      <c r="AP65" s="21">
        <v>290</v>
      </c>
      <c r="AQ65" s="21">
        <f t="shared" si="16"/>
        <v>0</v>
      </c>
      <c r="AR65" s="21">
        <v>0</v>
      </c>
      <c r="AS65" s="306" t="s">
        <v>5807</v>
      </c>
      <c r="AT65" s="163" t="s">
        <v>6134</v>
      </c>
      <c r="AU65" s="21">
        <v>39.5</v>
      </c>
      <c r="AV65" s="163">
        <v>24</v>
      </c>
      <c r="AW65" s="163">
        <f t="shared" si="11"/>
        <v>353</v>
      </c>
      <c r="AX65" s="21">
        <v>55</v>
      </c>
      <c r="AY65" s="21">
        <v>55</v>
      </c>
      <c r="AZ65" s="21">
        <v>0</v>
      </c>
      <c r="BA65" s="21">
        <v>120</v>
      </c>
      <c r="BB65" s="21">
        <v>180</v>
      </c>
      <c r="BC65" s="15" t="s">
        <v>4470</v>
      </c>
      <c r="BD65" s="163" t="s">
        <v>6211</v>
      </c>
      <c r="BE65" s="163" t="s">
        <v>6209</v>
      </c>
      <c r="BF65" s="163">
        <v>4</v>
      </c>
      <c r="BG65" s="163">
        <v>6</v>
      </c>
      <c r="BH65" s="202" t="s">
        <v>5792</v>
      </c>
      <c r="BI65" s="203" t="s">
        <v>5792</v>
      </c>
      <c r="BJ65" s="203" t="s">
        <v>5792</v>
      </c>
      <c r="BK65" s="203" t="s">
        <v>5792</v>
      </c>
      <c r="BL65" s="203" t="s">
        <v>5792</v>
      </c>
      <c r="BM65" s="203" t="s">
        <v>5792</v>
      </c>
      <c r="BN65" s="203" t="s">
        <v>5792</v>
      </c>
      <c r="BO65" s="203" t="s">
        <v>5792</v>
      </c>
      <c r="BP65" s="202" t="s">
        <v>5792</v>
      </c>
      <c r="BQ65" s="203" t="s">
        <v>5792</v>
      </c>
      <c r="BR65" s="203" t="s">
        <v>5792</v>
      </c>
      <c r="BS65" s="203" t="s">
        <v>5792</v>
      </c>
      <c r="BT65" s="203" t="s">
        <v>5792</v>
      </c>
      <c r="BU65" s="203" t="s">
        <v>5792</v>
      </c>
      <c r="BV65" s="218" t="s">
        <v>5792</v>
      </c>
      <c r="BW65" s="203" t="s">
        <v>5792</v>
      </c>
      <c r="BX65" s="203" t="s">
        <v>5792</v>
      </c>
      <c r="BY65" s="203" t="s">
        <v>5792</v>
      </c>
      <c r="BZ65" s="203" t="s">
        <v>5792</v>
      </c>
      <c r="CA65" s="203" t="s">
        <v>5792</v>
      </c>
      <c r="CB65" s="218" t="s">
        <v>5792</v>
      </c>
      <c r="CC65" s="32" t="s">
        <v>4449</v>
      </c>
      <c r="CD65" s="47">
        <v>235</v>
      </c>
      <c r="CE65" s="32">
        <v>300</v>
      </c>
      <c r="CF65" s="47">
        <v>360</v>
      </c>
      <c r="CG65" s="32">
        <v>450</v>
      </c>
      <c r="CH65" s="67">
        <v>200000</v>
      </c>
      <c r="CI65" s="107" t="s">
        <v>4449</v>
      </c>
      <c r="CJ65" s="47">
        <v>235</v>
      </c>
      <c r="CK65" s="32">
        <v>300</v>
      </c>
      <c r="CL65" s="60">
        <v>360</v>
      </c>
      <c r="CM65" s="32">
        <v>450</v>
      </c>
      <c r="CN65" s="67">
        <v>200000</v>
      </c>
      <c r="CO65" s="32" t="s">
        <v>4449</v>
      </c>
      <c r="CP65" s="47">
        <v>235</v>
      </c>
      <c r="CQ65" s="163">
        <v>286</v>
      </c>
      <c r="CR65" s="60">
        <v>360</v>
      </c>
      <c r="CS65" s="32">
        <v>450</v>
      </c>
      <c r="CT65" s="61">
        <v>200000</v>
      </c>
      <c r="CU65" s="207" t="s">
        <v>5792</v>
      </c>
      <c r="CV65" s="208" t="s">
        <v>5792</v>
      </c>
      <c r="CW65" s="208" t="s">
        <v>5792</v>
      </c>
      <c r="CX65" s="209" t="s">
        <v>5792</v>
      </c>
      <c r="CY65" s="207" t="s">
        <v>5792</v>
      </c>
      <c r="CZ65" s="208" t="s">
        <v>5792</v>
      </c>
      <c r="DA65" s="209" t="s">
        <v>5792</v>
      </c>
      <c r="DB65" s="283" t="s">
        <v>5792</v>
      </c>
      <c r="DC65" s="163">
        <v>8.8000000000000007</v>
      </c>
      <c r="DD65" s="163">
        <v>640</v>
      </c>
      <c r="DE65" s="32">
        <v>730</v>
      </c>
      <c r="DF65" s="163">
        <v>800</v>
      </c>
      <c r="DG65" s="32">
        <v>940</v>
      </c>
      <c r="DH65" s="61">
        <v>200000</v>
      </c>
      <c r="DI65" s="29" t="s">
        <v>4573</v>
      </c>
      <c r="DJ65" s="163" t="s">
        <v>6055</v>
      </c>
      <c r="DK65" s="297" t="s">
        <v>4566</v>
      </c>
    </row>
    <row r="66" spans="1:115">
      <c r="A66" s="18">
        <v>61</v>
      </c>
      <c r="B66" s="326"/>
      <c r="C66" s="326"/>
      <c r="D66" s="346"/>
      <c r="E66" s="334"/>
      <c r="F66" s="326"/>
      <c r="G66" s="329"/>
      <c r="H66" s="329"/>
      <c r="I66" s="329"/>
      <c r="J66" s="41" t="s">
        <v>4483</v>
      </c>
      <c r="K66" s="306" t="s">
        <v>4383</v>
      </c>
      <c r="L66" s="163" t="s">
        <v>5792</v>
      </c>
      <c r="M66" s="306" t="s">
        <v>4509</v>
      </c>
      <c r="N66" s="163" t="s">
        <v>4703</v>
      </c>
      <c r="O66" s="18" t="s">
        <v>4507</v>
      </c>
      <c r="P66" s="163" t="s">
        <v>4420</v>
      </c>
      <c r="Q66" s="163" t="s">
        <v>4420</v>
      </c>
      <c r="R66" s="163" t="s">
        <v>4420</v>
      </c>
      <c r="S66" s="163" t="s">
        <v>5792</v>
      </c>
      <c r="T66" s="163" t="s">
        <v>4420</v>
      </c>
      <c r="U66" s="163" t="s">
        <v>5792</v>
      </c>
      <c r="V66" s="163" t="s">
        <v>4559</v>
      </c>
      <c r="W66" s="18">
        <v>6</v>
      </c>
      <c r="X66" s="231">
        <v>0</v>
      </c>
      <c r="Y66" s="18">
        <v>0</v>
      </c>
      <c r="Z66" s="306" t="s">
        <v>4021</v>
      </c>
      <c r="AA66" s="21">
        <f>INDEX('[2]Cross-Section Database'!$C$2:$V$2928,MATCH(Z66,'[2]Cross-Section Database'!$B$2:$B$2928,0),3)</f>
        <v>478</v>
      </c>
      <c r="AB66" s="21">
        <f>INDEX('[2]Cross-Section Database'!$C$2:$V$2928,MATCH(Z66,'[2]Cross-Section Database'!$B$2:$B$2928,0),4)</f>
        <v>307</v>
      </c>
      <c r="AC66" s="21">
        <f>INDEX('[2]Cross-Section Database'!$C$2:$V$2928,MATCH(Z66,'[2]Cross-Section Database'!$B$2:$B$2928,0),6)</f>
        <v>40</v>
      </c>
      <c r="AD66" s="21">
        <f>INDEX('[2]Cross-Section Database'!$C$2:$V$2928,MATCH(Z66,'[2]Cross-Section Database'!$B$2:$B$2928,0),5)</f>
        <v>21</v>
      </c>
      <c r="AE66" s="228">
        <v>1300</v>
      </c>
      <c r="AF66" s="306" t="s">
        <v>3997</v>
      </c>
      <c r="AG66" s="21">
        <f>INDEX('[2]Cross-Section Database'!$C$2:$V$2928,MATCH(AF66,'[2]Cross-Section Database'!$B$2:$B$2928,0),3)</f>
        <v>290</v>
      </c>
      <c r="AH66" s="21">
        <f>INDEX('[2]Cross-Section Database'!$C$2:$V$2928,MATCH(AF66,'[2]Cross-Section Database'!$B$2:$B$2928,0),4)</f>
        <v>300</v>
      </c>
      <c r="AI66" s="21">
        <f>INDEX('[2]Cross-Section Database'!$C$2:$V$2928,MATCH(AF66,'[2]Cross-Section Database'!$B$2:$B$2928,0),6)</f>
        <v>14</v>
      </c>
      <c r="AJ66" s="21">
        <f>INDEX('[2]Cross-Section Database'!$C$2:$V$2928,MATCH(AF66,'[2]Cross-Section Database'!$B$2:$B$2928,0),5)</f>
        <v>8.5</v>
      </c>
      <c r="AK66" s="255">
        <v>1100</v>
      </c>
      <c r="AL66" s="21">
        <f>INDEX('[2]Cross-Section Database'!$C$2:$V$3928,MATCH(AF66,'[2]Cross-Section Database'!$B$2:$B$3928,0),11)</f>
        <v>182600000</v>
      </c>
      <c r="AM66" s="24">
        <f>INDEX('[2]Cross-Section Database'!$C$2:$V$3928,MATCH(AF66,'[2]Cross-Section Database'!$B$2:$B$3928,0),12)</f>
        <v>1383000</v>
      </c>
      <c r="AN66" s="21">
        <v>12</v>
      </c>
      <c r="AO66" s="21">
        <v>230</v>
      </c>
      <c r="AP66" s="21">
        <v>290</v>
      </c>
      <c r="AQ66" s="21">
        <f t="shared" si="16"/>
        <v>0</v>
      </c>
      <c r="AR66" s="21">
        <v>0</v>
      </c>
      <c r="AS66" s="306" t="s">
        <v>5807</v>
      </c>
      <c r="AT66" s="163" t="s">
        <v>6134</v>
      </c>
      <c r="AU66" s="21">
        <v>30</v>
      </c>
      <c r="AV66" s="163">
        <v>24</v>
      </c>
      <c r="AW66" s="163">
        <f t="shared" si="11"/>
        <v>353</v>
      </c>
      <c r="AX66" s="21">
        <v>75</v>
      </c>
      <c r="AY66" s="21">
        <v>75</v>
      </c>
      <c r="AZ66" s="21">
        <v>0</v>
      </c>
      <c r="BA66" s="21">
        <v>120</v>
      </c>
      <c r="BB66" s="21">
        <v>140</v>
      </c>
      <c r="BC66" s="15" t="s">
        <v>4470</v>
      </c>
      <c r="BD66" s="163" t="s">
        <v>6211</v>
      </c>
      <c r="BE66" s="163" t="s">
        <v>6209</v>
      </c>
      <c r="BF66" s="163">
        <v>4</v>
      </c>
      <c r="BG66" s="163">
        <v>6</v>
      </c>
      <c r="BH66" s="202" t="s">
        <v>5792</v>
      </c>
      <c r="BI66" s="203" t="s">
        <v>5792</v>
      </c>
      <c r="BJ66" s="203" t="s">
        <v>5792</v>
      </c>
      <c r="BK66" s="203" t="s">
        <v>5792</v>
      </c>
      <c r="BL66" s="203" t="s">
        <v>5792</v>
      </c>
      <c r="BM66" s="203" t="s">
        <v>5792</v>
      </c>
      <c r="BN66" s="203" t="s">
        <v>5792</v>
      </c>
      <c r="BO66" s="203" t="s">
        <v>5792</v>
      </c>
      <c r="BP66" s="202" t="s">
        <v>5792</v>
      </c>
      <c r="BQ66" s="203" t="s">
        <v>5792</v>
      </c>
      <c r="BR66" s="203" t="s">
        <v>5792</v>
      </c>
      <c r="BS66" s="203" t="s">
        <v>5792</v>
      </c>
      <c r="BT66" s="203" t="s">
        <v>5792</v>
      </c>
      <c r="BU66" s="203" t="s">
        <v>5792</v>
      </c>
      <c r="BV66" s="218" t="s">
        <v>5792</v>
      </c>
      <c r="BW66" s="203" t="s">
        <v>5792</v>
      </c>
      <c r="BX66" s="203" t="s">
        <v>5792</v>
      </c>
      <c r="BY66" s="203" t="s">
        <v>5792</v>
      </c>
      <c r="BZ66" s="203" t="s">
        <v>5792</v>
      </c>
      <c r="CA66" s="203" t="s">
        <v>5792</v>
      </c>
      <c r="CB66" s="218" t="s">
        <v>5792</v>
      </c>
      <c r="CC66" s="32" t="s">
        <v>4449</v>
      </c>
      <c r="CD66" s="47">
        <v>235</v>
      </c>
      <c r="CE66" s="32">
        <v>300</v>
      </c>
      <c r="CF66" s="47">
        <v>360</v>
      </c>
      <c r="CG66" s="32">
        <v>450</v>
      </c>
      <c r="CH66" s="67">
        <v>200000</v>
      </c>
      <c r="CI66" s="107" t="s">
        <v>4449</v>
      </c>
      <c r="CJ66" s="47">
        <v>235</v>
      </c>
      <c r="CK66" s="32">
        <v>300</v>
      </c>
      <c r="CL66" s="60">
        <v>360</v>
      </c>
      <c r="CM66" s="32">
        <v>450</v>
      </c>
      <c r="CN66" s="67">
        <v>200000</v>
      </c>
      <c r="CO66" s="32" t="s">
        <v>4449</v>
      </c>
      <c r="CP66" s="47">
        <v>235</v>
      </c>
      <c r="CQ66" s="163">
        <v>294</v>
      </c>
      <c r="CR66" s="60">
        <v>360</v>
      </c>
      <c r="CS66" s="32">
        <v>450</v>
      </c>
      <c r="CT66" s="61">
        <v>200000</v>
      </c>
      <c r="CU66" s="207" t="s">
        <v>5792</v>
      </c>
      <c r="CV66" s="208" t="s">
        <v>5792</v>
      </c>
      <c r="CW66" s="208" t="s">
        <v>5792</v>
      </c>
      <c r="CX66" s="209" t="s">
        <v>5792</v>
      </c>
      <c r="CY66" s="207" t="s">
        <v>5792</v>
      </c>
      <c r="CZ66" s="208" t="s">
        <v>5792</v>
      </c>
      <c r="DA66" s="209" t="s">
        <v>5792</v>
      </c>
      <c r="DB66" s="283" t="s">
        <v>5792</v>
      </c>
      <c r="DC66" s="163">
        <v>8.8000000000000007</v>
      </c>
      <c r="DD66" s="163">
        <v>640</v>
      </c>
      <c r="DE66" s="32">
        <v>730</v>
      </c>
      <c r="DF66" s="163">
        <v>800</v>
      </c>
      <c r="DG66" s="32">
        <v>940</v>
      </c>
      <c r="DH66" s="61">
        <v>200000</v>
      </c>
      <c r="DI66" s="29" t="s">
        <v>4573</v>
      </c>
      <c r="DJ66" s="163" t="s">
        <v>6055</v>
      </c>
      <c r="DK66" s="297" t="s">
        <v>4566</v>
      </c>
    </row>
    <row r="67" spans="1:115">
      <c r="A67" s="18">
        <v>62</v>
      </c>
      <c r="B67" s="326"/>
      <c r="C67" s="326"/>
      <c r="D67" s="346"/>
      <c r="E67" s="334"/>
      <c r="F67" s="326"/>
      <c r="G67" s="329"/>
      <c r="H67" s="329"/>
      <c r="I67" s="329"/>
      <c r="J67" s="41" t="s">
        <v>4484</v>
      </c>
      <c r="K67" s="306" t="s">
        <v>4383</v>
      </c>
      <c r="L67" s="163" t="s">
        <v>5792</v>
      </c>
      <c r="M67" s="306" t="s">
        <v>4509</v>
      </c>
      <c r="N67" s="163" t="s">
        <v>4703</v>
      </c>
      <c r="O67" s="18" t="s">
        <v>4507</v>
      </c>
      <c r="P67" s="163" t="s">
        <v>4420</v>
      </c>
      <c r="Q67" s="163" t="s">
        <v>4420</v>
      </c>
      <c r="R67" s="163" t="s">
        <v>4420</v>
      </c>
      <c r="S67" s="163" t="s">
        <v>5792</v>
      </c>
      <c r="T67" s="163" t="s">
        <v>4420</v>
      </c>
      <c r="U67" s="163" t="s">
        <v>5792</v>
      </c>
      <c r="V67" s="163" t="s">
        <v>4559</v>
      </c>
      <c r="W67" s="18">
        <v>6</v>
      </c>
      <c r="X67" s="231">
        <v>0</v>
      </c>
      <c r="Y67" s="18">
        <v>0</v>
      </c>
      <c r="Z67" s="306" t="s">
        <v>4021</v>
      </c>
      <c r="AA67" s="21">
        <f>INDEX('[2]Cross-Section Database'!$C$2:$V$2928,MATCH(Z67,'[2]Cross-Section Database'!$B$2:$B$2928,0),3)</f>
        <v>478</v>
      </c>
      <c r="AB67" s="21">
        <f>INDEX('[2]Cross-Section Database'!$C$2:$V$2928,MATCH(Z67,'[2]Cross-Section Database'!$B$2:$B$2928,0),4)</f>
        <v>307</v>
      </c>
      <c r="AC67" s="21">
        <f>INDEX('[2]Cross-Section Database'!$C$2:$V$2928,MATCH(Z67,'[2]Cross-Section Database'!$B$2:$B$2928,0),6)</f>
        <v>40</v>
      </c>
      <c r="AD67" s="21">
        <f>INDEX('[2]Cross-Section Database'!$C$2:$V$2928,MATCH(Z67,'[2]Cross-Section Database'!$B$2:$B$2928,0),5)</f>
        <v>21</v>
      </c>
      <c r="AE67" s="228">
        <v>1300</v>
      </c>
      <c r="AF67" s="306" t="s">
        <v>3997</v>
      </c>
      <c r="AG67" s="21">
        <f>INDEX('[2]Cross-Section Database'!$C$2:$V$2928,MATCH(AF67,'[2]Cross-Section Database'!$B$2:$B$2928,0),3)</f>
        <v>290</v>
      </c>
      <c r="AH67" s="21">
        <f>INDEX('[2]Cross-Section Database'!$C$2:$V$2928,MATCH(AF67,'[2]Cross-Section Database'!$B$2:$B$2928,0),4)</f>
        <v>300</v>
      </c>
      <c r="AI67" s="21">
        <f>INDEX('[2]Cross-Section Database'!$C$2:$V$2928,MATCH(AF67,'[2]Cross-Section Database'!$B$2:$B$2928,0),6)</f>
        <v>14</v>
      </c>
      <c r="AJ67" s="21">
        <f>INDEX('[2]Cross-Section Database'!$C$2:$V$2928,MATCH(AF67,'[2]Cross-Section Database'!$B$2:$B$2928,0),5)</f>
        <v>8.5</v>
      </c>
      <c r="AK67" s="255">
        <v>1100</v>
      </c>
      <c r="AL67" s="21">
        <f>INDEX('[2]Cross-Section Database'!$C$2:$V$3928,MATCH(AF67,'[2]Cross-Section Database'!$B$2:$B$3928,0),11)</f>
        <v>182600000</v>
      </c>
      <c r="AM67" s="24">
        <f>INDEX('[2]Cross-Section Database'!$C$2:$V$3928,MATCH(AF67,'[2]Cross-Section Database'!$B$2:$B$3928,0),12)</f>
        <v>1383000</v>
      </c>
      <c r="AN67" s="21">
        <v>12</v>
      </c>
      <c r="AO67" s="21">
        <v>230</v>
      </c>
      <c r="AP67" s="21">
        <v>290</v>
      </c>
      <c r="AQ67" s="21">
        <f t="shared" si="16"/>
        <v>0</v>
      </c>
      <c r="AR67" s="21">
        <v>0</v>
      </c>
      <c r="AS67" s="306" t="s">
        <v>5807</v>
      </c>
      <c r="AT67" s="163" t="s">
        <v>6134</v>
      </c>
      <c r="AU67" s="21">
        <v>29</v>
      </c>
      <c r="AV67" s="163">
        <v>24</v>
      </c>
      <c r="AW67" s="163">
        <f t="shared" si="11"/>
        <v>353</v>
      </c>
      <c r="AX67" s="21">
        <v>75</v>
      </c>
      <c r="AY67" s="21">
        <v>75</v>
      </c>
      <c r="AZ67" s="21">
        <v>0</v>
      </c>
      <c r="BA67" s="21">
        <v>120</v>
      </c>
      <c r="BB67" s="21">
        <v>140</v>
      </c>
      <c r="BC67" s="15" t="s">
        <v>4470</v>
      </c>
      <c r="BD67" s="163" t="s">
        <v>6211</v>
      </c>
      <c r="BE67" s="163" t="s">
        <v>6209</v>
      </c>
      <c r="BF67" s="163">
        <v>4</v>
      </c>
      <c r="BG67" s="163">
        <v>6</v>
      </c>
      <c r="BH67" s="202" t="s">
        <v>5792</v>
      </c>
      <c r="BI67" s="203" t="s">
        <v>5792</v>
      </c>
      <c r="BJ67" s="203" t="s">
        <v>5792</v>
      </c>
      <c r="BK67" s="203" t="s">
        <v>5792</v>
      </c>
      <c r="BL67" s="203" t="s">
        <v>5792</v>
      </c>
      <c r="BM67" s="203" t="s">
        <v>5792</v>
      </c>
      <c r="BN67" s="203" t="s">
        <v>5792</v>
      </c>
      <c r="BO67" s="203" t="s">
        <v>5792</v>
      </c>
      <c r="BP67" s="202" t="s">
        <v>5792</v>
      </c>
      <c r="BQ67" s="203" t="s">
        <v>5792</v>
      </c>
      <c r="BR67" s="203" t="s">
        <v>5792</v>
      </c>
      <c r="BS67" s="203" t="s">
        <v>5792</v>
      </c>
      <c r="BT67" s="203" t="s">
        <v>5792</v>
      </c>
      <c r="BU67" s="203" t="s">
        <v>5792</v>
      </c>
      <c r="BV67" s="218" t="s">
        <v>5792</v>
      </c>
      <c r="BW67" s="203" t="s">
        <v>5792</v>
      </c>
      <c r="BX67" s="203" t="s">
        <v>5792</v>
      </c>
      <c r="BY67" s="203" t="s">
        <v>5792</v>
      </c>
      <c r="BZ67" s="203" t="s">
        <v>5792</v>
      </c>
      <c r="CA67" s="203" t="s">
        <v>5792</v>
      </c>
      <c r="CB67" s="218" t="s">
        <v>5792</v>
      </c>
      <c r="CC67" s="32" t="s">
        <v>4449</v>
      </c>
      <c r="CD67" s="47">
        <v>235</v>
      </c>
      <c r="CE67" s="32">
        <v>300</v>
      </c>
      <c r="CF67" s="47">
        <v>360</v>
      </c>
      <c r="CG67" s="32">
        <v>450</v>
      </c>
      <c r="CH67" s="67">
        <v>200000</v>
      </c>
      <c r="CI67" s="107" t="s">
        <v>4449</v>
      </c>
      <c r="CJ67" s="47">
        <v>235</v>
      </c>
      <c r="CK67" s="32">
        <v>300</v>
      </c>
      <c r="CL67" s="60">
        <v>360</v>
      </c>
      <c r="CM67" s="32">
        <v>450</v>
      </c>
      <c r="CN67" s="67">
        <v>200000</v>
      </c>
      <c r="CO67" s="32" t="s">
        <v>4449</v>
      </c>
      <c r="CP67" s="47">
        <v>235</v>
      </c>
      <c r="CQ67" s="163">
        <v>294</v>
      </c>
      <c r="CR67" s="60">
        <v>360</v>
      </c>
      <c r="CS67" s="32">
        <v>450</v>
      </c>
      <c r="CT67" s="61">
        <v>200000</v>
      </c>
      <c r="CU67" s="207" t="s">
        <v>5792</v>
      </c>
      <c r="CV67" s="208" t="s">
        <v>5792</v>
      </c>
      <c r="CW67" s="208" t="s">
        <v>5792</v>
      </c>
      <c r="CX67" s="209" t="s">
        <v>5792</v>
      </c>
      <c r="CY67" s="207" t="s">
        <v>5792</v>
      </c>
      <c r="CZ67" s="208" t="s">
        <v>5792</v>
      </c>
      <c r="DA67" s="209" t="s">
        <v>5792</v>
      </c>
      <c r="DB67" s="283" t="s">
        <v>5792</v>
      </c>
      <c r="DC67" s="163">
        <v>8.8000000000000007</v>
      </c>
      <c r="DD67" s="163">
        <v>640</v>
      </c>
      <c r="DE67" s="32">
        <v>730</v>
      </c>
      <c r="DF67" s="163">
        <v>800</v>
      </c>
      <c r="DG67" s="32">
        <v>940</v>
      </c>
      <c r="DH67" s="61">
        <v>200000</v>
      </c>
      <c r="DI67" s="29" t="s">
        <v>4573</v>
      </c>
      <c r="DJ67" s="163" t="s">
        <v>6055</v>
      </c>
      <c r="DK67" s="297" t="s">
        <v>4566</v>
      </c>
    </row>
    <row r="68" spans="1:115">
      <c r="A68" s="18">
        <v>63</v>
      </c>
      <c r="B68" s="326"/>
      <c r="C68" s="326"/>
      <c r="D68" s="346"/>
      <c r="E68" s="334"/>
      <c r="F68" s="326"/>
      <c r="G68" s="329"/>
      <c r="H68" s="329"/>
      <c r="I68" s="329"/>
      <c r="J68" s="41" t="s">
        <v>4485</v>
      </c>
      <c r="K68" s="306" t="s">
        <v>4383</v>
      </c>
      <c r="L68" s="163" t="s">
        <v>5792</v>
      </c>
      <c r="M68" s="306" t="s">
        <v>4509</v>
      </c>
      <c r="N68" s="163" t="s">
        <v>4703</v>
      </c>
      <c r="O68" s="18" t="s">
        <v>4507</v>
      </c>
      <c r="P68" s="163" t="s">
        <v>4420</v>
      </c>
      <c r="Q68" s="163" t="s">
        <v>4420</v>
      </c>
      <c r="R68" s="163" t="s">
        <v>4420</v>
      </c>
      <c r="S68" s="163" t="s">
        <v>5792</v>
      </c>
      <c r="T68" s="163" t="s">
        <v>4420</v>
      </c>
      <c r="U68" s="163" t="s">
        <v>5792</v>
      </c>
      <c r="V68" s="163" t="s">
        <v>4559</v>
      </c>
      <c r="W68" s="18">
        <v>6</v>
      </c>
      <c r="X68" s="231">
        <v>0</v>
      </c>
      <c r="Y68" s="18">
        <v>0</v>
      </c>
      <c r="Z68" s="306" t="s">
        <v>4021</v>
      </c>
      <c r="AA68" s="21">
        <f>INDEX('[2]Cross-Section Database'!$C$2:$V$2928,MATCH(Z68,'[2]Cross-Section Database'!$B$2:$B$2928,0),3)</f>
        <v>478</v>
      </c>
      <c r="AB68" s="21">
        <f>INDEX('[2]Cross-Section Database'!$C$2:$V$2928,MATCH(Z68,'[2]Cross-Section Database'!$B$2:$B$2928,0),4)</f>
        <v>307</v>
      </c>
      <c r="AC68" s="21">
        <f>INDEX('[2]Cross-Section Database'!$C$2:$V$2928,MATCH(Z68,'[2]Cross-Section Database'!$B$2:$B$2928,0),6)</f>
        <v>40</v>
      </c>
      <c r="AD68" s="21">
        <f>INDEX('[2]Cross-Section Database'!$C$2:$V$2928,MATCH(Z68,'[2]Cross-Section Database'!$B$2:$B$2928,0),5)</f>
        <v>21</v>
      </c>
      <c r="AE68" s="228">
        <v>1300</v>
      </c>
      <c r="AF68" s="306" t="s">
        <v>3922</v>
      </c>
      <c r="AG68" s="21">
        <f>INDEX('[2]Cross-Section Database'!$C$2:$V$2928,MATCH(AF68,'[2]Cross-Section Database'!$B$2:$B$2928,0),3)</f>
        <v>400</v>
      </c>
      <c r="AH68" s="21">
        <f>INDEX('[2]Cross-Section Database'!$C$2:$V$2928,MATCH(AF68,'[2]Cross-Section Database'!$B$2:$B$2928,0),4)</f>
        <v>180</v>
      </c>
      <c r="AI68" s="21">
        <f>INDEX('[2]Cross-Section Database'!$C$2:$V$2928,MATCH(AF68,'[2]Cross-Section Database'!$B$2:$B$2928,0),6)</f>
        <v>13.5</v>
      </c>
      <c r="AJ68" s="21">
        <f>INDEX('[2]Cross-Section Database'!$C$2:$V$2928,MATCH(AF68,'[2]Cross-Section Database'!$B$2:$B$2928,0),5)</f>
        <v>8.6</v>
      </c>
      <c r="AK68" s="255">
        <v>1100</v>
      </c>
      <c r="AL68" s="21">
        <f>INDEX('[2]Cross-Section Database'!$C$2:$V$3928,MATCH(AF68,'[2]Cross-Section Database'!$B$2:$B$3928,0),11)</f>
        <v>231300000</v>
      </c>
      <c r="AM68" s="24">
        <f>INDEX('[2]Cross-Section Database'!$C$2:$V$3928,MATCH(AF68,'[2]Cross-Section Database'!$B$2:$B$3928,0),12)</f>
        <v>1307000</v>
      </c>
      <c r="AN68" s="21">
        <v>12</v>
      </c>
      <c r="AO68" s="21">
        <v>180</v>
      </c>
      <c r="AP68" s="21">
        <v>400</v>
      </c>
      <c r="AQ68" s="21">
        <f t="shared" si="16"/>
        <v>0</v>
      </c>
      <c r="AR68" s="21">
        <v>0</v>
      </c>
      <c r="AS68" s="306" t="s">
        <v>5807</v>
      </c>
      <c r="AT68" s="163" t="s">
        <v>6134</v>
      </c>
      <c r="AU68" s="21">
        <v>66</v>
      </c>
      <c r="AV68" s="163">
        <v>24</v>
      </c>
      <c r="AW68" s="163">
        <f t="shared" si="11"/>
        <v>353</v>
      </c>
      <c r="AX68" s="21">
        <v>55</v>
      </c>
      <c r="AY68" s="21">
        <v>55</v>
      </c>
      <c r="AZ68" s="21">
        <v>70</v>
      </c>
      <c r="BA68" s="21">
        <v>100</v>
      </c>
      <c r="BB68" s="21">
        <v>220</v>
      </c>
      <c r="BC68" s="15" t="s">
        <v>4420</v>
      </c>
      <c r="BD68" s="163" t="s">
        <v>4465</v>
      </c>
      <c r="BE68" s="163" t="s">
        <v>6209</v>
      </c>
      <c r="BF68" s="163">
        <v>4</v>
      </c>
      <c r="BG68" s="163">
        <v>6</v>
      </c>
      <c r="BH68" s="202" t="s">
        <v>5792</v>
      </c>
      <c r="BI68" s="203" t="s">
        <v>5792</v>
      </c>
      <c r="BJ68" s="203" t="s">
        <v>5792</v>
      </c>
      <c r="BK68" s="203" t="s">
        <v>5792</v>
      </c>
      <c r="BL68" s="203" t="s">
        <v>5792</v>
      </c>
      <c r="BM68" s="203" t="s">
        <v>5792</v>
      </c>
      <c r="BN68" s="203" t="s">
        <v>5792</v>
      </c>
      <c r="BO68" s="203" t="s">
        <v>5792</v>
      </c>
      <c r="BP68" s="202" t="s">
        <v>5792</v>
      </c>
      <c r="BQ68" s="203" t="s">
        <v>5792</v>
      </c>
      <c r="BR68" s="203" t="s">
        <v>5792</v>
      </c>
      <c r="BS68" s="203" t="s">
        <v>5792</v>
      </c>
      <c r="BT68" s="203" t="s">
        <v>5792</v>
      </c>
      <c r="BU68" s="203" t="s">
        <v>5792</v>
      </c>
      <c r="BV68" s="218" t="s">
        <v>5792</v>
      </c>
      <c r="BW68" s="203" t="s">
        <v>5792</v>
      </c>
      <c r="BX68" s="203" t="s">
        <v>5792</v>
      </c>
      <c r="BY68" s="203" t="s">
        <v>5792</v>
      </c>
      <c r="BZ68" s="203" t="s">
        <v>5792</v>
      </c>
      <c r="CA68" s="203" t="s">
        <v>5792</v>
      </c>
      <c r="CB68" s="218" t="s">
        <v>5792</v>
      </c>
      <c r="CC68" s="32" t="s">
        <v>4449</v>
      </c>
      <c r="CD68" s="47">
        <v>235</v>
      </c>
      <c r="CE68" s="32">
        <v>300</v>
      </c>
      <c r="CF68" s="47">
        <v>360</v>
      </c>
      <c r="CG68" s="32">
        <v>450</v>
      </c>
      <c r="CH68" s="67">
        <v>200000</v>
      </c>
      <c r="CI68" s="107" t="s">
        <v>4449</v>
      </c>
      <c r="CJ68" s="47">
        <v>235</v>
      </c>
      <c r="CK68" s="32">
        <v>300</v>
      </c>
      <c r="CL68" s="60">
        <v>360</v>
      </c>
      <c r="CM68" s="32">
        <v>450</v>
      </c>
      <c r="CN68" s="67">
        <v>200000</v>
      </c>
      <c r="CO68" s="32" t="s">
        <v>4449</v>
      </c>
      <c r="CP68" s="47">
        <v>235</v>
      </c>
      <c r="CQ68" s="163">
        <v>294</v>
      </c>
      <c r="CR68" s="60">
        <v>360</v>
      </c>
      <c r="CS68" s="32">
        <v>450</v>
      </c>
      <c r="CT68" s="61">
        <v>200000</v>
      </c>
      <c r="CU68" s="207" t="s">
        <v>5792</v>
      </c>
      <c r="CV68" s="208" t="s">
        <v>5792</v>
      </c>
      <c r="CW68" s="208" t="s">
        <v>5792</v>
      </c>
      <c r="CX68" s="209" t="s">
        <v>5792</v>
      </c>
      <c r="CY68" s="207" t="s">
        <v>5792</v>
      </c>
      <c r="CZ68" s="208" t="s">
        <v>5792</v>
      </c>
      <c r="DA68" s="209" t="s">
        <v>5792</v>
      </c>
      <c r="DB68" s="283" t="s">
        <v>5792</v>
      </c>
      <c r="DC68" s="163">
        <v>8.8000000000000007</v>
      </c>
      <c r="DD68" s="163">
        <v>640</v>
      </c>
      <c r="DE68" s="32">
        <v>730</v>
      </c>
      <c r="DF68" s="163">
        <v>800</v>
      </c>
      <c r="DG68" s="32">
        <v>940</v>
      </c>
      <c r="DH68" s="61">
        <v>200000</v>
      </c>
      <c r="DI68" s="29" t="s">
        <v>4573</v>
      </c>
      <c r="DJ68" s="163" t="s">
        <v>6055</v>
      </c>
      <c r="DK68" s="297" t="s">
        <v>4566</v>
      </c>
    </row>
    <row r="69" spans="1:115">
      <c r="A69" s="18">
        <v>64</v>
      </c>
      <c r="B69" s="326"/>
      <c r="C69" s="326"/>
      <c r="D69" s="346"/>
      <c r="E69" s="334"/>
      <c r="F69" s="326"/>
      <c r="G69" s="329"/>
      <c r="H69" s="329"/>
      <c r="I69" s="329"/>
      <c r="J69" s="41" t="s">
        <v>4486</v>
      </c>
      <c r="K69" s="306" t="s">
        <v>4383</v>
      </c>
      <c r="L69" s="163" t="s">
        <v>5792</v>
      </c>
      <c r="M69" s="306" t="s">
        <v>4509</v>
      </c>
      <c r="N69" s="163" t="s">
        <v>4703</v>
      </c>
      <c r="O69" s="18" t="s">
        <v>4507</v>
      </c>
      <c r="P69" s="163" t="s">
        <v>4420</v>
      </c>
      <c r="Q69" s="163" t="s">
        <v>4420</v>
      </c>
      <c r="R69" s="163" t="s">
        <v>4420</v>
      </c>
      <c r="S69" s="163" t="s">
        <v>5792</v>
      </c>
      <c r="T69" s="163" t="s">
        <v>4420</v>
      </c>
      <c r="U69" s="163" t="s">
        <v>5792</v>
      </c>
      <c r="V69" s="163" t="s">
        <v>4559</v>
      </c>
      <c r="W69" s="18">
        <v>6</v>
      </c>
      <c r="X69" s="231">
        <v>0</v>
      </c>
      <c r="Y69" s="142">
        <v>0</v>
      </c>
      <c r="Z69" s="306" t="s">
        <v>4021</v>
      </c>
      <c r="AA69" s="21">
        <f>INDEX('[2]Cross-Section Database'!$C$2:$V$2928,MATCH(Z69,'[2]Cross-Section Database'!$B$2:$B$2928,0),3)</f>
        <v>478</v>
      </c>
      <c r="AB69" s="21">
        <f>INDEX('[2]Cross-Section Database'!$C$2:$V$2928,MATCH(Z69,'[2]Cross-Section Database'!$B$2:$B$2928,0),4)</f>
        <v>307</v>
      </c>
      <c r="AC69" s="21">
        <f>INDEX('[2]Cross-Section Database'!$C$2:$V$2928,MATCH(Z69,'[2]Cross-Section Database'!$B$2:$B$2928,0),6)</f>
        <v>40</v>
      </c>
      <c r="AD69" s="21">
        <f>INDEX('[2]Cross-Section Database'!$C$2:$V$2928,MATCH(Z69,'[2]Cross-Section Database'!$B$2:$B$2928,0),5)</f>
        <v>21</v>
      </c>
      <c r="AE69" s="228">
        <v>1300</v>
      </c>
      <c r="AF69" s="306" t="s">
        <v>3922</v>
      </c>
      <c r="AG69" s="21">
        <f>INDEX('[2]Cross-Section Database'!$C$2:$V$2928,MATCH(AF69,'[2]Cross-Section Database'!$B$2:$B$2928,0),3)</f>
        <v>400</v>
      </c>
      <c r="AH69" s="21">
        <f>INDEX('[2]Cross-Section Database'!$C$2:$V$2928,MATCH(AF69,'[2]Cross-Section Database'!$B$2:$B$2928,0),4)</f>
        <v>180</v>
      </c>
      <c r="AI69" s="21">
        <f>INDEX('[2]Cross-Section Database'!$C$2:$V$2928,MATCH(AF69,'[2]Cross-Section Database'!$B$2:$B$2928,0),6)</f>
        <v>13.5</v>
      </c>
      <c r="AJ69" s="21">
        <f>INDEX('[2]Cross-Section Database'!$C$2:$V$2928,MATCH(AF69,'[2]Cross-Section Database'!$B$2:$B$2928,0),5)</f>
        <v>8.6</v>
      </c>
      <c r="AK69" s="255">
        <v>1100</v>
      </c>
      <c r="AL69" s="21">
        <f>INDEX('[2]Cross-Section Database'!$C$2:$V$3928,MATCH(AF69,'[2]Cross-Section Database'!$B$2:$B$3928,0),11)</f>
        <v>231300000</v>
      </c>
      <c r="AM69" s="24">
        <f>INDEX('[2]Cross-Section Database'!$C$2:$V$3928,MATCH(AF69,'[2]Cross-Section Database'!$B$2:$B$3928,0),12)</f>
        <v>1307000</v>
      </c>
      <c r="AN69" s="21">
        <v>12</v>
      </c>
      <c r="AO69" s="21">
        <v>180</v>
      </c>
      <c r="AP69" s="21">
        <v>400</v>
      </c>
      <c r="AQ69" s="21">
        <f t="shared" si="16"/>
        <v>0</v>
      </c>
      <c r="AR69" s="21">
        <v>0</v>
      </c>
      <c r="AS69" s="306" t="s">
        <v>5807</v>
      </c>
      <c r="AT69" s="163" t="s">
        <v>6134</v>
      </c>
      <c r="AU69" s="163" t="s">
        <v>6134</v>
      </c>
      <c r="AV69" s="163">
        <v>24</v>
      </c>
      <c r="AW69" s="163">
        <f t="shared" si="11"/>
        <v>353</v>
      </c>
      <c r="AX69" s="21">
        <v>55</v>
      </c>
      <c r="AY69" s="21">
        <v>55</v>
      </c>
      <c r="AZ69" s="21">
        <v>0</v>
      </c>
      <c r="BA69" s="21">
        <v>100</v>
      </c>
      <c r="BB69" s="21">
        <v>290</v>
      </c>
      <c r="BC69" s="15" t="s">
        <v>4470</v>
      </c>
      <c r="BD69" s="163" t="s">
        <v>6209</v>
      </c>
      <c r="BE69" s="163" t="s">
        <v>6209</v>
      </c>
      <c r="BF69" s="163">
        <v>2</v>
      </c>
      <c r="BG69" s="163">
        <v>4</v>
      </c>
      <c r="BH69" s="202" t="s">
        <v>5792</v>
      </c>
      <c r="BI69" s="203" t="s">
        <v>5792</v>
      </c>
      <c r="BJ69" s="203" t="s">
        <v>5792</v>
      </c>
      <c r="BK69" s="203" t="s">
        <v>5792</v>
      </c>
      <c r="BL69" s="203" t="s">
        <v>5792</v>
      </c>
      <c r="BM69" s="203" t="s">
        <v>5792</v>
      </c>
      <c r="BN69" s="203" t="s">
        <v>5792</v>
      </c>
      <c r="BO69" s="203" t="s">
        <v>5792</v>
      </c>
      <c r="BP69" s="202" t="s">
        <v>5792</v>
      </c>
      <c r="BQ69" s="203" t="s">
        <v>5792</v>
      </c>
      <c r="BR69" s="203" t="s">
        <v>5792</v>
      </c>
      <c r="BS69" s="203" t="s">
        <v>5792</v>
      </c>
      <c r="BT69" s="203" t="s">
        <v>5792</v>
      </c>
      <c r="BU69" s="203" t="s">
        <v>5792</v>
      </c>
      <c r="BV69" s="218" t="s">
        <v>5792</v>
      </c>
      <c r="BW69" s="203" t="s">
        <v>5792</v>
      </c>
      <c r="BX69" s="203" t="s">
        <v>5792</v>
      </c>
      <c r="BY69" s="203" t="s">
        <v>5792</v>
      </c>
      <c r="BZ69" s="203" t="s">
        <v>5792</v>
      </c>
      <c r="CA69" s="203" t="s">
        <v>5792</v>
      </c>
      <c r="CB69" s="218" t="s">
        <v>5792</v>
      </c>
      <c r="CC69" s="32" t="s">
        <v>4449</v>
      </c>
      <c r="CD69" s="47">
        <v>235</v>
      </c>
      <c r="CE69" s="32">
        <v>300</v>
      </c>
      <c r="CF69" s="47">
        <v>360</v>
      </c>
      <c r="CG69" s="32">
        <v>450</v>
      </c>
      <c r="CH69" s="67">
        <v>200000</v>
      </c>
      <c r="CI69" s="107" t="s">
        <v>4449</v>
      </c>
      <c r="CJ69" s="47">
        <v>235</v>
      </c>
      <c r="CK69" s="32">
        <v>300</v>
      </c>
      <c r="CL69" s="60">
        <v>360</v>
      </c>
      <c r="CM69" s="32">
        <v>450</v>
      </c>
      <c r="CN69" s="67">
        <v>200000</v>
      </c>
      <c r="CO69" s="32" t="s">
        <v>4449</v>
      </c>
      <c r="CP69" s="47">
        <v>235</v>
      </c>
      <c r="CQ69" s="163">
        <v>294</v>
      </c>
      <c r="CR69" s="60">
        <v>360</v>
      </c>
      <c r="CS69" s="32">
        <v>450</v>
      </c>
      <c r="CT69" s="61">
        <v>200000</v>
      </c>
      <c r="CU69" s="207" t="s">
        <v>5792</v>
      </c>
      <c r="CV69" s="208" t="s">
        <v>5792</v>
      </c>
      <c r="CW69" s="208" t="s">
        <v>5792</v>
      </c>
      <c r="CX69" s="209" t="s">
        <v>5792</v>
      </c>
      <c r="CY69" s="207" t="s">
        <v>5792</v>
      </c>
      <c r="CZ69" s="208" t="s">
        <v>5792</v>
      </c>
      <c r="DA69" s="209" t="s">
        <v>5792</v>
      </c>
      <c r="DB69" s="283" t="s">
        <v>5792</v>
      </c>
      <c r="DC69" s="163">
        <v>8.8000000000000007</v>
      </c>
      <c r="DD69" s="163">
        <v>640</v>
      </c>
      <c r="DE69" s="32">
        <v>730</v>
      </c>
      <c r="DF69" s="163">
        <v>800</v>
      </c>
      <c r="DG69" s="32">
        <v>940</v>
      </c>
      <c r="DH69" s="61">
        <v>200000</v>
      </c>
      <c r="DI69" s="29" t="s">
        <v>4573</v>
      </c>
      <c r="DJ69" s="163" t="s">
        <v>6055</v>
      </c>
      <c r="DK69" s="297" t="s">
        <v>4566</v>
      </c>
    </row>
    <row r="70" spans="1:115">
      <c r="A70" s="18">
        <v>65</v>
      </c>
      <c r="B70" s="326"/>
      <c r="C70" s="326"/>
      <c r="D70" s="346"/>
      <c r="E70" s="334"/>
      <c r="F70" s="326"/>
      <c r="G70" s="329"/>
      <c r="H70" s="329"/>
      <c r="I70" s="329"/>
      <c r="J70" s="41" t="s">
        <v>4487</v>
      </c>
      <c r="K70" s="306" t="s">
        <v>4383</v>
      </c>
      <c r="L70" s="163" t="s">
        <v>5792</v>
      </c>
      <c r="M70" s="306" t="s">
        <v>4509</v>
      </c>
      <c r="N70" s="163" t="s">
        <v>4703</v>
      </c>
      <c r="O70" s="18" t="s">
        <v>4507</v>
      </c>
      <c r="P70" s="163" t="s">
        <v>4420</v>
      </c>
      <c r="Q70" s="163" t="s">
        <v>4420</v>
      </c>
      <c r="R70" s="163" t="s">
        <v>4420</v>
      </c>
      <c r="S70" s="163" t="s">
        <v>5792</v>
      </c>
      <c r="T70" s="163" t="s">
        <v>4420</v>
      </c>
      <c r="U70" s="163" t="s">
        <v>5792</v>
      </c>
      <c r="V70" s="163" t="s">
        <v>4559</v>
      </c>
      <c r="W70" s="18">
        <v>6</v>
      </c>
      <c r="X70" s="231">
        <v>0</v>
      </c>
      <c r="Y70" s="142">
        <v>0</v>
      </c>
      <c r="Z70" s="306" t="s">
        <v>4021</v>
      </c>
      <c r="AA70" s="21">
        <f>INDEX('[2]Cross-Section Database'!$C$2:$V$2928,MATCH(Z70,'[2]Cross-Section Database'!$B$2:$B$2928,0),3)</f>
        <v>478</v>
      </c>
      <c r="AB70" s="21">
        <f>INDEX('[2]Cross-Section Database'!$C$2:$V$2928,MATCH(Z70,'[2]Cross-Section Database'!$B$2:$B$2928,0),4)</f>
        <v>307</v>
      </c>
      <c r="AC70" s="21">
        <f>INDEX('[2]Cross-Section Database'!$C$2:$V$2928,MATCH(Z70,'[2]Cross-Section Database'!$B$2:$B$2928,0),6)</f>
        <v>40</v>
      </c>
      <c r="AD70" s="21">
        <f>INDEX('[2]Cross-Section Database'!$C$2:$V$2928,MATCH(Z70,'[2]Cross-Section Database'!$B$2:$B$2928,0),5)</f>
        <v>21</v>
      </c>
      <c r="AE70" s="228">
        <v>1300</v>
      </c>
      <c r="AF70" s="306" t="s">
        <v>3922</v>
      </c>
      <c r="AG70" s="21">
        <f>INDEX('[2]Cross-Section Database'!$C$2:$V$2928,MATCH(AF70,'[2]Cross-Section Database'!$B$2:$B$2928,0),3)</f>
        <v>400</v>
      </c>
      <c r="AH70" s="21">
        <f>INDEX('[2]Cross-Section Database'!$C$2:$V$2928,MATCH(AF70,'[2]Cross-Section Database'!$B$2:$B$2928,0),4)</f>
        <v>180</v>
      </c>
      <c r="AI70" s="21">
        <f>INDEX('[2]Cross-Section Database'!$C$2:$V$2928,MATCH(AF70,'[2]Cross-Section Database'!$B$2:$B$2928,0),6)</f>
        <v>13.5</v>
      </c>
      <c r="AJ70" s="21">
        <f>INDEX('[2]Cross-Section Database'!$C$2:$V$2928,MATCH(AF70,'[2]Cross-Section Database'!$B$2:$B$2928,0),5)</f>
        <v>8.6</v>
      </c>
      <c r="AK70" s="255">
        <v>1100</v>
      </c>
      <c r="AL70" s="21">
        <f>INDEX('[2]Cross-Section Database'!$C$2:$V$3928,MATCH(AF70,'[2]Cross-Section Database'!$B$2:$B$3928,0),11)</f>
        <v>231300000</v>
      </c>
      <c r="AM70" s="24">
        <f>INDEX('[2]Cross-Section Database'!$C$2:$V$3928,MATCH(AF70,'[2]Cross-Section Database'!$B$2:$B$3928,0),12)</f>
        <v>1307000</v>
      </c>
      <c r="AN70" s="21">
        <v>12</v>
      </c>
      <c r="AO70" s="21">
        <v>180</v>
      </c>
      <c r="AP70" s="21">
        <v>400</v>
      </c>
      <c r="AQ70" s="21">
        <f t="shared" si="16"/>
        <v>0</v>
      </c>
      <c r="AR70" s="21">
        <v>0</v>
      </c>
      <c r="AS70" s="306" t="s">
        <v>5807</v>
      </c>
      <c r="AT70" s="163" t="s">
        <v>6134</v>
      </c>
      <c r="AU70" s="163">
        <v>60</v>
      </c>
      <c r="AV70" s="163">
        <v>24</v>
      </c>
      <c r="AW70" s="163">
        <f t="shared" si="11"/>
        <v>353</v>
      </c>
      <c r="AX70" s="21">
        <v>55</v>
      </c>
      <c r="AY70" s="21">
        <v>55</v>
      </c>
      <c r="AZ70" s="21">
        <v>0</v>
      </c>
      <c r="BA70" s="21">
        <v>100</v>
      </c>
      <c r="BB70" s="21">
        <v>220</v>
      </c>
      <c r="BC70" s="15" t="s">
        <v>4470</v>
      </c>
      <c r="BD70" s="163" t="s">
        <v>6209</v>
      </c>
      <c r="BE70" s="163" t="s">
        <v>6209</v>
      </c>
      <c r="BF70" s="163">
        <v>2</v>
      </c>
      <c r="BG70" s="163">
        <v>4</v>
      </c>
      <c r="BH70" s="202" t="s">
        <v>5792</v>
      </c>
      <c r="BI70" s="203" t="s">
        <v>5792</v>
      </c>
      <c r="BJ70" s="203" t="s">
        <v>5792</v>
      </c>
      <c r="BK70" s="203" t="s">
        <v>5792</v>
      </c>
      <c r="BL70" s="203" t="s">
        <v>5792</v>
      </c>
      <c r="BM70" s="203" t="s">
        <v>5792</v>
      </c>
      <c r="BN70" s="203" t="s">
        <v>5792</v>
      </c>
      <c r="BO70" s="203" t="s">
        <v>5792</v>
      </c>
      <c r="BP70" s="202" t="s">
        <v>5792</v>
      </c>
      <c r="BQ70" s="203" t="s">
        <v>5792</v>
      </c>
      <c r="BR70" s="203" t="s">
        <v>5792</v>
      </c>
      <c r="BS70" s="203" t="s">
        <v>5792</v>
      </c>
      <c r="BT70" s="203" t="s">
        <v>5792</v>
      </c>
      <c r="BU70" s="203" t="s">
        <v>5792</v>
      </c>
      <c r="BV70" s="218" t="s">
        <v>5792</v>
      </c>
      <c r="BW70" s="203" t="s">
        <v>5792</v>
      </c>
      <c r="BX70" s="203" t="s">
        <v>5792</v>
      </c>
      <c r="BY70" s="203" t="s">
        <v>5792</v>
      </c>
      <c r="BZ70" s="203" t="s">
        <v>5792</v>
      </c>
      <c r="CA70" s="203" t="s">
        <v>5792</v>
      </c>
      <c r="CB70" s="218" t="s">
        <v>5792</v>
      </c>
      <c r="CC70" s="32" t="s">
        <v>4449</v>
      </c>
      <c r="CD70" s="47">
        <v>235</v>
      </c>
      <c r="CE70" s="32">
        <v>300</v>
      </c>
      <c r="CF70" s="47">
        <v>360</v>
      </c>
      <c r="CG70" s="32">
        <v>450</v>
      </c>
      <c r="CH70" s="67">
        <v>200000</v>
      </c>
      <c r="CI70" s="107" t="s">
        <v>4449</v>
      </c>
      <c r="CJ70" s="47">
        <v>235</v>
      </c>
      <c r="CK70" s="32">
        <v>300</v>
      </c>
      <c r="CL70" s="60">
        <v>360</v>
      </c>
      <c r="CM70" s="32">
        <v>450</v>
      </c>
      <c r="CN70" s="67">
        <v>200000</v>
      </c>
      <c r="CO70" s="32" t="s">
        <v>4449</v>
      </c>
      <c r="CP70" s="47">
        <v>235</v>
      </c>
      <c r="CQ70" s="163">
        <v>294</v>
      </c>
      <c r="CR70" s="60">
        <v>360</v>
      </c>
      <c r="CS70" s="32">
        <v>450</v>
      </c>
      <c r="CT70" s="61">
        <v>200000</v>
      </c>
      <c r="CU70" s="207" t="s">
        <v>5792</v>
      </c>
      <c r="CV70" s="208" t="s">
        <v>5792</v>
      </c>
      <c r="CW70" s="208" t="s">
        <v>5792</v>
      </c>
      <c r="CX70" s="209" t="s">
        <v>5792</v>
      </c>
      <c r="CY70" s="207" t="s">
        <v>5792</v>
      </c>
      <c r="CZ70" s="208" t="s">
        <v>5792</v>
      </c>
      <c r="DA70" s="209" t="s">
        <v>5792</v>
      </c>
      <c r="DB70" s="283" t="s">
        <v>5792</v>
      </c>
      <c r="DC70" s="163">
        <v>8.8000000000000007</v>
      </c>
      <c r="DD70" s="163">
        <v>640</v>
      </c>
      <c r="DE70" s="32">
        <v>730</v>
      </c>
      <c r="DF70" s="163">
        <v>800</v>
      </c>
      <c r="DG70" s="32">
        <v>940</v>
      </c>
      <c r="DH70" s="61">
        <v>200000</v>
      </c>
      <c r="DI70" s="29" t="s">
        <v>4573</v>
      </c>
      <c r="DJ70" s="163" t="s">
        <v>6055</v>
      </c>
      <c r="DK70" s="297" t="s">
        <v>4566</v>
      </c>
    </row>
    <row r="71" spans="1:115">
      <c r="A71" s="18">
        <v>66</v>
      </c>
      <c r="B71" s="326"/>
      <c r="C71" s="326"/>
      <c r="D71" s="346"/>
      <c r="E71" s="334"/>
      <c r="F71" s="326"/>
      <c r="G71" s="329"/>
      <c r="H71" s="329"/>
      <c r="I71" s="329"/>
      <c r="J71" s="41" t="s">
        <v>4488</v>
      </c>
      <c r="K71" s="306" t="s">
        <v>4383</v>
      </c>
      <c r="L71" s="163" t="s">
        <v>5792</v>
      </c>
      <c r="M71" s="306" t="s">
        <v>4509</v>
      </c>
      <c r="N71" s="163" t="s">
        <v>4703</v>
      </c>
      <c r="O71" s="18" t="s">
        <v>4507</v>
      </c>
      <c r="P71" s="163" t="s">
        <v>4420</v>
      </c>
      <c r="Q71" s="163" t="s">
        <v>4420</v>
      </c>
      <c r="R71" s="163" t="s">
        <v>4420</v>
      </c>
      <c r="S71" s="163" t="s">
        <v>5792</v>
      </c>
      <c r="T71" s="163" t="s">
        <v>4420</v>
      </c>
      <c r="U71" s="163" t="s">
        <v>5792</v>
      </c>
      <c r="V71" s="163" t="s">
        <v>4559</v>
      </c>
      <c r="W71" s="18">
        <v>6</v>
      </c>
      <c r="X71" s="231">
        <v>0</v>
      </c>
      <c r="Y71" s="142">
        <v>0</v>
      </c>
      <c r="Z71" s="306" t="s">
        <v>4021</v>
      </c>
      <c r="AA71" s="21">
        <f>INDEX('[2]Cross-Section Database'!$C$2:$V$2928,MATCH(Z71,'[2]Cross-Section Database'!$B$2:$B$2928,0),3)</f>
        <v>478</v>
      </c>
      <c r="AB71" s="21">
        <f>INDEX('[2]Cross-Section Database'!$C$2:$V$2928,MATCH(Z71,'[2]Cross-Section Database'!$B$2:$B$2928,0),4)</f>
        <v>307</v>
      </c>
      <c r="AC71" s="21">
        <f>INDEX('[2]Cross-Section Database'!$C$2:$V$2928,MATCH(Z71,'[2]Cross-Section Database'!$B$2:$B$2928,0),6)</f>
        <v>40</v>
      </c>
      <c r="AD71" s="21">
        <f>INDEX('[2]Cross-Section Database'!$C$2:$V$2928,MATCH(Z71,'[2]Cross-Section Database'!$B$2:$B$2928,0),5)</f>
        <v>21</v>
      </c>
      <c r="AE71" s="228">
        <v>1300</v>
      </c>
      <c r="AF71" s="306" t="s">
        <v>3922</v>
      </c>
      <c r="AG71" s="21">
        <f>INDEX('[2]Cross-Section Database'!$C$2:$V$2928,MATCH(AF71,'[2]Cross-Section Database'!$B$2:$B$2928,0),3)</f>
        <v>400</v>
      </c>
      <c r="AH71" s="21">
        <f>INDEX('[2]Cross-Section Database'!$C$2:$V$2928,MATCH(AF71,'[2]Cross-Section Database'!$B$2:$B$2928,0),4)</f>
        <v>180</v>
      </c>
      <c r="AI71" s="21">
        <f>INDEX('[2]Cross-Section Database'!$C$2:$V$2928,MATCH(AF71,'[2]Cross-Section Database'!$B$2:$B$2928,0),6)</f>
        <v>13.5</v>
      </c>
      <c r="AJ71" s="21">
        <f>INDEX('[2]Cross-Section Database'!$C$2:$V$2928,MATCH(AF71,'[2]Cross-Section Database'!$B$2:$B$2928,0),5)</f>
        <v>8.6</v>
      </c>
      <c r="AK71" s="255">
        <v>1100</v>
      </c>
      <c r="AL71" s="21">
        <f>INDEX('[2]Cross-Section Database'!$C$2:$V$3928,MATCH(AF71,'[2]Cross-Section Database'!$B$2:$B$3928,0),11)</f>
        <v>231300000</v>
      </c>
      <c r="AM71" s="24">
        <f>INDEX('[2]Cross-Section Database'!$C$2:$V$3928,MATCH(AF71,'[2]Cross-Section Database'!$B$2:$B$3928,0),12)</f>
        <v>1307000</v>
      </c>
      <c r="AN71" s="21">
        <v>16</v>
      </c>
      <c r="AO71" s="21">
        <v>180</v>
      </c>
      <c r="AP71" s="21">
        <v>400</v>
      </c>
      <c r="AQ71" s="21">
        <f t="shared" si="16"/>
        <v>0</v>
      </c>
      <c r="AR71" s="21">
        <v>0</v>
      </c>
      <c r="AS71" s="306" t="s">
        <v>5807</v>
      </c>
      <c r="AT71" s="163" t="s">
        <v>6134</v>
      </c>
      <c r="AU71" s="163">
        <v>90</v>
      </c>
      <c r="AV71" s="163">
        <v>24</v>
      </c>
      <c r="AW71" s="163">
        <f t="shared" si="11"/>
        <v>353</v>
      </c>
      <c r="AX71" s="21">
        <v>55</v>
      </c>
      <c r="AY71" s="21">
        <v>55</v>
      </c>
      <c r="AZ71" s="21">
        <v>70</v>
      </c>
      <c r="BA71" s="21">
        <v>100</v>
      </c>
      <c r="BB71" s="21">
        <v>220</v>
      </c>
      <c r="BC71" s="15" t="s">
        <v>4420</v>
      </c>
      <c r="BD71" s="163" t="s">
        <v>4465</v>
      </c>
      <c r="BE71" s="163" t="s">
        <v>6209</v>
      </c>
      <c r="BF71" s="163">
        <v>4</v>
      </c>
      <c r="BG71" s="163">
        <v>6</v>
      </c>
      <c r="BH71" s="202" t="s">
        <v>5792</v>
      </c>
      <c r="BI71" s="203" t="s">
        <v>5792</v>
      </c>
      <c r="BJ71" s="203" t="s">
        <v>5792</v>
      </c>
      <c r="BK71" s="203" t="s">
        <v>5792</v>
      </c>
      <c r="BL71" s="203" t="s">
        <v>5792</v>
      </c>
      <c r="BM71" s="203" t="s">
        <v>5792</v>
      </c>
      <c r="BN71" s="203" t="s">
        <v>5792</v>
      </c>
      <c r="BO71" s="203" t="s">
        <v>5792</v>
      </c>
      <c r="BP71" s="202" t="s">
        <v>5792</v>
      </c>
      <c r="BQ71" s="203" t="s">
        <v>5792</v>
      </c>
      <c r="BR71" s="203" t="s">
        <v>5792</v>
      </c>
      <c r="BS71" s="203" t="s">
        <v>5792</v>
      </c>
      <c r="BT71" s="203" t="s">
        <v>5792</v>
      </c>
      <c r="BU71" s="203" t="s">
        <v>5792</v>
      </c>
      <c r="BV71" s="218" t="s">
        <v>5792</v>
      </c>
      <c r="BW71" s="203" t="s">
        <v>5792</v>
      </c>
      <c r="BX71" s="203" t="s">
        <v>5792</v>
      </c>
      <c r="BY71" s="203" t="s">
        <v>5792</v>
      </c>
      <c r="BZ71" s="203" t="s">
        <v>5792</v>
      </c>
      <c r="CA71" s="203" t="s">
        <v>5792</v>
      </c>
      <c r="CB71" s="218" t="s">
        <v>5792</v>
      </c>
      <c r="CC71" s="32" t="s">
        <v>4449</v>
      </c>
      <c r="CD71" s="47">
        <v>235</v>
      </c>
      <c r="CE71" s="32">
        <v>300</v>
      </c>
      <c r="CF71" s="47">
        <v>360</v>
      </c>
      <c r="CG71" s="32">
        <v>450</v>
      </c>
      <c r="CH71" s="67">
        <v>200000</v>
      </c>
      <c r="CI71" s="107" t="s">
        <v>4449</v>
      </c>
      <c r="CJ71" s="47">
        <v>235</v>
      </c>
      <c r="CK71" s="32">
        <v>300</v>
      </c>
      <c r="CL71" s="60">
        <v>360</v>
      </c>
      <c r="CM71" s="32">
        <v>450</v>
      </c>
      <c r="CN71" s="67">
        <v>200000</v>
      </c>
      <c r="CO71" s="32" t="s">
        <v>4449</v>
      </c>
      <c r="CP71" s="47">
        <v>235</v>
      </c>
      <c r="CQ71" s="163">
        <v>286</v>
      </c>
      <c r="CR71" s="60">
        <v>360</v>
      </c>
      <c r="CS71" s="32">
        <v>450</v>
      </c>
      <c r="CT71" s="61">
        <v>200000</v>
      </c>
      <c r="CU71" s="207" t="s">
        <v>5792</v>
      </c>
      <c r="CV71" s="208" t="s">
        <v>5792</v>
      </c>
      <c r="CW71" s="208" t="s">
        <v>5792</v>
      </c>
      <c r="CX71" s="209" t="s">
        <v>5792</v>
      </c>
      <c r="CY71" s="207" t="s">
        <v>5792</v>
      </c>
      <c r="CZ71" s="208" t="s">
        <v>5792</v>
      </c>
      <c r="DA71" s="209" t="s">
        <v>5792</v>
      </c>
      <c r="DB71" s="283" t="s">
        <v>5792</v>
      </c>
      <c r="DC71" s="163">
        <v>8.8000000000000007</v>
      </c>
      <c r="DD71" s="163">
        <v>640</v>
      </c>
      <c r="DE71" s="32">
        <v>730</v>
      </c>
      <c r="DF71" s="163">
        <v>800</v>
      </c>
      <c r="DG71" s="32">
        <v>940</v>
      </c>
      <c r="DH71" s="61">
        <v>200000</v>
      </c>
      <c r="DI71" s="29" t="s">
        <v>4573</v>
      </c>
      <c r="DJ71" s="163" t="s">
        <v>6055</v>
      </c>
      <c r="DK71" s="297" t="s">
        <v>4566</v>
      </c>
    </row>
    <row r="72" spans="1:115">
      <c r="A72" s="18">
        <v>67</v>
      </c>
      <c r="B72" s="326"/>
      <c r="C72" s="326"/>
      <c r="D72" s="346"/>
      <c r="E72" s="334"/>
      <c r="F72" s="326"/>
      <c r="G72" s="329"/>
      <c r="H72" s="329"/>
      <c r="I72" s="329"/>
      <c r="J72" s="41" t="s">
        <v>4489</v>
      </c>
      <c r="K72" s="306" t="s">
        <v>4383</v>
      </c>
      <c r="L72" s="163" t="s">
        <v>5792</v>
      </c>
      <c r="M72" s="306" t="s">
        <v>4509</v>
      </c>
      <c r="N72" s="163" t="s">
        <v>4703</v>
      </c>
      <c r="O72" s="18" t="s">
        <v>4507</v>
      </c>
      <c r="P72" s="163" t="s">
        <v>4420</v>
      </c>
      <c r="Q72" s="163" t="s">
        <v>4420</v>
      </c>
      <c r="R72" s="163" t="s">
        <v>4420</v>
      </c>
      <c r="S72" s="163" t="s">
        <v>5792</v>
      </c>
      <c r="T72" s="163" t="s">
        <v>4420</v>
      </c>
      <c r="U72" s="163" t="s">
        <v>5792</v>
      </c>
      <c r="V72" s="163" t="s">
        <v>4559</v>
      </c>
      <c r="W72" s="18">
        <v>6</v>
      </c>
      <c r="X72" s="231">
        <v>0</v>
      </c>
      <c r="Y72" s="142">
        <v>0</v>
      </c>
      <c r="Z72" s="306" t="s">
        <v>4021</v>
      </c>
      <c r="AA72" s="21">
        <f>INDEX('[2]Cross-Section Database'!$C$2:$V$2928,MATCH(Z72,'[2]Cross-Section Database'!$B$2:$B$2928,0),3)</f>
        <v>478</v>
      </c>
      <c r="AB72" s="21">
        <f>INDEX('[2]Cross-Section Database'!$C$2:$V$2928,MATCH(Z72,'[2]Cross-Section Database'!$B$2:$B$2928,0),4)</f>
        <v>307</v>
      </c>
      <c r="AC72" s="21">
        <f>INDEX('[2]Cross-Section Database'!$C$2:$V$2928,MATCH(Z72,'[2]Cross-Section Database'!$B$2:$B$2928,0),6)</f>
        <v>40</v>
      </c>
      <c r="AD72" s="21">
        <f>INDEX('[2]Cross-Section Database'!$C$2:$V$2928,MATCH(Z72,'[2]Cross-Section Database'!$B$2:$B$2928,0),5)</f>
        <v>21</v>
      </c>
      <c r="AE72" s="228">
        <v>1300</v>
      </c>
      <c r="AF72" s="306" t="s">
        <v>3922</v>
      </c>
      <c r="AG72" s="21">
        <f>INDEX('[2]Cross-Section Database'!$C$2:$V$2928,MATCH(AF72,'[2]Cross-Section Database'!$B$2:$B$2928,0),3)</f>
        <v>400</v>
      </c>
      <c r="AH72" s="21">
        <f>INDEX('[2]Cross-Section Database'!$C$2:$V$2928,MATCH(AF72,'[2]Cross-Section Database'!$B$2:$B$2928,0),4)</f>
        <v>180</v>
      </c>
      <c r="AI72" s="21">
        <f>INDEX('[2]Cross-Section Database'!$C$2:$V$2928,MATCH(AF72,'[2]Cross-Section Database'!$B$2:$B$2928,0),6)</f>
        <v>13.5</v>
      </c>
      <c r="AJ72" s="21">
        <f>INDEX('[2]Cross-Section Database'!$C$2:$V$2928,MATCH(AF72,'[2]Cross-Section Database'!$B$2:$B$2928,0),5)</f>
        <v>8.6</v>
      </c>
      <c r="AK72" s="255">
        <v>1100</v>
      </c>
      <c r="AL72" s="21">
        <f>INDEX('[2]Cross-Section Database'!$C$2:$V$3928,MATCH(AF72,'[2]Cross-Section Database'!$B$2:$B$3928,0),11)</f>
        <v>231300000</v>
      </c>
      <c r="AM72" s="24">
        <f>INDEX('[2]Cross-Section Database'!$C$2:$V$3928,MATCH(AF72,'[2]Cross-Section Database'!$B$2:$B$3928,0),12)</f>
        <v>1307000</v>
      </c>
      <c r="AN72" s="21">
        <v>16</v>
      </c>
      <c r="AO72" s="21">
        <v>180</v>
      </c>
      <c r="AP72" s="21">
        <v>400</v>
      </c>
      <c r="AQ72" s="21">
        <f t="shared" si="16"/>
        <v>0</v>
      </c>
      <c r="AR72" s="21">
        <v>0</v>
      </c>
      <c r="AS72" s="306" t="s">
        <v>5807</v>
      </c>
      <c r="AT72" s="163" t="s">
        <v>6134</v>
      </c>
      <c r="AU72" s="163">
        <v>70</v>
      </c>
      <c r="AV72" s="163">
        <v>24</v>
      </c>
      <c r="AW72" s="163">
        <f t="shared" si="11"/>
        <v>353</v>
      </c>
      <c r="AX72" s="21">
        <v>55</v>
      </c>
      <c r="AY72" s="21">
        <v>55</v>
      </c>
      <c r="AZ72" s="21">
        <v>0</v>
      </c>
      <c r="BA72" s="21">
        <v>100</v>
      </c>
      <c r="BB72" s="21">
        <v>290</v>
      </c>
      <c r="BC72" s="15" t="s">
        <v>4470</v>
      </c>
      <c r="BD72" s="163" t="s">
        <v>6209</v>
      </c>
      <c r="BE72" s="163" t="s">
        <v>6209</v>
      </c>
      <c r="BF72" s="163">
        <v>2</v>
      </c>
      <c r="BG72" s="163">
        <v>4</v>
      </c>
      <c r="BH72" s="202" t="s">
        <v>5792</v>
      </c>
      <c r="BI72" s="203" t="s">
        <v>5792</v>
      </c>
      <c r="BJ72" s="203" t="s">
        <v>5792</v>
      </c>
      <c r="BK72" s="203" t="s">
        <v>5792</v>
      </c>
      <c r="BL72" s="203" t="s">
        <v>5792</v>
      </c>
      <c r="BM72" s="203" t="s">
        <v>5792</v>
      </c>
      <c r="BN72" s="203" t="s">
        <v>5792</v>
      </c>
      <c r="BO72" s="203" t="s">
        <v>5792</v>
      </c>
      <c r="BP72" s="202" t="s">
        <v>5792</v>
      </c>
      <c r="BQ72" s="203" t="s">
        <v>5792</v>
      </c>
      <c r="BR72" s="203" t="s">
        <v>5792</v>
      </c>
      <c r="BS72" s="203" t="s">
        <v>5792</v>
      </c>
      <c r="BT72" s="203" t="s">
        <v>5792</v>
      </c>
      <c r="BU72" s="203" t="s">
        <v>5792</v>
      </c>
      <c r="BV72" s="218" t="s">
        <v>5792</v>
      </c>
      <c r="BW72" s="203" t="s">
        <v>5792</v>
      </c>
      <c r="BX72" s="203" t="s">
        <v>5792</v>
      </c>
      <c r="BY72" s="203" t="s">
        <v>5792</v>
      </c>
      <c r="BZ72" s="203" t="s">
        <v>5792</v>
      </c>
      <c r="CA72" s="203" t="s">
        <v>5792</v>
      </c>
      <c r="CB72" s="218" t="s">
        <v>5792</v>
      </c>
      <c r="CC72" s="32" t="s">
        <v>4449</v>
      </c>
      <c r="CD72" s="47">
        <v>235</v>
      </c>
      <c r="CE72" s="32">
        <v>300</v>
      </c>
      <c r="CF72" s="47">
        <v>360</v>
      </c>
      <c r="CG72" s="32">
        <v>450</v>
      </c>
      <c r="CH72" s="67">
        <v>200000</v>
      </c>
      <c r="CI72" s="107" t="s">
        <v>4449</v>
      </c>
      <c r="CJ72" s="47">
        <v>235</v>
      </c>
      <c r="CK72" s="32">
        <v>300</v>
      </c>
      <c r="CL72" s="60">
        <v>360</v>
      </c>
      <c r="CM72" s="32">
        <v>450</v>
      </c>
      <c r="CN72" s="67">
        <v>200000</v>
      </c>
      <c r="CO72" s="32" t="s">
        <v>4449</v>
      </c>
      <c r="CP72" s="47">
        <v>235</v>
      </c>
      <c r="CQ72" s="163">
        <v>286</v>
      </c>
      <c r="CR72" s="60">
        <v>360</v>
      </c>
      <c r="CS72" s="32">
        <v>450</v>
      </c>
      <c r="CT72" s="61">
        <v>200000</v>
      </c>
      <c r="CU72" s="207" t="s">
        <v>5792</v>
      </c>
      <c r="CV72" s="208" t="s">
        <v>5792</v>
      </c>
      <c r="CW72" s="208" t="s">
        <v>5792</v>
      </c>
      <c r="CX72" s="209" t="s">
        <v>5792</v>
      </c>
      <c r="CY72" s="207" t="s">
        <v>5792</v>
      </c>
      <c r="CZ72" s="208" t="s">
        <v>5792</v>
      </c>
      <c r="DA72" s="209" t="s">
        <v>5792</v>
      </c>
      <c r="DB72" s="283" t="s">
        <v>5792</v>
      </c>
      <c r="DC72" s="163">
        <v>8.8000000000000007</v>
      </c>
      <c r="DD72" s="163">
        <v>640</v>
      </c>
      <c r="DE72" s="32">
        <v>730</v>
      </c>
      <c r="DF72" s="163">
        <v>800</v>
      </c>
      <c r="DG72" s="32">
        <v>940</v>
      </c>
      <c r="DH72" s="61">
        <v>200000</v>
      </c>
      <c r="DI72" s="29" t="s">
        <v>4573</v>
      </c>
      <c r="DJ72" s="163" t="s">
        <v>6055</v>
      </c>
      <c r="DK72" s="297" t="s">
        <v>4566</v>
      </c>
    </row>
    <row r="73" spans="1:115">
      <c r="A73" s="18">
        <v>68</v>
      </c>
      <c r="B73" s="326"/>
      <c r="C73" s="326"/>
      <c r="D73" s="346"/>
      <c r="E73" s="334"/>
      <c r="F73" s="326"/>
      <c r="G73" s="329"/>
      <c r="H73" s="329"/>
      <c r="I73" s="329"/>
      <c r="J73" s="41" t="s">
        <v>4490</v>
      </c>
      <c r="K73" s="306" t="s">
        <v>4383</v>
      </c>
      <c r="L73" s="163" t="s">
        <v>5792</v>
      </c>
      <c r="M73" s="306" t="s">
        <v>4509</v>
      </c>
      <c r="N73" s="163" t="s">
        <v>4703</v>
      </c>
      <c r="O73" s="18" t="s">
        <v>4507</v>
      </c>
      <c r="P73" s="163" t="s">
        <v>4420</v>
      </c>
      <c r="Q73" s="163" t="s">
        <v>4420</v>
      </c>
      <c r="R73" s="163" t="s">
        <v>4420</v>
      </c>
      <c r="S73" s="163" t="s">
        <v>5792</v>
      </c>
      <c r="T73" s="163" t="s">
        <v>4420</v>
      </c>
      <c r="U73" s="163" t="s">
        <v>5792</v>
      </c>
      <c r="V73" s="163" t="s">
        <v>4559</v>
      </c>
      <c r="W73" s="18">
        <v>6</v>
      </c>
      <c r="X73" s="231">
        <v>0</v>
      </c>
      <c r="Y73" s="142">
        <v>0</v>
      </c>
      <c r="Z73" s="306" t="s">
        <v>4021</v>
      </c>
      <c r="AA73" s="21">
        <f>INDEX('[2]Cross-Section Database'!$C$2:$V$2928,MATCH(Z73,'[2]Cross-Section Database'!$B$2:$B$2928,0),3)</f>
        <v>478</v>
      </c>
      <c r="AB73" s="21">
        <f>INDEX('[2]Cross-Section Database'!$C$2:$V$2928,MATCH(Z73,'[2]Cross-Section Database'!$B$2:$B$2928,0),4)</f>
        <v>307</v>
      </c>
      <c r="AC73" s="21">
        <f>INDEX('[2]Cross-Section Database'!$C$2:$V$2928,MATCH(Z73,'[2]Cross-Section Database'!$B$2:$B$2928,0),6)</f>
        <v>40</v>
      </c>
      <c r="AD73" s="21">
        <f>INDEX('[2]Cross-Section Database'!$C$2:$V$2928,MATCH(Z73,'[2]Cross-Section Database'!$B$2:$B$2928,0),5)</f>
        <v>21</v>
      </c>
      <c r="AE73" s="228">
        <v>1300</v>
      </c>
      <c r="AF73" s="306" t="s">
        <v>3922</v>
      </c>
      <c r="AG73" s="21">
        <f>INDEX('[2]Cross-Section Database'!$C$2:$V$2928,MATCH(AF73,'[2]Cross-Section Database'!$B$2:$B$2928,0),3)</f>
        <v>400</v>
      </c>
      <c r="AH73" s="21">
        <f>INDEX('[2]Cross-Section Database'!$C$2:$V$2928,MATCH(AF73,'[2]Cross-Section Database'!$B$2:$B$2928,0),4)</f>
        <v>180</v>
      </c>
      <c r="AI73" s="21">
        <f>INDEX('[2]Cross-Section Database'!$C$2:$V$2928,MATCH(AF73,'[2]Cross-Section Database'!$B$2:$B$2928,0),6)</f>
        <v>13.5</v>
      </c>
      <c r="AJ73" s="21">
        <f>INDEX('[2]Cross-Section Database'!$C$2:$V$2928,MATCH(AF73,'[2]Cross-Section Database'!$B$2:$B$2928,0),5)</f>
        <v>8.6</v>
      </c>
      <c r="AK73" s="255">
        <v>1100</v>
      </c>
      <c r="AL73" s="21">
        <f>INDEX('[2]Cross-Section Database'!$C$2:$V$3928,MATCH(AF73,'[2]Cross-Section Database'!$B$2:$B$3928,0),11)</f>
        <v>231300000</v>
      </c>
      <c r="AM73" s="24">
        <f>INDEX('[2]Cross-Section Database'!$C$2:$V$3928,MATCH(AF73,'[2]Cross-Section Database'!$B$2:$B$3928,0),12)</f>
        <v>1307000</v>
      </c>
      <c r="AN73" s="21">
        <v>16</v>
      </c>
      <c r="AO73" s="21">
        <v>180</v>
      </c>
      <c r="AP73" s="21">
        <v>400</v>
      </c>
      <c r="AQ73" s="21">
        <f t="shared" si="16"/>
        <v>0</v>
      </c>
      <c r="AR73" s="21">
        <v>0</v>
      </c>
      <c r="AS73" s="306" t="s">
        <v>5807</v>
      </c>
      <c r="AT73" s="163" t="s">
        <v>6134</v>
      </c>
      <c r="AU73" s="163">
        <v>70</v>
      </c>
      <c r="AV73" s="163">
        <v>24</v>
      </c>
      <c r="AW73" s="163">
        <f t="shared" si="11"/>
        <v>353</v>
      </c>
      <c r="AX73" s="21">
        <v>125</v>
      </c>
      <c r="AY73" s="21">
        <v>55</v>
      </c>
      <c r="AZ73" s="21">
        <v>0</v>
      </c>
      <c r="BA73" s="21">
        <v>100</v>
      </c>
      <c r="BB73" s="21">
        <v>220</v>
      </c>
      <c r="BC73" s="15" t="s">
        <v>4470</v>
      </c>
      <c r="BD73" s="163" t="s">
        <v>6209</v>
      </c>
      <c r="BE73" s="163" t="s">
        <v>6209</v>
      </c>
      <c r="BF73" s="163">
        <v>2</v>
      </c>
      <c r="BG73" s="163">
        <v>4</v>
      </c>
      <c r="BH73" s="202" t="s">
        <v>5792</v>
      </c>
      <c r="BI73" s="203" t="s">
        <v>5792</v>
      </c>
      <c r="BJ73" s="203" t="s">
        <v>5792</v>
      </c>
      <c r="BK73" s="203" t="s">
        <v>5792</v>
      </c>
      <c r="BL73" s="203" t="s">
        <v>5792</v>
      </c>
      <c r="BM73" s="203" t="s">
        <v>5792</v>
      </c>
      <c r="BN73" s="203" t="s">
        <v>5792</v>
      </c>
      <c r="BO73" s="203" t="s">
        <v>5792</v>
      </c>
      <c r="BP73" s="202" t="s">
        <v>5792</v>
      </c>
      <c r="BQ73" s="203" t="s">
        <v>5792</v>
      </c>
      <c r="BR73" s="203" t="s">
        <v>5792</v>
      </c>
      <c r="BS73" s="203" t="s">
        <v>5792</v>
      </c>
      <c r="BT73" s="203" t="s">
        <v>5792</v>
      </c>
      <c r="BU73" s="203" t="s">
        <v>5792</v>
      </c>
      <c r="BV73" s="218" t="s">
        <v>5792</v>
      </c>
      <c r="BW73" s="203" t="s">
        <v>5792</v>
      </c>
      <c r="BX73" s="203" t="s">
        <v>5792</v>
      </c>
      <c r="BY73" s="203" t="s">
        <v>5792</v>
      </c>
      <c r="BZ73" s="203" t="s">
        <v>5792</v>
      </c>
      <c r="CA73" s="203" t="s">
        <v>5792</v>
      </c>
      <c r="CB73" s="218" t="s">
        <v>5792</v>
      </c>
      <c r="CC73" s="32" t="s">
        <v>4449</v>
      </c>
      <c r="CD73" s="47">
        <v>235</v>
      </c>
      <c r="CE73" s="32">
        <v>300</v>
      </c>
      <c r="CF73" s="47">
        <v>360</v>
      </c>
      <c r="CG73" s="32">
        <v>450</v>
      </c>
      <c r="CH73" s="67">
        <v>200000</v>
      </c>
      <c r="CI73" s="107" t="s">
        <v>4449</v>
      </c>
      <c r="CJ73" s="47">
        <v>235</v>
      </c>
      <c r="CK73" s="32">
        <v>300</v>
      </c>
      <c r="CL73" s="60">
        <v>360</v>
      </c>
      <c r="CM73" s="32">
        <v>450</v>
      </c>
      <c r="CN73" s="67">
        <v>200000</v>
      </c>
      <c r="CO73" s="32" t="s">
        <v>4449</v>
      </c>
      <c r="CP73" s="47">
        <v>235</v>
      </c>
      <c r="CQ73" s="163">
        <v>286</v>
      </c>
      <c r="CR73" s="60">
        <v>360</v>
      </c>
      <c r="CS73" s="32">
        <v>450</v>
      </c>
      <c r="CT73" s="61">
        <v>200000</v>
      </c>
      <c r="CU73" s="207" t="s">
        <v>5792</v>
      </c>
      <c r="CV73" s="208" t="s">
        <v>5792</v>
      </c>
      <c r="CW73" s="208" t="s">
        <v>5792</v>
      </c>
      <c r="CX73" s="209" t="s">
        <v>5792</v>
      </c>
      <c r="CY73" s="207" t="s">
        <v>5792</v>
      </c>
      <c r="CZ73" s="208" t="s">
        <v>5792</v>
      </c>
      <c r="DA73" s="209" t="s">
        <v>5792</v>
      </c>
      <c r="DB73" s="283" t="s">
        <v>5792</v>
      </c>
      <c r="DC73" s="163">
        <v>8.8000000000000007</v>
      </c>
      <c r="DD73" s="163">
        <v>640</v>
      </c>
      <c r="DE73" s="32">
        <v>730</v>
      </c>
      <c r="DF73" s="163">
        <v>800</v>
      </c>
      <c r="DG73" s="32">
        <v>940</v>
      </c>
      <c r="DH73" s="61">
        <v>200000</v>
      </c>
      <c r="DI73" s="29" t="s">
        <v>4573</v>
      </c>
      <c r="DJ73" s="163" t="s">
        <v>6055</v>
      </c>
      <c r="DK73" s="297" t="s">
        <v>4566</v>
      </c>
    </row>
    <row r="74" spans="1:115">
      <c r="A74" s="18">
        <v>69</v>
      </c>
      <c r="B74" s="326"/>
      <c r="C74" s="326"/>
      <c r="D74" s="346"/>
      <c r="E74" s="334"/>
      <c r="F74" s="326"/>
      <c r="G74" s="329"/>
      <c r="H74" s="329"/>
      <c r="I74" s="329"/>
      <c r="J74" s="41" t="s">
        <v>4491</v>
      </c>
      <c r="K74" s="306" t="s">
        <v>4383</v>
      </c>
      <c r="L74" s="163" t="s">
        <v>5792</v>
      </c>
      <c r="M74" s="306" t="s">
        <v>4509</v>
      </c>
      <c r="N74" s="163" t="s">
        <v>4703</v>
      </c>
      <c r="O74" s="18" t="s">
        <v>4507</v>
      </c>
      <c r="P74" s="163" t="s">
        <v>4420</v>
      </c>
      <c r="Q74" s="163" t="s">
        <v>4420</v>
      </c>
      <c r="R74" s="163" t="s">
        <v>4420</v>
      </c>
      <c r="S74" s="163" t="s">
        <v>5792</v>
      </c>
      <c r="T74" s="163" t="s">
        <v>4420</v>
      </c>
      <c r="U74" s="163" t="s">
        <v>5792</v>
      </c>
      <c r="V74" s="163" t="s">
        <v>4559</v>
      </c>
      <c r="W74" s="18">
        <v>10</v>
      </c>
      <c r="X74" s="231">
        <v>0</v>
      </c>
      <c r="Y74" s="142">
        <v>0</v>
      </c>
      <c r="Z74" s="306" t="s">
        <v>4021</v>
      </c>
      <c r="AA74" s="21">
        <f>INDEX('[2]Cross-Section Database'!$C$2:$V$2928,MATCH(Z74,'[2]Cross-Section Database'!$B$2:$B$2928,0),3)</f>
        <v>478</v>
      </c>
      <c r="AB74" s="21">
        <f>INDEX('[2]Cross-Section Database'!$C$2:$V$2928,MATCH(Z74,'[2]Cross-Section Database'!$B$2:$B$2928,0),4)</f>
        <v>307</v>
      </c>
      <c r="AC74" s="21">
        <f>INDEX('[2]Cross-Section Database'!$C$2:$V$2928,MATCH(Z74,'[2]Cross-Section Database'!$B$2:$B$2928,0),6)</f>
        <v>40</v>
      </c>
      <c r="AD74" s="21">
        <f>INDEX('[2]Cross-Section Database'!$C$2:$V$2928,MATCH(Z74,'[2]Cross-Section Database'!$B$2:$B$2928,0),5)</f>
        <v>21</v>
      </c>
      <c r="AE74" s="228">
        <v>1300</v>
      </c>
      <c r="AF74" s="306" t="s">
        <v>3922</v>
      </c>
      <c r="AG74" s="21">
        <f>INDEX('[2]Cross-Section Database'!$C$2:$V$2928,MATCH(AF74,'[2]Cross-Section Database'!$B$2:$B$2928,0),3)</f>
        <v>400</v>
      </c>
      <c r="AH74" s="21">
        <f>INDEX('[2]Cross-Section Database'!$C$2:$V$2928,MATCH(AF74,'[2]Cross-Section Database'!$B$2:$B$2928,0),4)</f>
        <v>180</v>
      </c>
      <c r="AI74" s="21">
        <f>INDEX('[2]Cross-Section Database'!$C$2:$V$2928,MATCH(AF74,'[2]Cross-Section Database'!$B$2:$B$2928,0),6)</f>
        <v>13.5</v>
      </c>
      <c r="AJ74" s="21">
        <f>INDEX('[2]Cross-Section Database'!$C$2:$V$2928,MATCH(AF74,'[2]Cross-Section Database'!$B$2:$B$2928,0),5)</f>
        <v>8.6</v>
      </c>
      <c r="AK74" s="255">
        <v>1100</v>
      </c>
      <c r="AL74" s="21">
        <f>INDEX('[2]Cross-Section Database'!$C$2:$V$3928,MATCH(AF74,'[2]Cross-Section Database'!$B$2:$B$3928,0),11)</f>
        <v>231300000</v>
      </c>
      <c r="AM74" s="24">
        <f>INDEX('[2]Cross-Section Database'!$C$2:$V$3928,MATCH(AF74,'[2]Cross-Section Database'!$B$2:$B$3928,0),12)</f>
        <v>1307000</v>
      </c>
      <c r="AN74" s="163">
        <v>32</v>
      </c>
      <c r="AO74" s="163">
        <v>180</v>
      </c>
      <c r="AP74" s="163">
        <v>400</v>
      </c>
      <c r="AQ74" s="21">
        <f t="shared" si="16"/>
        <v>0</v>
      </c>
      <c r="AR74" s="21">
        <v>0</v>
      </c>
      <c r="AS74" s="306" t="s">
        <v>5807</v>
      </c>
      <c r="AT74" s="163" t="s">
        <v>6134</v>
      </c>
      <c r="AU74" s="163">
        <v>20</v>
      </c>
      <c r="AV74" s="163">
        <v>24</v>
      </c>
      <c r="AW74" s="163">
        <f t="shared" si="11"/>
        <v>353</v>
      </c>
      <c r="AX74" s="21">
        <v>55</v>
      </c>
      <c r="AY74" s="21">
        <v>55</v>
      </c>
      <c r="AZ74" s="21">
        <v>70</v>
      </c>
      <c r="BA74" s="21">
        <v>100</v>
      </c>
      <c r="BB74" s="21">
        <v>220</v>
      </c>
      <c r="BC74" s="15" t="s">
        <v>4420</v>
      </c>
      <c r="BD74" s="163" t="s">
        <v>4465</v>
      </c>
      <c r="BE74" s="163" t="s">
        <v>6209</v>
      </c>
      <c r="BF74" s="163">
        <v>4</v>
      </c>
      <c r="BG74" s="163">
        <v>6</v>
      </c>
      <c r="BH74" s="202" t="s">
        <v>5792</v>
      </c>
      <c r="BI74" s="203" t="s">
        <v>5792</v>
      </c>
      <c r="BJ74" s="203" t="s">
        <v>5792</v>
      </c>
      <c r="BK74" s="203" t="s">
        <v>5792</v>
      </c>
      <c r="BL74" s="203" t="s">
        <v>5792</v>
      </c>
      <c r="BM74" s="203" t="s">
        <v>5792</v>
      </c>
      <c r="BN74" s="203" t="s">
        <v>5792</v>
      </c>
      <c r="BO74" s="203" t="s">
        <v>5792</v>
      </c>
      <c r="BP74" s="202" t="s">
        <v>5792</v>
      </c>
      <c r="BQ74" s="203" t="s">
        <v>5792</v>
      </c>
      <c r="BR74" s="203" t="s">
        <v>5792</v>
      </c>
      <c r="BS74" s="203" t="s">
        <v>5792</v>
      </c>
      <c r="BT74" s="203" t="s">
        <v>5792</v>
      </c>
      <c r="BU74" s="203" t="s">
        <v>5792</v>
      </c>
      <c r="BV74" s="218" t="s">
        <v>5792</v>
      </c>
      <c r="BW74" s="203" t="s">
        <v>5792</v>
      </c>
      <c r="BX74" s="203" t="s">
        <v>5792</v>
      </c>
      <c r="BY74" s="203" t="s">
        <v>5792</v>
      </c>
      <c r="BZ74" s="203" t="s">
        <v>5792</v>
      </c>
      <c r="CA74" s="203" t="s">
        <v>5792</v>
      </c>
      <c r="CB74" s="218" t="s">
        <v>5792</v>
      </c>
      <c r="CC74" s="32" t="s">
        <v>4449</v>
      </c>
      <c r="CD74" s="47">
        <v>235</v>
      </c>
      <c r="CE74" s="32">
        <v>300</v>
      </c>
      <c r="CF74" s="47">
        <v>360</v>
      </c>
      <c r="CG74" s="32">
        <v>450</v>
      </c>
      <c r="CH74" s="67">
        <v>200000</v>
      </c>
      <c r="CI74" s="107" t="s">
        <v>4449</v>
      </c>
      <c r="CJ74" s="47">
        <v>235</v>
      </c>
      <c r="CK74" s="32">
        <v>300</v>
      </c>
      <c r="CL74" s="60">
        <v>360</v>
      </c>
      <c r="CM74" s="32">
        <v>450</v>
      </c>
      <c r="CN74" s="67">
        <v>200000</v>
      </c>
      <c r="CO74" s="32" t="s">
        <v>4449</v>
      </c>
      <c r="CP74" s="47">
        <v>235</v>
      </c>
      <c r="CQ74" s="163">
        <v>240</v>
      </c>
      <c r="CR74" s="60">
        <v>360</v>
      </c>
      <c r="CS74" s="32">
        <v>450</v>
      </c>
      <c r="CT74" s="61">
        <v>200000</v>
      </c>
      <c r="CU74" s="207" t="s">
        <v>5792</v>
      </c>
      <c r="CV74" s="208" t="s">
        <v>5792</v>
      </c>
      <c r="CW74" s="208" t="s">
        <v>5792</v>
      </c>
      <c r="CX74" s="209" t="s">
        <v>5792</v>
      </c>
      <c r="CY74" s="207" t="s">
        <v>5792</v>
      </c>
      <c r="CZ74" s="208" t="s">
        <v>5792</v>
      </c>
      <c r="DA74" s="209" t="s">
        <v>5792</v>
      </c>
      <c r="DB74" s="283" t="s">
        <v>5792</v>
      </c>
      <c r="DC74" s="163">
        <v>8.8000000000000007</v>
      </c>
      <c r="DD74" s="163">
        <v>640</v>
      </c>
      <c r="DE74" s="32">
        <v>730</v>
      </c>
      <c r="DF74" s="163">
        <v>800</v>
      </c>
      <c r="DG74" s="32">
        <v>940</v>
      </c>
      <c r="DH74" s="61">
        <v>200000</v>
      </c>
      <c r="DI74" s="29" t="s">
        <v>4573</v>
      </c>
      <c r="DJ74" s="163" t="s">
        <v>6055</v>
      </c>
      <c r="DK74" s="297" t="s">
        <v>4566</v>
      </c>
    </row>
    <row r="75" spans="1:115">
      <c r="A75" s="18">
        <v>70</v>
      </c>
      <c r="B75" s="326"/>
      <c r="C75" s="326"/>
      <c r="D75" s="346"/>
      <c r="E75" s="334"/>
      <c r="F75" s="326"/>
      <c r="G75" s="329"/>
      <c r="H75" s="329"/>
      <c r="I75" s="329"/>
      <c r="J75" s="41" t="s">
        <v>4492</v>
      </c>
      <c r="K75" s="306" t="s">
        <v>4383</v>
      </c>
      <c r="L75" s="163" t="s">
        <v>5792</v>
      </c>
      <c r="M75" s="306" t="s">
        <v>4509</v>
      </c>
      <c r="N75" s="163" t="s">
        <v>4703</v>
      </c>
      <c r="O75" s="18" t="s">
        <v>4507</v>
      </c>
      <c r="P75" s="163" t="s">
        <v>4420</v>
      </c>
      <c r="Q75" s="163" t="s">
        <v>4420</v>
      </c>
      <c r="R75" s="163" t="s">
        <v>4420</v>
      </c>
      <c r="S75" s="163" t="s">
        <v>5792</v>
      </c>
      <c r="T75" s="163" t="s">
        <v>4420</v>
      </c>
      <c r="U75" s="163" t="s">
        <v>5792</v>
      </c>
      <c r="V75" s="163" t="s">
        <v>4559</v>
      </c>
      <c r="W75" s="18">
        <v>10</v>
      </c>
      <c r="X75" s="231">
        <v>0</v>
      </c>
      <c r="Y75" s="142">
        <v>0</v>
      </c>
      <c r="Z75" s="306" t="s">
        <v>4021</v>
      </c>
      <c r="AA75" s="21">
        <f>INDEX('[2]Cross-Section Database'!$C$2:$V$2928,MATCH(Z75,'[2]Cross-Section Database'!$B$2:$B$2928,0),3)</f>
        <v>478</v>
      </c>
      <c r="AB75" s="21">
        <f>INDEX('[2]Cross-Section Database'!$C$2:$V$2928,MATCH(Z75,'[2]Cross-Section Database'!$B$2:$B$2928,0),4)</f>
        <v>307</v>
      </c>
      <c r="AC75" s="21">
        <f>INDEX('[2]Cross-Section Database'!$C$2:$V$2928,MATCH(Z75,'[2]Cross-Section Database'!$B$2:$B$2928,0),6)</f>
        <v>40</v>
      </c>
      <c r="AD75" s="21">
        <f>INDEX('[2]Cross-Section Database'!$C$2:$V$2928,MATCH(Z75,'[2]Cross-Section Database'!$B$2:$B$2928,0),5)</f>
        <v>21</v>
      </c>
      <c r="AE75" s="228">
        <v>1300</v>
      </c>
      <c r="AF75" s="306" t="s">
        <v>3922</v>
      </c>
      <c r="AG75" s="21">
        <f>INDEX('[2]Cross-Section Database'!$C$2:$V$2928,MATCH(AF75,'[2]Cross-Section Database'!$B$2:$B$2928,0),3)</f>
        <v>400</v>
      </c>
      <c r="AH75" s="21">
        <f>INDEX('[2]Cross-Section Database'!$C$2:$V$2928,MATCH(AF75,'[2]Cross-Section Database'!$B$2:$B$2928,0),4)</f>
        <v>180</v>
      </c>
      <c r="AI75" s="21">
        <f>INDEX('[2]Cross-Section Database'!$C$2:$V$2928,MATCH(AF75,'[2]Cross-Section Database'!$B$2:$B$2928,0),6)</f>
        <v>13.5</v>
      </c>
      <c r="AJ75" s="21">
        <f>INDEX('[2]Cross-Section Database'!$C$2:$V$2928,MATCH(AF75,'[2]Cross-Section Database'!$B$2:$B$2928,0),5)</f>
        <v>8.6</v>
      </c>
      <c r="AK75" s="255">
        <v>1100</v>
      </c>
      <c r="AL75" s="21">
        <f>INDEX('[2]Cross-Section Database'!$C$2:$V$3928,MATCH(AF75,'[2]Cross-Section Database'!$B$2:$B$3928,0),11)</f>
        <v>231300000</v>
      </c>
      <c r="AM75" s="24">
        <f>INDEX('[2]Cross-Section Database'!$C$2:$V$3928,MATCH(AF75,'[2]Cross-Section Database'!$B$2:$B$3928,0),12)</f>
        <v>1307000</v>
      </c>
      <c r="AN75" s="21">
        <v>32</v>
      </c>
      <c r="AO75" s="21">
        <v>180</v>
      </c>
      <c r="AP75" s="21">
        <v>400</v>
      </c>
      <c r="AQ75" s="21">
        <f t="shared" si="16"/>
        <v>0</v>
      </c>
      <c r="AR75" s="21">
        <v>0</v>
      </c>
      <c r="AS75" s="306" t="s">
        <v>5807</v>
      </c>
      <c r="AT75" s="163" t="s">
        <v>6134</v>
      </c>
      <c r="AU75" s="163">
        <v>34</v>
      </c>
      <c r="AV75" s="163">
        <v>24</v>
      </c>
      <c r="AW75" s="163">
        <f t="shared" si="11"/>
        <v>353</v>
      </c>
      <c r="AX75" s="21">
        <v>55</v>
      </c>
      <c r="AY75" s="21">
        <v>55</v>
      </c>
      <c r="AZ75" s="21">
        <v>0</v>
      </c>
      <c r="BA75" s="21">
        <v>100</v>
      </c>
      <c r="BB75" s="21">
        <v>290</v>
      </c>
      <c r="BC75" s="15" t="s">
        <v>4470</v>
      </c>
      <c r="BD75" s="163" t="s">
        <v>6211</v>
      </c>
      <c r="BE75" s="163" t="s">
        <v>6209</v>
      </c>
      <c r="BF75" s="163">
        <v>4</v>
      </c>
      <c r="BG75" s="163">
        <v>6</v>
      </c>
      <c r="BH75" s="202" t="s">
        <v>5792</v>
      </c>
      <c r="BI75" s="203" t="s">
        <v>5792</v>
      </c>
      <c r="BJ75" s="203" t="s">
        <v>5792</v>
      </c>
      <c r="BK75" s="203" t="s">
        <v>5792</v>
      </c>
      <c r="BL75" s="203" t="s">
        <v>5792</v>
      </c>
      <c r="BM75" s="203" t="s">
        <v>5792</v>
      </c>
      <c r="BN75" s="203" t="s">
        <v>5792</v>
      </c>
      <c r="BO75" s="203" t="s">
        <v>5792</v>
      </c>
      <c r="BP75" s="202" t="s">
        <v>5792</v>
      </c>
      <c r="BQ75" s="203" t="s">
        <v>5792</v>
      </c>
      <c r="BR75" s="203" t="s">
        <v>5792</v>
      </c>
      <c r="BS75" s="203" t="s">
        <v>5792</v>
      </c>
      <c r="BT75" s="203" t="s">
        <v>5792</v>
      </c>
      <c r="BU75" s="203" t="s">
        <v>5792</v>
      </c>
      <c r="BV75" s="218" t="s">
        <v>5792</v>
      </c>
      <c r="BW75" s="203" t="s">
        <v>5792</v>
      </c>
      <c r="BX75" s="203" t="s">
        <v>5792</v>
      </c>
      <c r="BY75" s="203" t="s">
        <v>5792</v>
      </c>
      <c r="BZ75" s="203" t="s">
        <v>5792</v>
      </c>
      <c r="CA75" s="203" t="s">
        <v>5792</v>
      </c>
      <c r="CB75" s="218" t="s">
        <v>5792</v>
      </c>
      <c r="CC75" s="32" t="s">
        <v>4449</v>
      </c>
      <c r="CD75" s="47">
        <v>235</v>
      </c>
      <c r="CE75" s="32">
        <v>300</v>
      </c>
      <c r="CF75" s="47">
        <v>360</v>
      </c>
      <c r="CG75" s="32">
        <v>450</v>
      </c>
      <c r="CH75" s="67">
        <v>200000</v>
      </c>
      <c r="CI75" s="107" t="s">
        <v>4449</v>
      </c>
      <c r="CJ75" s="47">
        <v>235</v>
      </c>
      <c r="CK75" s="32">
        <v>300</v>
      </c>
      <c r="CL75" s="60">
        <v>360</v>
      </c>
      <c r="CM75" s="32">
        <v>450</v>
      </c>
      <c r="CN75" s="67">
        <v>200000</v>
      </c>
      <c r="CO75" s="32" t="s">
        <v>4449</v>
      </c>
      <c r="CP75" s="47">
        <v>235</v>
      </c>
      <c r="CQ75" s="163">
        <v>240</v>
      </c>
      <c r="CR75" s="60">
        <v>360</v>
      </c>
      <c r="CS75" s="32">
        <v>450</v>
      </c>
      <c r="CT75" s="61">
        <v>200000</v>
      </c>
      <c r="CU75" s="207" t="s">
        <v>5792</v>
      </c>
      <c r="CV75" s="208" t="s">
        <v>5792</v>
      </c>
      <c r="CW75" s="208" t="s">
        <v>5792</v>
      </c>
      <c r="CX75" s="209" t="s">
        <v>5792</v>
      </c>
      <c r="CY75" s="207" t="s">
        <v>5792</v>
      </c>
      <c r="CZ75" s="208" t="s">
        <v>5792</v>
      </c>
      <c r="DA75" s="209" t="s">
        <v>5792</v>
      </c>
      <c r="DB75" s="283" t="s">
        <v>5792</v>
      </c>
      <c r="DC75" s="163">
        <v>8.8000000000000007</v>
      </c>
      <c r="DD75" s="163">
        <v>640</v>
      </c>
      <c r="DE75" s="32">
        <v>730</v>
      </c>
      <c r="DF75" s="163">
        <v>800</v>
      </c>
      <c r="DG75" s="32">
        <v>940</v>
      </c>
      <c r="DH75" s="61">
        <v>200000</v>
      </c>
      <c r="DI75" s="29" t="s">
        <v>4573</v>
      </c>
      <c r="DJ75" s="163" t="s">
        <v>6055</v>
      </c>
      <c r="DK75" s="297" t="s">
        <v>4566</v>
      </c>
    </row>
    <row r="76" spans="1:115" ht="16.2" thickBot="1">
      <c r="A76" s="18">
        <v>71</v>
      </c>
      <c r="B76" s="326"/>
      <c r="C76" s="326"/>
      <c r="D76" s="346"/>
      <c r="E76" s="334"/>
      <c r="F76" s="326"/>
      <c r="G76" s="329"/>
      <c r="H76" s="329"/>
      <c r="I76" s="329"/>
      <c r="J76" s="41" t="s">
        <v>4493</v>
      </c>
      <c r="K76" s="306" t="s">
        <v>4383</v>
      </c>
      <c r="L76" s="164" t="s">
        <v>5792</v>
      </c>
      <c r="M76" s="306" t="s">
        <v>4509</v>
      </c>
      <c r="N76" s="163" t="s">
        <v>4703</v>
      </c>
      <c r="O76" s="18" t="s">
        <v>4507</v>
      </c>
      <c r="P76" s="163" t="s">
        <v>4420</v>
      </c>
      <c r="Q76" s="163" t="s">
        <v>4420</v>
      </c>
      <c r="R76" s="163" t="s">
        <v>4420</v>
      </c>
      <c r="S76" s="164" t="s">
        <v>5792</v>
      </c>
      <c r="T76" s="163" t="s">
        <v>4420</v>
      </c>
      <c r="U76" s="164" t="s">
        <v>5792</v>
      </c>
      <c r="V76" s="163" t="s">
        <v>4559</v>
      </c>
      <c r="W76" s="18">
        <v>10</v>
      </c>
      <c r="X76" s="231">
        <v>0</v>
      </c>
      <c r="Y76" s="142">
        <v>0</v>
      </c>
      <c r="Z76" s="306" t="s">
        <v>4021</v>
      </c>
      <c r="AA76" s="21">
        <f>INDEX('[2]Cross-Section Database'!$C$2:$V$2928,MATCH(Z76,'[2]Cross-Section Database'!$B$2:$B$2928,0),3)</f>
        <v>478</v>
      </c>
      <c r="AB76" s="21">
        <f>INDEX('[2]Cross-Section Database'!$C$2:$V$2928,MATCH(Z76,'[2]Cross-Section Database'!$B$2:$B$2928,0),4)</f>
        <v>307</v>
      </c>
      <c r="AC76" s="21">
        <f>INDEX('[2]Cross-Section Database'!$C$2:$V$2928,MATCH(Z76,'[2]Cross-Section Database'!$B$2:$B$2928,0),6)</f>
        <v>40</v>
      </c>
      <c r="AD76" s="21">
        <f>INDEX('[2]Cross-Section Database'!$C$2:$V$2928,MATCH(Z76,'[2]Cross-Section Database'!$B$2:$B$2928,0),5)</f>
        <v>21</v>
      </c>
      <c r="AE76" s="228">
        <v>1300</v>
      </c>
      <c r="AF76" s="306" t="s">
        <v>3922</v>
      </c>
      <c r="AG76" s="21">
        <f>INDEX('[2]Cross-Section Database'!$C$2:$V$2928,MATCH(AF76,'[2]Cross-Section Database'!$B$2:$B$2928,0),3)</f>
        <v>400</v>
      </c>
      <c r="AH76" s="21">
        <f>INDEX('[2]Cross-Section Database'!$C$2:$V$2928,MATCH(AF76,'[2]Cross-Section Database'!$B$2:$B$2928,0),4)</f>
        <v>180</v>
      </c>
      <c r="AI76" s="21">
        <f>INDEX('[2]Cross-Section Database'!$C$2:$V$2928,MATCH(AF76,'[2]Cross-Section Database'!$B$2:$B$2928,0),6)</f>
        <v>13.5</v>
      </c>
      <c r="AJ76" s="21">
        <f>INDEX('[2]Cross-Section Database'!$C$2:$V$2928,MATCH(AF76,'[2]Cross-Section Database'!$B$2:$B$2928,0),5)</f>
        <v>8.6</v>
      </c>
      <c r="AK76" s="255">
        <v>1100</v>
      </c>
      <c r="AL76" s="21">
        <f>INDEX('[2]Cross-Section Database'!$C$2:$V$3928,MATCH(AF76,'[2]Cross-Section Database'!$B$2:$B$3928,0),11)</f>
        <v>231300000</v>
      </c>
      <c r="AM76" s="24">
        <f>INDEX('[2]Cross-Section Database'!$C$2:$V$3928,MATCH(AF76,'[2]Cross-Section Database'!$B$2:$B$3928,0),12)</f>
        <v>1307000</v>
      </c>
      <c r="AN76" s="21">
        <v>32</v>
      </c>
      <c r="AO76" s="21">
        <v>180</v>
      </c>
      <c r="AP76" s="21">
        <v>400</v>
      </c>
      <c r="AQ76" s="21">
        <f t="shared" si="16"/>
        <v>0</v>
      </c>
      <c r="AR76" s="21">
        <v>0</v>
      </c>
      <c r="AS76" s="306" t="s">
        <v>5807</v>
      </c>
      <c r="AT76" s="163" t="s">
        <v>6134</v>
      </c>
      <c r="AU76" s="163">
        <v>54</v>
      </c>
      <c r="AV76" s="163">
        <v>24</v>
      </c>
      <c r="AW76" s="163">
        <f>IF(AV76=24,353,IF(AV76=22,303,IF(AV76=20,245,IF(AV76=16,157,0))))</f>
        <v>353</v>
      </c>
      <c r="AX76" s="21">
        <v>125</v>
      </c>
      <c r="AY76" s="21">
        <v>55</v>
      </c>
      <c r="AZ76" s="21">
        <v>0</v>
      </c>
      <c r="BA76" s="21">
        <v>100</v>
      </c>
      <c r="BB76" s="21">
        <v>220</v>
      </c>
      <c r="BC76" s="15" t="s">
        <v>4420</v>
      </c>
      <c r="BD76" s="163" t="s">
        <v>6209</v>
      </c>
      <c r="BE76" s="163" t="s">
        <v>6209</v>
      </c>
      <c r="BF76" s="163">
        <v>2</v>
      </c>
      <c r="BG76" s="163">
        <v>4</v>
      </c>
      <c r="BH76" s="202" t="s">
        <v>5792</v>
      </c>
      <c r="BI76" s="203" t="s">
        <v>5792</v>
      </c>
      <c r="BJ76" s="203" t="s">
        <v>5792</v>
      </c>
      <c r="BK76" s="203" t="s">
        <v>5792</v>
      </c>
      <c r="BL76" s="203" t="s">
        <v>5792</v>
      </c>
      <c r="BM76" s="203" t="s">
        <v>5792</v>
      </c>
      <c r="BN76" s="203" t="s">
        <v>5792</v>
      </c>
      <c r="BO76" s="203" t="s">
        <v>5792</v>
      </c>
      <c r="BP76" s="202" t="s">
        <v>5792</v>
      </c>
      <c r="BQ76" s="203" t="s">
        <v>5792</v>
      </c>
      <c r="BR76" s="203" t="s">
        <v>5792</v>
      </c>
      <c r="BS76" s="203" t="s">
        <v>5792</v>
      </c>
      <c r="BT76" s="203" t="s">
        <v>5792</v>
      </c>
      <c r="BU76" s="203" t="s">
        <v>5792</v>
      </c>
      <c r="BV76" s="218" t="s">
        <v>5792</v>
      </c>
      <c r="BW76" s="203" t="s">
        <v>5792</v>
      </c>
      <c r="BX76" s="203" t="s">
        <v>5792</v>
      </c>
      <c r="BY76" s="203" t="s">
        <v>5792</v>
      </c>
      <c r="BZ76" s="203" t="s">
        <v>5792</v>
      </c>
      <c r="CA76" s="203" t="s">
        <v>5792</v>
      </c>
      <c r="CB76" s="218" t="s">
        <v>5792</v>
      </c>
      <c r="CC76" s="32" t="s">
        <v>4449</v>
      </c>
      <c r="CD76" s="47">
        <v>235</v>
      </c>
      <c r="CE76" s="32">
        <v>300</v>
      </c>
      <c r="CF76" s="47">
        <v>360</v>
      </c>
      <c r="CG76" s="32">
        <v>450</v>
      </c>
      <c r="CH76" s="67">
        <v>200000</v>
      </c>
      <c r="CI76" s="107" t="s">
        <v>4449</v>
      </c>
      <c r="CJ76" s="47">
        <v>235</v>
      </c>
      <c r="CK76" s="32">
        <v>300</v>
      </c>
      <c r="CL76" s="60">
        <v>360</v>
      </c>
      <c r="CM76" s="32">
        <v>450</v>
      </c>
      <c r="CN76" s="67">
        <v>200000</v>
      </c>
      <c r="CO76" s="32" t="s">
        <v>4449</v>
      </c>
      <c r="CP76" s="47">
        <v>235</v>
      </c>
      <c r="CQ76" s="163">
        <v>240</v>
      </c>
      <c r="CR76" s="60">
        <v>360</v>
      </c>
      <c r="CS76" s="32">
        <v>450</v>
      </c>
      <c r="CT76" s="61">
        <v>200000</v>
      </c>
      <c r="CU76" s="207" t="s">
        <v>5792</v>
      </c>
      <c r="CV76" s="208" t="s">
        <v>5792</v>
      </c>
      <c r="CW76" s="208" t="s">
        <v>5792</v>
      </c>
      <c r="CX76" s="209" t="s">
        <v>5792</v>
      </c>
      <c r="CY76" s="207" t="s">
        <v>5792</v>
      </c>
      <c r="CZ76" s="208" t="s">
        <v>5792</v>
      </c>
      <c r="DA76" s="209" t="s">
        <v>5792</v>
      </c>
      <c r="DB76" s="283" t="s">
        <v>5792</v>
      </c>
      <c r="DC76" s="163">
        <v>8.8000000000000007</v>
      </c>
      <c r="DD76" s="163">
        <v>640</v>
      </c>
      <c r="DE76" s="32">
        <v>730</v>
      </c>
      <c r="DF76" s="163">
        <v>800</v>
      </c>
      <c r="DG76" s="32">
        <v>940</v>
      </c>
      <c r="DH76" s="61">
        <v>200000</v>
      </c>
      <c r="DI76" s="29" t="s">
        <v>4782</v>
      </c>
      <c r="DJ76" s="163" t="s">
        <v>6055</v>
      </c>
      <c r="DK76" s="297" t="s">
        <v>4566</v>
      </c>
    </row>
    <row r="77" spans="1:115" ht="15.6" customHeight="1">
      <c r="A77" s="17">
        <v>72</v>
      </c>
      <c r="B77" s="325">
        <v>7</v>
      </c>
      <c r="C77" s="325">
        <v>1981</v>
      </c>
      <c r="D77" s="345" t="s">
        <v>4667</v>
      </c>
      <c r="E77" s="333" t="s">
        <v>4838</v>
      </c>
      <c r="F77" s="325">
        <v>4</v>
      </c>
      <c r="G77" s="328" t="s">
        <v>5903</v>
      </c>
      <c r="H77" s="328" t="s">
        <v>5902</v>
      </c>
      <c r="I77" s="328" t="s">
        <v>6223</v>
      </c>
      <c r="J77" s="43" t="s">
        <v>4512</v>
      </c>
      <c r="K77" s="305" t="s">
        <v>4383</v>
      </c>
      <c r="L77" s="163" t="s">
        <v>5792</v>
      </c>
      <c r="M77" s="305" t="s">
        <v>4508</v>
      </c>
      <c r="N77" s="162" t="s">
        <v>4702</v>
      </c>
      <c r="O77" s="17" t="s">
        <v>4507</v>
      </c>
      <c r="P77" s="162" t="s">
        <v>4420</v>
      </c>
      <c r="Q77" s="162" t="s">
        <v>4420</v>
      </c>
      <c r="R77" s="162" t="s">
        <v>6170</v>
      </c>
      <c r="S77" s="163">
        <v>12</v>
      </c>
      <c r="T77" s="162" t="s">
        <v>4420</v>
      </c>
      <c r="U77" s="163" t="s">
        <v>5792</v>
      </c>
      <c r="V77" s="30" t="s">
        <v>4559</v>
      </c>
      <c r="W77" s="88">
        <v>6</v>
      </c>
      <c r="X77" s="232">
        <v>0</v>
      </c>
      <c r="Y77" s="155">
        <v>0</v>
      </c>
      <c r="Z77" s="305" t="s">
        <v>4217</v>
      </c>
      <c r="AA77" s="16">
        <f>INDEX('[2]Cross-Section Database'!$C$2:$V$2928,MATCH(Z77,'[2]Cross-Section Database'!$B$2:$B$2928,0),3)</f>
        <v>303.39999999999998</v>
      </c>
      <c r="AB77" s="16">
        <f>INDEX('[2]Cross-Section Database'!$C$2:$V$2928,MATCH(Z77,'[2]Cross-Section Database'!$B$2:$B$2928,0),4)</f>
        <v>165</v>
      </c>
      <c r="AC77" s="16">
        <f>INDEX('[2]Cross-Section Database'!$C$2:$V$2928,MATCH(Z77,'[2]Cross-Section Database'!$B$2:$B$2928,0),6)</f>
        <v>10.199999999999999</v>
      </c>
      <c r="AD77" s="16">
        <f>INDEX('[2]Cross-Section Database'!$C$2:$V$2928,MATCH(Z77,'[2]Cross-Section Database'!$B$2:$B$2928,0),5)</f>
        <v>6</v>
      </c>
      <c r="AE77" s="227">
        <v>1000</v>
      </c>
      <c r="AF77" s="305" t="s">
        <v>4239</v>
      </c>
      <c r="AG77" s="16">
        <f>INDEX('[2]Cross-Section Database'!$C$2:$V$2928,MATCH(AF77,'[2]Cross-Section Database'!$B$2:$B$2928,0),3)</f>
        <v>453.4</v>
      </c>
      <c r="AH77" s="16">
        <f>INDEX('[2]Cross-Section Database'!$C$2:$V$2928,MATCH(AF77,'[2]Cross-Section Database'!$B$2:$B$2928,0),4)</f>
        <v>189.9</v>
      </c>
      <c r="AI77" s="16">
        <f>INDEX('[2]Cross-Section Database'!$C$2:$V$2928,MATCH(AF77,'[2]Cross-Section Database'!$B$2:$B$2928,0),6)</f>
        <v>12.7</v>
      </c>
      <c r="AJ77" s="16">
        <f>INDEX('[2]Cross-Section Database'!$C$2:$V$2928,MATCH(AF77,'[2]Cross-Section Database'!$B$2:$B$2928,0),5)</f>
        <v>8.5</v>
      </c>
      <c r="AK77" s="256">
        <v>1500</v>
      </c>
      <c r="AL77" s="16">
        <f>INDEX('[2]Cross-Section Database'!$C$2:$V$3928,MATCH(AF77,'[2]Cross-Section Database'!$B$2:$B$3928,0),11)</f>
        <v>293800000</v>
      </c>
      <c r="AM77" s="26">
        <f>INDEX('[2]Cross-Section Database'!$C$2:$V$3928,MATCH(AF77,'[2]Cross-Section Database'!$B$2:$B$3928,0),12)</f>
        <v>1471000</v>
      </c>
      <c r="AN77" s="16">
        <v>25</v>
      </c>
      <c r="AO77" s="31">
        <f>AB77</f>
        <v>165</v>
      </c>
      <c r="AP77" s="31">
        <v>475</v>
      </c>
      <c r="AQ77" s="16">
        <f t="shared" si="16"/>
        <v>10.600000000000023</v>
      </c>
      <c r="AR77" s="16">
        <v>11</v>
      </c>
      <c r="AS77" s="305" t="s">
        <v>5807</v>
      </c>
      <c r="AT77" s="162" t="s">
        <v>6134</v>
      </c>
      <c r="AU77" s="30">
        <v>120</v>
      </c>
      <c r="AV77" s="162">
        <v>22</v>
      </c>
      <c r="AW77" s="162">
        <f>IF(AV77=24,353,IF(AV77=22,303,IF(AV77=20,245,IF(AV77=16,157,0))))</f>
        <v>303</v>
      </c>
      <c r="AX77" s="31">
        <v>61</v>
      </c>
      <c r="AY77" s="31">
        <v>61</v>
      </c>
      <c r="AZ77" s="31">
        <v>75</v>
      </c>
      <c r="BA77" s="31">
        <v>90</v>
      </c>
      <c r="BB77" s="31">
        <f>AP77-AX77-AY77-2*AZ77</f>
        <v>203</v>
      </c>
      <c r="BC77" s="22" t="s">
        <v>4420</v>
      </c>
      <c r="BD77" s="162" t="s">
        <v>4465</v>
      </c>
      <c r="BE77" s="162" t="s">
        <v>4465</v>
      </c>
      <c r="BF77" s="162">
        <v>4</v>
      </c>
      <c r="BG77" s="17">
        <v>8</v>
      </c>
      <c r="BH77" s="200" t="s">
        <v>5792</v>
      </c>
      <c r="BI77" s="201" t="s">
        <v>5792</v>
      </c>
      <c r="BJ77" s="201" t="s">
        <v>5792</v>
      </c>
      <c r="BK77" s="201" t="s">
        <v>5792</v>
      </c>
      <c r="BL77" s="201" t="s">
        <v>5792</v>
      </c>
      <c r="BM77" s="201" t="s">
        <v>5792</v>
      </c>
      <c r="BN77" s="201" t="s">
        <v>5792</v>
      </c>
      <c r="BO77" s="201" t="s">
        <v>5792</v>
      </c>
      <c r="BP77" s="200" t="s">
        <v>5792</v>
      </c>
      <c r="BQ77" s="201" t="s">
        <v>5792</v>
      </c>
      <c r="BR77" s="201" t="s">
        <v>5792</v>
      </c>
      <c r="BS77" s="201" t="s">
        <v>5792</v>
      </c>
      <c r="BT77" s="201" t="s">
        <v>5792</v>
      </c>
      <c r="BU77" s="201" t="s">
        <v>5792</v>
      </c>
      <c r="BV77" s="219" t="s">
        <v>5792</v>
      </c>
      <c r="BW77" s="201" t="s">
        <v>5792</v>
      </c>
      <c r="BX77" s="201" t="s">
        <v>5792</v>
      </c>
      <c r="BY77" s="201" t="s">
        <v>5792</v>
      </c>
      <c r="BZ77" s="201" t="s">
        <v>5792</v>
      </c>
      <c r="CA77" s="201" t="s">
        <v>5792</v>
      </c>
      <c r="CB77" s="219" t="s">
        <v>5792</v>
      </c>
      <c r="CC77" s="30" t="s">
        <v>4449</v>
      </c>
      <c r="CD77" s="72">
        <v>235</v>
      </c>
      <c r="CE77" s="30">
        <v>300</v>
      </c>
      <c r="CF77" s="72">
        <v>360</v>
      </c>
      <c r="CG77" s="30">
        <v>450</v>
      </c>
      <c r="CH77" s="66">
        <v>200000</v>
      </c>
      <c r="CI77" s="106" t="s">
        <v>4449</v>
      </c>
      <c r="CJ77" s="72">
        <v>235</v>
      </c>
      <c r="CK77" s="30">
        <v>300</v>
      </c>
      <c r="CL77" s="65">
        <v>360</v>
      </c>
      <c r="CM77" s="30">
        <v>450</v>
      </c>
      <c r="CN77" s="66">
        <v>200000</v>
      </c>
      <c r="CO77" s="30" t="s">
        <v>4449</v>
      </c>
      <c r="CP77" s="72">
        <v>235</v>
      </c>
      <c r="CQ77" s="30">
        <v>300</v>
      </c>
      <c r="CR77" s="65">
        <v>360</v>
      </c>
      <c r="CS77" s="30">
        <v>450</v>
      </c>
      <c r="CT77" s="76">
        <v>200000</v>
      </c>
      <c r="CU77" s="204" t="s">
        <v>5792</v>
      </c>
      <c r="CV77" s="205" t="s">
        <v>5792</v>
      </c>
      <c r="CW77" s="205" t="s">
        <v>5792</v>
      </c>
      <c r="CX77" s="206" t="s">
        <v>5792</v>
      </c>
      <c r="CY77" s="204" t="s">
        <v>5792</v>
      </c>
      <c r="CZ77" s="205" t="s">
        <v>5792</v>
      </c>
      <c r="DA77" s="206" t="s">
        <v>5792</v>
      </c>
      <c r="DB77" s="282" t="s">
        <v>5792</v>
      </c>
      <c r="DC77" s="162" t="s">
        <v>4514</v>
      </c>
      <c r="DD77" s="302">
        <v>640</v>
      </c>
      <c r="DE77" s="30">
        <v>730</v>
      </c>
      <c r="DF77" s="302">
        <v>800</v>
      </c>
      <c r="DG77" s="30">
        <v>940</v>
      </c>
      <c r="DH77" s="76">
        <v>200000</v>
      </c>
      <c r="DI77" s="28" t="s">
        <v>4771</v>
      </c>
      <c r="DJ77" s="162" t="s">
        <v>4561</v>
      </c>
      <c r="DK77" s="296" t="s">
        <v>4566</v>
      </c>
    </row>
    <row r="78" spans="1:115">
      <c r="A78" s="18">
        <v>73</v>
      </c>
      <c r="B78" s="326"/>
      <c r="C78" s="326"/>
      <c r="D78" s="346"/>
      <c r="E78" s="334"/>
      <c r="F78" s="326"/>
      <c r="G78" s="329"/>
      <c r="H78" s="329"/>
      <c r="I78" s="329"/>
      <c r="J78" s="41" t="s">
        <v>4397</v>
      </c>
      <c r="K78" s="306" t="s">
        <v>4383</v>
      </c>
      <c r="L78" s="163" t="s">
        <v>5792</v>
      </c>
      <c r="M78" s="306" t="s">
        <v>4508</v>
      </c>
      <c r="N78" s="163" t="s">
        <v>4702</v>
      </c>
      <c r="O78" s="18" t="s">
        <v>4507</v>
      </c>
      <c r="P78" s="163" t="s">
        <v>4420</v>
      </c>
      <c r="Q78" s="163" t="s">
        <v>4420</v>
      </c>
      <c r="R78" s="163" t="s">
        <v>6170</v>
      </c>
      <c r="S78" s="163">
        <v>12</v>
      </c>
      <c r="T78" s="163" t="s">
        <v>4420</v>
      </c>
      <c r="U78" s="163" t="s">
        <v>5792</v>
      </c>
      <c r="V78" s="32" t="s">
        <v>4559</v>
      </c>
      <c r="W78" s="73">
        <v>6</v>
      </c>
      <c r="X78" s="231">
        <v>0</v>
      </c>
      <c r="Y78" s="142">
        <v>0</v>
      </c>
      <c r="Z78" s="306" t="s">
        <v>4217</v>
      </c>
      <c r="AA78" s="21">
        <f>INDEX('[2]Cross-Section Database'!$C$2:$V$2928,MATCH(Z78,'[2]Cross-Section Database'!$B$2:$B$2928,0),3)</f>
        <v>303.39999999999998</v>
      </c>
      <c r="AB78" s="21">
        <f>INDEX('[2]Cross-Section Database'!$C$2:$V$2928,MATCH(Z78,'[2]Cross-Section Database'!$B$2:$B$2928,0),4)</f>
        <v>165</v>
      </c>
      <c r="AC78" s="21">
        <f>INDEX('[2]Cross-Section Database'!$C$2:$V$2928,MATCH(Z78,'[2]Cross-Section Database'!$B$2:$B$2928,0),6)</f>
        <v>10.199999999999999</v>
      </c>
      <c r="AD78" s="21">
        <f>INDEX('[2]Cross-Section Database'!$C$2:$V$2928,MATCH(Z78,'[2]Cross-Section Database'!$B$2:$B$2928,0),5)</f>
        <v>6</v>
      </c>
      <c r="AE78" s="228">
        <v>1000</v>
      </c>
      <c r="AF78" s="306" t="s">
        <v>4239</v>
      </c>
      <c r="AG78" s="21">
        <f>INDEX('[2]Cross-Section Database'!$C$2:$V$2928,MATCH(AF78,'[2]Cross-Section Database'!$B$2:$B$2928,0),3)</f>
        <v>453.4</v>
      </c>
      <c r="AH78" s="21">
        <f>INDEX('[2]Cross-Section Database'!$C$2:$V$2928,MATCH(AF78,'[2]Cross-Section Database'!$B$2:$B$2928,0),4)</f>
        <v>189.9</v>
      </c>
      <c r="AI78" s="21">
        <f>INDEX('[2]Cross-Section Database'!$C$2:$V$2928,MATCH(AF78,'[2]Cross-Section Database'!$B$2:$B$2928,0),6)</f>
        <v>12.7</v>
      </c>
      <c r="AJ78" s="21">
        <f>INDEX('[2]Cross-Section Database'!$C$2:$V$2928,MATCH(AF78,'[2]Cross-Section Database'!$B$2:$B$2928,0),5)</f>
        <v>8.5</v>
      </c>
      <c r="AK78" s="255">
        <v>1500</v>
      </c>
      <c r="AL78" s="21">
        <f>INDEX('[2]Cross-Section Database'!$C$2:$V$3928,MATCH(AF78,'[2]Cross-Section Database'!$B$2:$B$3928,0),11)</f>
        <v>293800000</v>
      </c>
      <c r="AM78" s="24">
        <f>INDEX('[2]Cross-Section Database'!$C$2:$V$3928,MATCH(AF78,'[2]Cross-Section Database'!$B$2:$B$3928,0),12)</f>
        <v>1471000</v>
      </c>
      <c r="AN78" s="21">
        <v>25</v>
      </c>
      <c r="AO78" s="33">
        <f>AB78</f>
        <v>165</v>
      </c>
      <c r="AP78" s="33">
        <v>475</v>
      </c>
      <c r="AQ78" s="21">
        <f t="shared" si="16"/>
        <v>10.600000000000023</v>
      </c>
      <c r="AR78" s="21">
        <v>11</v>
      </c>
      <c r="AS78" s="306" t="s">
        <v>5807</v>
      </c>
      <c r="AT78" s="163" t="s">
        <v>6134</v>
      </c>
      <c r="AU78" s="163">
        <v>120</v>
      </c>
      <c r="AV78" s="163">
        <v>22</v>
      </c>
      <c r="AW78" s="163">
        <f>IF(AV78=24,353,IF(AV78=22,303,IF(AV78=20,245,IF(AV78=16,157,0))))</f>
        <v>303</v>
      </c>
      <c r="AX78" s="33">
        <v>61</v>
      </c>
      <c r="AY78" s="33">
        <v>61</v>
      </c>
      <c r="AZ78" s="33">
        <v>75</v>
      </c>
      <c r="BA78" s="33">
        <v>90</v>
      </c>
      <c r="BB78" s="33">
        <f>AP78-AX78-AY78-2*AZ78</f>
        <v>203</v>
      </c>
      <c r="BC78" s="15" t="s">
        <v>4420</v>
      </c>
      <c r="BD78" s="163" t="s">
        <v>4465</v>
      </c>
      <c r="BE78" s="163" t="s">
        <v>4465</v>
      </c>
      <c r="BF78" s="163">
        <v>4</v>
      </c>
      <c r="BG78" s="18">
        <v>8</v>
      </c>
      <c r="BH78" s="202" t="s">
        <v>5792</v>
      </c>
      <c r="BI78" s="203" t="s">
        <v>5792</v>
      </c>
      <c r="BJ78" s="203" t="s">
        <v>5792</v>
      </c>
      <c r="BK78" s="203" t="s">
        <v>5792</v>
      </c>
      <c r="BL78" s="203" t="s">
        <v>5792</v>
      </c>
      <c r="BM78" s="203" t="s">
        <v>5792</v>
      </c>
      <c r="BN78" s="203" t="s">
        <v>5792</v>
      </c>
      <c r="BO78" s="203" t="s">
        <v>5792</v>
      </c>
      <c r="BP78" s="202" t="s">
        <v>5792</v>
      </c>
      <c r="BQ78" s="203" t="s">
        <v>5792</v>
      </c>
      <c r="BR78" s="203" t="s">
        <v>5792</v>
      </c>
      <c r="BS78" s="203" t="s">
        <v>5792</v>
      </c>
      <c r="BT78" s="203" t="s">
        <v>5792</v>
      </c>
      <c r="BU78" s="203" t="s">
        <v>5792</v>
      </c>
      <c r="BV78" s="218" t="s">
        <v>5792</v>
      </c>
      <c r="BW78" s="203" t="s">
        <v>5792</v>
      </c>
      <c r="BX78" s="203" t="s">
        <v>5792</v>
      </c>
      <c r="BY78" s="203" t="s">
        <v>5792</v>
      </c>
      <c r="BZ78" s="203" t="s">
        <v>5792</v>
      </c>
      <c r="CA78" s="203" t="s">
        <v>5792</v>
      </c>
      <c r="CB78" s="218" t="s">
        <v>5792</v>
      </c>
      <c r="CC78" s="32" t="s">
        <v>4449</v>
      </c>
      <c r="CD78" s="47">
        <v>235</v>
      </c>
      <c r="CE78" s="32">
        <v>300</v>
      </c>
      <c r="CF78" s="47">
        <v>360</v>
      </c>
      <c r="CG78" s="32">
        <v>450</v>
      </c>
      <c r="CH78" s="67">
        <v>200000</v>
      </c>
      <c r="CI78" s="107" t="s">
        <v>4449</v>
      </c>
      <c r="CJ78" s="47">
        <v>235</v>
      </c>
      <c r="CK78" s="32">
        <v>300</v>
      </c>
      <c r="CL78" s="60">
        <v>360</v>
      </c>
      <c r="CM78" s="32">
        <v>450</v>
      </c>
      <c r="CN78" s="67">
        <v>200000</v>
      </c>
      <c r="CO78" s="32" t="s">
        <v>4449</v>
      </c>
      <c r="CP78" s="47">
        <v>235</v>
      </c>
      <c r="CQ78" s="32">
        <v>300</v>
      </c>
      <c r="CR78" s="60">
        <v>360</v>
      </c>
      <c r="CS78" s="32">
        <v>450</v>
      </c>
      <c r="CT78" s="61">
        <v>200000</v>
      </c>
      <c r="CU78" s="207" t="s">
        <v>5792</v>
      </c>
      <c r="CV78" s="208" t="s">
        <v>5792</v>
      </c>
      <c r="CW78" s="208" t="s">
        <v>5792</v>
      </c>
      <c r="CX78" s="209" t="s">
        <v>5792</v>
      </c>
      <c r="CY78" s="207" t="s">
        <v>5792</v>
      </c>
      <c r="CZ78" s="208" t="s">
        <v>5792</v>
      </c>
      <c r="DA78" s="209" t="s">
        <v>5792</v>
      </c>
      <c r="DB78" s="283" t="s">
        <v>5792</v>
      </c>
      <c r="DC78" s="163" t="s">
        <v>4514</v>
      </c>
      <c r="DD78" s="303">
        <v>640</v>
      </c>
      <c r="DE78" s="32">
        <v>730</v>
      </c>
      <c r="DF78" s="303">
        <v>800</v>
      </c>
      <c r="DG78" s="32">
        <v>940</v>
      </c>
      <c r="DH78" s="61">
        <v>200000</v>
      </c>
      <c r="DI78" s="29" t="s">
        <v>4771</v>
      </c>
      <c r="DJ78" s="163" t="s">
        <v>4561</v>
      </c>
      <c r="DK78" s="297" t="s">
        <v>6213</v>
      </c>
    </row>
    <row r="79" spans="1:115">
      <c r="A79" s="18">
        <v>74</v>
      </c>
      <c r="B79" s="326"/>
      <c r="C79" s="326"/>
      <c r="D79" s="346"/>
      <c r="E79" s="334"/>
      <c r="F79" s="326"/>
      <c r="G79" s="329"/>
      <c r="H79" s="329"/>
      <c r="I79" s="329"/>
      <c r="J79" s="41" t="s">
        <v>4398</v>
      </c>
      <c r="K79" s="306" t="s">
        <v>4383</v>
      </c>
      <c r="L79" s="163" t="s">
        <v>5792</v>
      </c>
      <c r="M79" s="306" t="s">
        <v>4508</v>
      </c>
      <c r="N79" s="163" t="s">
        <v>4702</v>
      </c>
      <c r="O79" s="18" t="s">
        <v>4507</v>
      </c>
      <c r="P79" s="163" t="s">
        <v>4420</v>
      </c>
      <c r="Q79" s="163" t="s">
        <v>4420</v>
      </c>
      <c r="R79" s="163" t="s">
        <v>6170</v>
      </c>
      <c r="S79" s="163">
        <v>12</v>
      </c>
      <c r="T79" s="163" t="s">
        <v>4420</v>
      </c>
      <c r="U79" s="163" t="s">
        <v>5792</v>
      </c>
      <c r="V79" s="32" t="s">
        <v>4559</v>
      </c>
      <c r="W79" s="73">
        <v>6</v>
      </c>
      <c r="X79" s="231">
        <v>0</v>
      </c>
      <c r="Y79" s="142">
        <v>0</v>
      </c>
      <c r="Z79" s="306" t="s">
        <v>4217</v>
      </c>
      <c r="AA79" s="21">
        <f>INDEX('[2]Cross-Section Database'!$C$2:$V$2928,MATCH(Z79,'[2]Cross-Section Database'!$B$2:$B$2928,0),3)</f>
        <v>303.39999999999998</v>
      </c>
      <c r="AB79" s="21">
        <f>INDEX('[2]Cross-Section Database'!$C$2:$V$2928,MATCH(Z79,'[2]Cross-Section Database'!$B$2:$B$2928,0),4)</f>
        <v>165</v>
      </c>
      <c r="AC79" s="21">
        <f>INDEX('[2]Cross-Section Database'!$C$2:$V$2928,MATCH(Z79,'[2]Cross-Section Database'!$B$2:$B$2928,0),6)</f>
        <v>10.199999999999999</v>
      </c>
      <c r="AD79" s="21">
        <f>INDEX('[2]Cross-Section Database'!$C$2:$V$2928,MATCH(Z79,'[2]Cross-Section Database'!$B$2:$B$2928,0),5)</f>
        <v>6</v>
      </c>
      <c r="AE79" s="228">
        <v>1000</v>
      </c>
      <c r="AF79" s="306" t="s">
        <v>4239</v>
      </c>
      <c r="AG79" s="21">
        <f>INDEX('[2]Cross-Section Database'!$C$2:$V$2928,MATCH(AF79,'[2]Cross-Section Database'!$B$2:$B$2928,0),3)</f>
        <v>453.4</v>
      </c>
      <c r="AH79" s="21">
        <f>INDEX('[2]Cross-Section Database'!$C$2:$V$2928,MATCH(AF79,'[2]Cross-Section Database'!$B$2:$B$2928,0),4)</f>
        <v>189.9</v>
      </c>
      <c r="AI79" s="21">
        <f>INDEX('[2]Cross-Section Database'!$C$2:$V$2928,MATCH(AF79,'[2]Cross-Section Database'!$B$2:$B$2928,0),6)</f>
        <v>12.7</v>
      </c>
      <c r="AJ79" s="21">
        <f>INDEX('[2]Cross-Section Database'!$C$2:$V$2928,MATCH(AF79,'[2]Cross-Section Database'!$B$2:$B$2928,0),5)</f>
        <v>8.5</v>
      </c>
      <c r="AK79" s="255">
        <v>1500</v>
      </c>
      <c r="AL79" s="21">
        <f>INDEX('[2]Cross-Section Database'!$C$2:$V$3928,MATCH(AF79,'[2]Cross-Section Database'!$B$2:$B$3928,0),11)</f>
        <v>293800000</v>
      </c>
      <c r="AM79" s="24">
        <f>INDEX('[2]Cross-Section Database'!$C$2:$V$3928,MATCH(AF79,'[2]Cross-Section Database'!$B$2:$B$3928,0),12)</f>
        <v>1471000</v>
      </c>
      <c r="AN79" s="21">
        <v>25</v>
      </c>
      <c r="AO79" s="33">
        <f>AB79</f>
        <v>165</v>
      </c>
      <c r="AP79" s="33">
        <v>475</v>
      </c>
      <c r="AQ79" s="21">
        <f t="shared" si="16"/>
        <v>10.600000000000023</v>
      </c>
      <c r="AR79" s="21">
        <v>11</v>
      </c>
      <c r="AS79" s="306" t="s">
        <v>5807</v>
      </c>
      <c r="AT79" s="163" t="s">
        <v>6134</v>
      </c>
      <c r="AU79" s="163">
        <v>111</v>
      </c>
      <c r="AV79" s="163">
        <v>22</v>
      </c>
      <c r="AW79" s="163">
        <f>IF(AV79=24,353,IF(AV79=22,303,IF(AV79=20,245,IF(AV79=16,157,0))))</f>
        <v>303</v>
      </c>
      <c r="AX79" s="33">
        <v>61</v>
      </c>
      <c r="AY79" s="33">
        <v>61</v>
      </c>
      <c r="AZ79" s="33">
        <v>75</v>
      </c>
      <c r="BA79" s="33">
        <v>90</v>
      </c>
      <c r="BB79" s="33">
        <f>AP79-AX79-AY79-2*AZ79</f>
        <v>203</v>
      </c>
      <c r="BC79" s="15" t="s">
        <v>4420</v>
      </c>
      <c r="BD79" s="163" t="s">
        <v>4465</v>
      </c>
      <c r="BE79" s="163" t="s">
        <v>4465</v>
      </c>
      <c r="BF79" s="163">
        <v>4</v>
      </c>
      <c r="BG79" s="18">
        <v>8</v>
      </c>
      <c r="BH79" s="202" t="s">
        <v>5792</v>
      </c>
      <c r="BI79" s="203" t="s">
        <v>5792</v>
      </c>
      <c r="BJ79" s="203" t="s">
        <v>5792</v>
      </c>
      <c r="BK79" s="203" t="s">
        <v>5792</v>
      </c>
      <c r="BL79" s="203" t="s">
        <v>5792</v>
      </c>
      <c r="BM79" s="203" t="s">
        <v>5792</v>
      </c>
      <c r="BN79" s="203" t="s">
        <v>5792</v>
      </c>
      <c r="BO79" s="203" t="s">
        <v>5792</v>
      </c>
      <c r="BP79" s="202" t="s">
        <v>5792</v>
      </c>
      <c r="BQ79" s="203" t="s">
        <v>5792</v>
      </c>
      <c r="BR79" s="203" t="s">
        <v>5792</v>
      </c>
      <c r="BS79" s="203" t="s">
        <v>5792</v>
      </c>
      <c r="BT79" s="203" t="s">
        <v>5792</v>
      </c>
      <c r="BU79" s="203" t="s">
        <v>5792</v>
      </c>
      <c r="BV79" s="218" t="s">
        <v>5792</v>
      </c>
      <c r="BW79" s="203" t="s">
        <v>5792</v>
      </c>
      <c r="BX79" s="203" t="s">
        <v>5792</v>
      </c>
      <c r="BY79" s="203" t="s">
        <v>5792</v>
      </c>
      <c r="BZ79" s="203" t="s">
        <v>5792</v>
      </c>
      <c r="CA79" s="203" t="s">
        <v>5792</v>
      </c>
      <c r="CB79" s="218" t="s">
        <v>5792</v>
      </c>
      <c r="CC79" s="32" t="s">
        <v>4449</v>
      </c>
      <c r="CD79" s="47">
        <v>235</v>
      </c>
      <c r="CE79" s="32">
        <v>300</v>
      </c>
      <c r="CF79" s="47">
        <v>360</v>
      </c>
      <c r="CG79" s="32">
        <v>450</v>
      </c>
      <c r="CH79" s="67">
        <v>200000</v>
      </c>
      <c r="CI79" s="107" t="s">
        <v>4449</v>
      </c>
      <c r="CJ79" s="47">
        <v>235</v>
      </c>
      <c r="CK79" s="32">
        <v>300</v>
      </c>
      <c r="CL79" s="60">
        <v>360</v>
      </c>
      <c r="CM79" s="32">
        <v>450</v>
      </c>
      <c r="CN79" s="67">
        <v>200000</v>
      </c>
      <c r="CO79" s="32" t="s">
        <v>4449</v>
      </c>
      <c r="CP79" s="47">
        <v>235</v>
      </c>
      <c r="CQ79" s="32">
        <v>300</v>
      </c>
      <c r="CR79" s="60">
        <v>360</v>
      </c>
      <c r="CS79" s="32">
        <v>450</v>
      </c>
      <c r="CT79" s="61">
        <v>200000</v>
      </c>
      <c r="CU79" s="207" t="s">
        <v>5792</v>
      </c>
      <c r="CV79" s="208" t="s">
        <v>5792</v>
      </c>
      <c r="CW79" s="208" t="s">
        <v>5792</v>
      </c>
      <c r="CX79" s="209" t="s">
        <v>5792</v>
      </c>
      <c r="CY79" s="207" t="s">
        <v>5792</v>
      </c>
      <c r="CZ79" s="208" t="s">
        <v>5792</v>
      </c>
      <c r="DA79" s="209" t="s">
        <v>5792</v>
      </c>
      <c r="DB79" s="283" t="s">
        <v>5792</v>
      </c>
      <c r="DC79" s="163" t="s">
        <v>4514</v>
      </c>
      <c r="DD79" s="303">
        <v>640</v>
      </c>
      <c r="DE79" s="32">
        <v>730</v>
      </c>
      <c r="DF79" s="303">
        <v>800</v>
      </c>
      <c r="DG79" s="32">
        <v>940</v>
      </c>
      <c r="DH79" s="61">
        <v>200000</v>
      </c>
      <c r="DI79" s="29" t="s">
        <v>4771</v>
      </c>
      <c r="DJ79" s="163" t="s">
        <v>4561</v>
      </c>
      <c r="DK79" s="297" t="s">
        <v>6214</v>
      </c>
    </row>
    <row r="80" spans="1:115" ht="16.2" thickBot="1">
      <c r="A80" s="14">
        <v>75</v>
      </c>
      <c r="B80" s="327"/>
      <c r="C80" s="327"/>
      <c r="D80" s="347"/>
      <c r="E80" s="335"/>
      <c r="F80" s="327"/>
      <c r="G80" s="330"/>
      <c r="H80" s="330"/>
      <c r="I80" s="330"/>
      <c r="J80" s="42" t="s">
        <v>4399</v>
      </c>
      <c r="K80" s="143" t="s">
        <v>4383</v>
      </c>
      <c r="L80" s="164" t="s">
        <v>5792</v>
      </c>
      <c r="M80" s="143" t="s">
        <v>4508</v>
      </c>
      <c r="N80" s="164" t="s">
        <v>4702</v>
      </c>
      <c r="O80" s="14" t="s">
        <v>4507</v>
      </c>
      <c r="P80" s="164" t="s">
        <v>4420</v>
      </c>
      <c r="Q80" s="164" t="s">
        <v>4420</v>
      </c>
      <c r="R80" s="164" t="s">
        <v>6170</v>
      </c>
      <c r="S80" s="164">
        <v>10</v>
      </c>
      <c r="T80" s="164" t="s">
        <v>4420</v>
      </c>
      <c r="U80" s="164" t="s">
        <v>5792</v>
      </c>
      <c r="V80" s="34" t="s">
        <v>4559</v>
      </c>
      <c r="W80" s="118">
        <v>6</v>
      </c>
      <c r="X80" s="233">
        <v>0</v>
      </c>
      <c r="Y80" s="156">
        <v>0</v>
      </c>
      <c r="Z80" s="143" t="s">
        <v>4217</v>
      </c>
      <c r="AA80" s="23">
        <f>INDEX('[2]Cross-Section Database'!$C$2:$V$2928,MATCH(Z80,'[2]Cross-Section Database'!$B$2:$B$2928,0),3)</f>
        <v>303.39999999999998</v>
      </c>
      <c r="AB80" s="23">
        <f>INDEX('[2]Cross-Section Database'!$C$2:$V$2928,MATCH(Z80,'[2]Cross-Section Database'!$B$2:$B$2928,0),4)</f>
        <v>165</v>
      </c>
      <c r="AC80" s="23">
        <f>INDEX('[2]Cross-Section Database'!$C$2:$V$2928,MATCH(Z80,'[2]Cross-Section Database'!$B$2:$B$2928,0),6)</f>
        <v>10.199999999999999</v>
      </c>
      <c r="AD80" s="23">
        <f>INDEX('[2]Cross-Section Database'!$C$2:$V$2928,MATCH(Z80,'[2]Cross-Section Database'!$B$2:$B$2928,0),5)</f>
        <v>6</v>
      </c>
      <c r="AE80" s="229">
        <v>1000</v>
      </c>
      <c r="AF80" s="143" t="s">
        <v>4239</v>
      </c>
      <c r="AG80" s="23">
        <f>INDEX('[2]Cross-Section Database'!$C$2:$V$2928,MATCH(AF80,'[2]Cross-Section Database'!$B$2:$B$2928,0),3)</f>
        <v>453.4</v>
      </c>
      <c r="AH80" s="23">
        <f>INDEX('[2]Cross-Section Database'!$C$2:$V$2928,MATCH(AF80,'[2]Cross-Section Database'!$B$2:$B$2928,0),4)</f>
        <v>189.9</v>
      </c>
      <c r="AI80" s="23">
        <f>INDEX('[2]Cross-Section Database'!$C$2:$V$2928,MATCH(AF80,'[2]Cross-Section Database'!$B$2:$B$2928,0),6)</f>
        <v>12.7</v>
      </c>
      <c r="AJ80" s="23">
        <f>INDEX('[2]Cross-Section Database'!$C$2:$V$2928,MATCH(AF80,'[2]Cross-Section Database'!$B$2:$B$2928,0),5)</f>
        <v>8.5</v>
      </c>
      <c r="AK80" s="257">
        <v>1500</v>
      </c>
      <c r="AL80" s="23">
        <f>INDEX('[2]Cross-Section Database'!$C$2:$V$3928,MATCH(AF80,'[2]Cross-Section Database'!$B$2:$B$3928,0),11)</f>
        <v>293800000</v>
      </c>
      <c r="AM80" s="25">
        <f>INDEX('[2]Cross-Section Database'!$C$2:$V$3928,MATCH(AF80,'[2]Cross-Section Database'!$B$2:$B$3928,0),12)</f>
        <v>1471000</v>
      </c>
      <c r="AN80" s="23">
        <v>25</v>
      </c>
      <c r="AO80" s="35">
        <f>AB80</f>
        <v>165</v>
      </c>
      <c r="AP80" s="35">
        <v>475</v>
      </c>
      <c r="AQ80" s="23">
        <f t="shared" si="16"/>
        <v>10.600000000000023</v>
      </c>
      <c r="AR80" s="23">
        <v>11</v>
      </c>
      <c r="AS80" s="143" t="s">
        <v>5807</v>
      </c>
      <c r="AT80" s="164" t="s">
        <v>6134</v>
      </c>
      <c r="AU80" s="164">
        <v>130</v>
      </c>
      <c r="AV80" s="164">
        <v>22</v>
      </c>
      <c r="AW80" s="164">
        <f>IF(AV80=24,353,IF(AV80=22,303,IF(AV80=20,245,IF(AV80=16,157,0))))</f>
        <v>303</v>
      </c>
      <c r="AX80" s="35">
        <v>61</v>
      </c>
      <c r="AY80" s="35">
        <v>61</v>
      </c>
      <c r="AZ80" s="35">
        <v>75</v>
      </c>
      <c r="BA80" s="35">
        <v>90</v>
      </c>
      <c r="BB80" s="35">
        <f>AP80-AX80-AY80-2*AZ80</f>
        <v>203</v>
      </c>
      <c r="BC80" s="19" t="s">
        <v>4420</v>
      </c>
      <c r="BD80" s="164" t="s">
        <v>4465</v>
      </c>
      <c r="BE80" s="164" t="s">
        <v>4465</v>
      </c>
      <c r="BF80" s="164">
        <v>4</v>
      </c>
      <c r="BG80" s="14">
        <v>8</v>
      </c>
      <c r="BH80" s="197" t="s">
        <v>5792</v>
      </c>
      <c r="BI80" s="198" t="s">
        <v>5792</v>
      </c>
      <c r="BJ80" s="198" t="s">
        <v>5792</v>
      </c>
      <c r="BK80" s="198" t="s">
        <v>5792</v>
      </c>
      <c r="BL80" s="198" t="s">
        <v>5792</v>
      </c>
      <c r="BM80" s="198" t="s">
        <v>5792</v>
      </c>
      <c r="BN80" s="198" t="s">
        <v>5792</v>
      </c>
      <c r="BO80" s="198" t="s">
        <v>5792</v>
      </c>
      <c r="BP80" s="197" t="s">
        <v>5792</v>
      </c>
      <c r="BQ80" s="198" t="s">
        <v>5792</v>
      </c>
      <c r="BR80" s="198" t="s">
        <v>5792</v>
      </c>
      <c r="BS80" s="198" t="s">
        <v>5792</v>
      </c>
      <c r="BT80" s="198" t="s">
        <v>5792</v>
      </c>
      <c r="BU80" s="198" t="s">
        <v>5792</v>
      </c>
      <c r="BV80" s="220" t="s">
        <v>5792</v>
      </c>
      <c r="BW80" s="198" t="s">
        <v>5792</v>
      </c>
      <c r="BX80" s="198" t="s">
        <v>5792</v>
      </c>
      <c r="BY80" s="198" t="s">
        <v>5792</v>
      </c>
      <c r="BZ80" s="198" t="s">
        <v>5792</v>
      </c>
      <c r="CA80" s="198" t="s">
        <v>5792</v>
      </c>
      <c r="CB80" s="220" t="s">
        <v>5792</v>
      </c>
      <c r="CC80" s="34" t="s">
        <v>4449</v>
      </c>
      <c r="CD80" s="85">
        <v>235</v>
      </c>
      <c r="CE80" s="34">
        <v>300</v>
      </c>
      <c r="CF80" s="85">
        <v>360</v>
      </c>
      <c r="CG80" s="34">
        <v>450</v>
      </c>
      <c r="CH80" s="70">
        <v>200000</v>
      </c>
      <c r="CI80" s="132" t="s">
        <v>4449</v>
      </c>
      <c r="CJ80" s="85">
        <v>235</v>
      </c>
      <c r="CK80" s="34">
        <v>300</v>
      </c>
      <c r="CL80" s="87">
        <v>360</v>
      </c>
      <c r="CM80" s="34">
        <v>450</v>
      </c>
      <c r="CN80" s="70">
        <v>200000</v>
      </c>
      <c r="CO80" s="34" t="s">
        <v>4449</v>
      </c>
      <c r="CP80" s="85">
        <v>235</v>
      </c>
      <c r="CQ80" s="34">
        <v>300</v>
      </c>
      <c r="CR80" s="87">
        <v>360</v>
      </c>
      <c r="CS80" s="34">
        <v>450</v>
      </c>
      <c r="CT80" s="77">
        <v>200000</v>
      </c>
      <c r="CU80" s="210" t="s">
        <v>5792</v>
      </c>
      <c r="CV80" s="211" t="s">
        <v>5792</v>
      </c>
      <c r="CW80" s="211" t="s">
        <v>5792</v>
      </c>
      <c r="CX80" s="212" t="s">
        <v>5792</v>
      </c>
      <c r="CY80" s="210" t="s">
        <v>5792</v>
      </c>
      <c r="CZ80" s="211" t="s">
        <v>5792</v>
      </c>
      <c r="DA80" s="212" t="s">
        <v>5792</v>
      </c>
      <c r="DB80" s="284" t="s">
        <v>5792</v>
      </c>
      <c r="DC80" s="164" t="s">
        <v>4514</v>
      </c>
      <c r="DD80" s="304">
        <v>640</v>
      </c>
      <c r="DE80" s="34">
        <v>730</v>
      </c>
      <c r="DF80" s="304">
        <v>800</v>
      </c>
      <c r="DG80" s="34">
        <v>940</v>
      </c>
      <c r="DH80" s="77">
        <v>200000</v>
      </c>
      <c r="DI80" s="27" t="s">
        <v>4771</v>
      </c>
      <c r="DJ80" s="164" t="s">
        <v>4561</v>
      </c>
      <c r="DK80" s="298" t="s">
        <v>6215</v>
      </c>
    </row>
    <row r="81" spans="1:115" ht="15.6" customHeight="1">
      <c r="A81" s="17">
        <v>76</v>
      </c>
      <c r="B81" s="325">
        <v>8</v>
      </c>
      <c r="C81" s="325">
        <v>1981</v>
      </c>
      <c r="D81" s="468" t="s">
        <v>5863</v>
      </c>
      <c r="E81" s="342" t="s">
        <v>5862</v>
      </c>
      <c r="F81" s="325">
        <v>6</v>
      </c>
      <c r="G81" s="328" t="s">
        <v>5903</v>
      </c>
      <c r="H81" s="328" t="s">
        <v>5902</v>
      </c>
      <c r="I81" s="328" t="s">
        <v>6225</v>
      </c>
      <c r="J81" s="43" t="s">
        <v>4512</v>
      </c>
      <c r="K81" s="305" t="s">
        <v>4383</v>
      </c>
      <c r="L81" s="163" t="s">
        <v>5792</v>
      </c>
      <c r="M81" s="305" t="s">
        <v>4508</v>
      </c>
      <c r="N81" s="162" t="s">
        <v>4701</v>
      </c>
      <c r="O81" s="17" t="s">
        <v>4507</v>
      </c>
      <c r="P81" s="162" t="s">
        <v>4420</v>
      </c>
      <c r="Q81" s="162" t="s">
        <v>4420</v>
      </c>
      <c r="R81" s="162" t="s">
        <v>6169</v>
      </c>
      <c r="S81" s="163">
        <v>10</v>
      </c>
      <c r="T81" s="162" t="s">
        <v>4420</v>
      </c>
      <c r="U81" s="163" t="s">
        <v>5792</v>
      </c>
      <c r="V81" s="162" t="s">
        <v>4559</v>
      </c>
      <c r="W81" s="17">
        <v>8</v>
      </c>
      <c r="X81" s="232">
        <v>0</v>
      </c>
      <c r="Y81" s="155">
        <v>0</v>
      </c>
      <c r="Z81" s="305" t="s">
        <v>4344</v>
      </c>
      <c r="AA81" s="16">
        <f>INDEX('[2]Cross-Section Database'!$C$2:$V$2928,MATCH(Z81,'[2]Cross-Section Database'!$B$2:$B$2928,0),3)</f>
        <v>215.8</v>
      </c>
      <c r="AB81" s="16">
        <f>INDEX('[2]Cross-Section Database'!$C$2:$V$2928,MATCH(Z81,'[2]Cross-Section Database'!$B$2:$B$2928,0),4)</f>
        <v>206.4</v>
      </c>
      <c r="AC81" s="45">
        <f>INDEX('[2]Cross-Section Database'!$C$2:$V$2928,MATCH(Z81,'[2]Cross-Section Database'!$B$2:$B$2928,0),6)</f>
        <v>17.3</v>
      </c>
      <c r="AD81" s="45">
        <f>INDEX('[2]Cross-Section Database'!$C$2:$V$2928,MATCH(Z81,'[2]Cross-Section Database'!$B$2:$B$2928,0),5)</f>
        <v>10</v>
      </c>
      <c r="AE81" s="26">
        <v>1150</v>
      </c>
      <c r="AF81" s="162" t="s">
        <v>4227</v>
      </c>
      <c r="AG81" s="16">
        <f>INDEX('[2]Cross-Section Database'!$C$2:$V$2928,MATCH(AF81,'[2]Cross-Section Database'!$B$2:$B$2928,0),3)</f>
        <v>403.2</v>
      </c>
      <c r="AH81" s="16">
        <f>INDEX('[2]Cross-Section Database'!$C$2:$V$2928,MATCH(AF81,'[2]Cross-Section Database'!$B$2:$B$2928,0),4)</f>
        <v>142.19999999999999</v>
      </c>
      <c r="AI81" s="16">
        <f>INDEX('[2]Cross-Section Database'!$C$2:$V$2928,MATCH(AF81,'[2]Cross-Section Database'!$B$2:$B$2928,0),6)</f>
        <v>11.2</v>
      </c>
      <c r="AJ81" s="16">
        <f>INDEX('[2]Cross-Section Database'!$C$2:$V$2928,MATCH(AF81,'[2]Cross-Section Database'!$B$2:$B$2928,0),5)</f>
        <v>6.8</v>
      </c>
      <c r="AK81" s="16">
        <v>912</v>
      </c>
      <c r="AL81" s="16">
        <f>INDEX('[2]Cross-Section Database'!$C$2:$V$3928,MATCH(AF81,'[2]Cross-Section Database'!$B$2:$B$3928,0),11)</f>
        <v>156900000</v>
      </c>
      <c r="AM81" s="26">
        <f>INDEX('[2]Cross-Section Database'!$C$2:$V$3928,MATCH(AF81,'[2]Cross-Section Database'!$B$2:$B$3928,0),12)</f>
        <v>887600</v>
      </c>
      <c r="AN81" s="102">
        <v>12</v>
      </c>
      <c r="AO81" s="16">
        <v>200</v>
      </c>
      <c r="AP81" s="16">
        <v>440</v>
      </c>
      <c r="AQ81" s="16">
        <v>32.5</v>
      </c>
      <c r="AR81" s="16">
        <v>32.5</v>
      </c>
      <c r="AS81" s="305" t="s">
        <v>5807</v>
      </c>
      <c r="AT81" s="162" t="s">
        <v>6134</v>
      </c>
      <c r="AU81" s="162">
        <v>185</v>
      </c>
      <c r="AV81" s="162">
        <v>22</v>
      </c>
      <c r="AW81" s="162">
        <f t="shared" ref="AW81:AW86" si="17">IF(AV81=24,353,IF(AV81=22,303,IF(AV81=20,245,IF(AV81=16,157,0))))</f>
        <v>303</v>
      </c>
      <c r="AX81" s="16">
        <v>82.5</v>
      </c>
      <c r="AY81" s="16">
        <v>82.5</v>
      </c>
      <c r="AZ81" s="16">
        <v>75</v>
      </c>
      <c r="BA81" s="16">
        <v>125</v>
      </c>
      <c r="BB81" s="16">
        <v>125</v>
      </c>
      <c r="BC81" s="22" t="s">
        <v>4420</v>
      </c>
      <c r="BD81" s="162" t="s">
        <v>6210</v>
      </c>
      <c r="BE81" s="162" t="s">
        <v>6209</v>
      </c>
      <c r="BF81" s="162">
        <v>6</v>
      </c>
      <c r="BG81" s="162">
        <v>8</v>
      </c>
      <c r="BH81" s="200" t="s">
        <v>5792</v>
      </c>
      <c r="BI81" s="201" t="s">
        <v>5792</v>
      </c>
      <c r="BJ81" s="201" t="s">
        <v>5792</v>
      </c>
      <c r="BK81" s="201" t="s">
        <v>5792</v>
      </c>
      <c r="BL81" s="201" t="s">
        <v>5792</v>
      </c>
      <c r="BM81" s="201" t="s">
        <v>5792</v>
      </c>
      <c r="BN81" s="201" t="s">
        <v>5792</v>
      </c>
      <c r="BO81" s="201" t="s">
        <v>5792</v>
      </c>
      <c r="BP81" s="200" t="s">
        <v>5792</v>
      </c>
      <c r="BQ81" s="201" t="s">
        <v>5792</v>
      </c>
      <c r="BR81" s="201" t="s">
        <v>5792</v>
      </c>
      <c r="BS81" s="201" t="s">
        <v>5792</v>
      </c>
      <c r="BT81" s="201" t="s">
        <v>5792</v>
      </c>
      <c r="BU81" s="201" t="s">
        <v>5792</v>
      </c>
      <c r="BV81" s="201" t="s">
        <v>5792</v>
      </c>
      <c r="BW81" s="200" t="s">
        <v>5792</v>
      </c>
      <c r="BX81" s="201" t="s">
        <v>5792</v>
      </c>
      <c r="BY81" s="201" t="s">
        <v>5792</v>
      </c>
      <c r="BZ81" s="201" t="s">
        <v>5792</v>
      </c>
      <c r="CA81" s="201" t="s">
        <v>5792</v>
      </c>
      <c r="CB81" s="219" t="s">
        <v>5792</v>
      </c>
      <c r="CC81" s="146" t="s">
        <v>5665</v>
      </c>
      <c r="CD81" s="72">
        <v>275</v>
      </c>
      <c r="CE81" s="30">
        <v>300</v>
      </c>
      <c r="CF81" s="72">
        <v>410</v>
      </c>
      <c r="CG81" s="30">
        <v>450</v>
      </c>
      <c r="CH81" s="66">
        <v>200000</v>
      </c>
      <c r="CI81" s="146" t="s">
        <v>5665</v>
      </c>
      <c r="CJ81" s="72">
        <v>275</v>
      </c>
      <c r="CK81" s="30">
        <v>300</v>
      </c>
      <c r="CL81" s="72">
        <v>410</v>
      </c>
      <c r="CM81" s="30">
        <v>450</v>
      </c>
      <c r="CN81" s="66">
        <v>200000</v>
      </c>
      <c r="CO81" s="146" t="s">
        <v>5665</v>
      </c>
      <c r="CP81" s="72">
        <v>275</v>
      </c>
      <c r="CQ81" s="30">
        <v>300</v>
      </c>
      <c r="CR81" s="72">
        <v>410</v>
      </c>
      <c r="CS81" s="30">
        <v>450</v>
      </c>
      <c r="CT81" s="66">
        <v>200000</v>
      </c>
      <c r="CU81" s="204" t="s">
        <v>5792</v>
      </c>
      <c r="CV81" s="205" t="s">
        <v>5792</v>
      </c>
      <c r="CW81" s="205" t="s">
        <v>5792</v>
      </c>
      <c r="CX81" s="206" t="s">
        <v>5792</v>
      </c>
      <c r="CY81" s="204" t="s">
        <v>5792</v>
      </c>
      <c r="CZ81" s="205" t="s">
        <v>5792</v>
      </c>
      <c r="DA81" s="206" t="s">
        <v>5792</v>
      </c>
      <c r="DB81" s="282" t="s">
        <v>5792</v>
      </c>
      <c r="DC81" s="162" t="s">
        <v>4514</v>
      </c>
      <c r="DD81" s="302">
        <v>660</v>
      </c>
      <c r="DE81" s="30">
        <v>730</v>
      </c>
      <c r="DF81" s="302">
        <v>830</v>
      </c>
      <c r="DG81" s="30">
        <v>940</v>
      </c>
      <c r="DH81" s="76">
        <v>200000</v>
      </c>
      <c r="DI81" s="28" t="s">
        <v>4770</v>
      </c>
      <c r="DJ81" s="302" t="s">
        <v>6055</v>
      </c>
      <c r="DK81" s="296" t="s">
        <v>6089</v>
      </c>
    </row>
    <row r="82" spans="1:115">
      <c r="A82" s="18">
        <v>77</v>
      </c>
      <c r="B82" s="326"/>
      <c r="C82" s="326"/>
      <c r="D82" s="469"/>
      <c r="E82" s="343"/>
      <c r="F82" s="326"/>
      <c r="G82" s="329"/>
      <c r="H82" s="329"/>
      <c r="I82" s="329"/>
      <c r="J82" s="41" t="s">
        <v>4397</v>
      </c>
      <c r="K82" s="306" t="s">
        <v>4383</v>
      </c>
      <c r="L82" s="163" t="s">
        <v>5792</v>
      </c>
      <c r="M82" s="306" t="s">
        <v>4508</v>
      </c>
      <c r="N82" s="163" t="s">
        <v>4701</v>
      </c>
      <c r="O82" s="18" t="s">
        <v>4507</v>
      </c>
      <c r="P82" s="163" t="s">
        <v>4420</v>
      </c>
      <c r="Q82" s="163" t="s">
        <v>4420</v>
      </c>
      <c r="R82" s="163" t="s">
        <v>6169</v>
      </c>
      <c r="S82" s="163">
        <v>10</v>
      </c>
      <c r="T82" s="163" t="s">
        <v>4420</v>
      </c>
      <c r="U82" s="163" t="s">
        <v>5792</v>
      </c>
      <c r="V82" s="163" t="s">
        <v>4559</v>
      </c>
      <c r="W82" s="18">
        <v>8</v>
      </c>
      <c r="X82" s="231">
        <v>0</v>
      </c>
      <c r="Y82" s="142">
        <v>0</v>
      </c>
      <c r="Z82" s="306" t="s">
        <v>4344</v>
      </c>
      <c r="AA82" s="21">
        <f>INDEX('[2]Cross-Section Database'!$C$2:$V$2928,MATCH(Z82,'[2]Cross-Section Database'!$B$2:$B$2928,0),3)</f>
        <v>215.8</v>
      </c>
      <c r="AB82" s="21">
        <f>INDEX('[2]Cross-Section Database'!$C$2:$V$2928,MATCH(Z82,'[2]Cross-Section Database'!$B$2:$B$2928,0),4)</f>
        <v>206.4</v>
      </c>
      <c r="AC82" s="46">
        <f>INDEX('[2]Cross-Section Database'!$C$2:$V$2928,MATCH(Z82,'[2]Cross-Section Database'!$B$2:$B$2928,0),6)</f>
        <v>17.3</v>
      </c>
      <c r="AD82" s="46">
        <f>INDEX('[2]Cross-Section Database'!$C$2:$V$2928,MATCH(Z82,'[2]Cross-Section Database'!$B$2:$B$2928,0),5)</f>
        <v>10</v>
      </c>
      <c r="AE82" s="24">
        <v>1150</v>
      </c>
      <c r="AF82" s="163" t="s">
        <v>4227</v>
      </c>
      <c r="AG82" s="21">
        <f>INDEX('[2]Cross-Section Database'!$C$2:$V$2928,MATCH(AF82,'[2]Cross-Section Database'!$B$2:$B$2928,0),3)</f>
        <v>403.2</v>
      </c>
      <c r="AH82" s="21">
        <f>INDEX('[2]Cross-Section Database'!$C$2:$V$2928,MATCH(AF82,'[2]Cross-Section Database'!$B$2:$B$2928,0),4)</f>
        <v>142.19999999999999</v>
      </c>
      <c r="AI82" s="21">
        <f>INDEX('[2]Cross-Section Database'!$C$2:$V$2928,MATCH(AF82,'[2]Cross-Section Database'!$B$2:$B$2928,0),6)</f>
        <v>11.2</v>
      </c>
      <c r="AJ82" s="21">
        <f>INDEX('[2]Cross-Section Database'!$C$2:$V$2928,MATCH(AF82,'[2]Cross-Section Database'!$B$2:$B$2928,0),5)</f>
        <v>6.8</v>
      </c>
      <c r="AK82" s="21">
        <v>912</v>
      </c>
      <c r="AL82" s="21">
        <f>INDEX('[2]Cross-Section Database'!$C$2:$V$3928,MATCH(AF82,'[2]Cross-Section Database'!$B$2:$B$3928,0),11)</f>
        <v>156900000</v>
      </c>
      <c r="AM82" s="24">
        <f>INDEX('[2]Cross-Section Database'!$C$2:$V$3928,MATCH(AF82,'[2]Cross-Section Database'!$B$2:$B$3928,0),12)</f>
        <v>887600</v>
      </c>
      <c r="AN82" s="103">
        <v>12</v>
      </c>
      <c r="AO82" s="21">
        <v>200</v>
      </c>
      <c r="AP82" s="21">
        <v>440</v>
      </c>
      <c r="AQ82" s="21">
        <v>32.5</v>
      </c>
      <c r="AR82" s="21">
        <v>32.5</v>
      </c>
      <c r="AS82" s="306" t="s">
        <v>5807</v>
      </c>
      <c r="AT82" s="163" t="s">
        <v>6134</v>
      </c>
      <c r="AU82" s="163">
        <v>185</v>
      </c>
      <c r="AV82" s="163">
        <v>22</v>
      </c>
      <c r="AW82" s="163">
        <f t="shared" si="17"/>
        <v>303</v>
      </c>
      <c r="AX82" s="21">
        <v>82.5</v>
      </c>
      <c r="AY82" s="21">
        <v>82.5</v>
      </c>
      <c r="AZ82" s="21">
        <v>75</v>
      </c>
      <c r="BA82" s="21">
        <v>125</v>
      </c>
      <c r="BB82" s="21">
        <v>125</v>
      </c>
      <c r="BC82" s="15" t="s">
        <v>4420</v>
      </c>
      <c r="BD82" s="163" t="s">
        <v>6210</v>
      </c>
      <c r="BE82" s="163" t="s">
        <v>6209</v>
      </c>
      <c r="BF82" s="163">
        <v>6</v>
      </c>
      <c r="BG82" s="163">
        <v>8</v>
      </c>
      <c r="BH82" s="202" t="s">
        <v>5792</v>
      </c>
      <c r="BI82" s="203" t="s">
        <v>5792</v>
      </c>
      <c r="BJ82" s="203" t="s">
        <v>5792</v>
      </c>
      <c r="BK82" s="203" t="s">
        <v>5792</v>
      </c>
      <c r="BL82" s="203" t="s">
        <v>5792</v>
      </c>
      <c r="BM82" s="203" t="s">
        <v>5792</v>
      </c>
      <c r="BN82" s="203" t="s">
        <v>5792</v>
      </c>
      <c r="BO82" s="203" t="s">
        <v>5792</v>
      </c>
      <c r="BP82" s="202" t="s">
        <v>5792</v>
      </c>
      <c r="BQ82" s="203" t="s">
        <v>5792</v>
      </c>
      <c r="BR82" s="203" t="s">
        <v>5792</v>
      </c>
      <c r="BS82" s="203" t="s">
        <v>5792</v>
      </c>
      <c r="BT82" s="203" t="s">
        <v>5792</v>
      </c>
      <c r="BU82" s="203" t="s">
        <v>5792</v>
      </c>
      <c r="BV82" s="203" t="s">
        <v>5792</v>
      </c>
      <c r="BW82" s="202" t="s">
        <v>5792</v>
      </c>
      <c r="BX82" s="203" t="s">
        <v>5792</v>
      </c>
      <c r="BY82" s="203" t="s">
        <v>5792</v>
      </c>
      <c r="BZ82" s="203" t="s">
        <v>5792</v>
      </c>
      <c r="CA82" s="203" t="s">
        <v>5792</v>
      </c>
      <c r="CB82" s="218" t="s">
        <v>5792</v>
      </c>
      <c r="CC82" s="136" t="s">
        <v>5665</v>
      </c>
      <c r="CD82" s="47">
        <v>275</v>
      </c>
      <c r="CE82" s="32">
        <v>300</v>
      </c>
      <c r="CF82" s="47">
        <v>410</v>
      </c>
      <c r="CG82" s="32">
        <v>450</v>
      </c>
      <c r="CH82" s="67">
        <v>200000</v>
      </c>
      <c r="CI82" s="136" t="s">
        <v>5665</v>
      </c>
      <c r="CJ82" s="47">
        <v>275</v>
      </c>
      <c r="CK82" s="32">
        <v>300</v>
      </c>
      <c r="CL82" s="47">
        <v>410</v>
      </c>
      <c r="CM82" s="32">
        <v>450</v>
      </c>
      <c r="CN82" s="67">
        <v>200000</v>
      </c>
      <c r="CO82" s="136" t="s">
        <v>5665</v>
      </c>
      <c r="CP82" s="47">
        <v>275</v>
      </c>
      <c r="CQ82" s="32">
        <v>300</v>
      </c>
      <c r="CR82" s="47">
        <v>410</v>
      </c>
      <c r="CS82" s="32">
        <v>450</v>
      </c>
      <c r="CT82" s="67">
        <v>200000</v>
      </c>
      <c r="CU82" s="207" t="s">
        <v>5792</v>
      </c>
      <c r="CV82" s="208" t="s">
        <v>5792</v>
      </c>
      <c r="CW82" s="208" t="s">
        <v>5792</v>
      </c>
      <c r="CX82" s="209" t="s">
        <v>5792</v>
      </c>
      <c r="CY82" s="207" t="s">
        <v>5792</v>
      </c>
      <c r="CZ82" s="208" t="s">
        <v>5792</v>
      </c>
      <c r="DA82" s="209" t="s">
        <v>5792</v>
      </c>
      <c r="DB82" s="283" t="s">
        <v>5792</v>
      </c>
      <c r="DC82" s="163" t="s">
        <v>4514</v>
      </c>
      <c r="DD82" s="303">
        <v>660</v>
      </c>
      <c r="DE82" s="32">
        <v>730</v>
      </c>
      <c r="DF82" s="303">
        <v>830</v>
      </c>
      <c r="DG82" s="32">
        <v>940</v>
      </c>
      <c r="DH82" s="61">
        <v>200000</v>
      </c>
      <c r="DI82" s="29" t="s">
        <v>5832</v>
      </c>
      <c r="DJ82" s="303" t="s">
        <v>6055</v>
      </c>
      <c r="DK82" s="297" t="s">
        <v>6090</v>
      </c>
    </row>
    <row r="83" spans="1:115">
      <c r="A83" s="18">
        <v>78</v>
      </c>
      <c r="B83" s="326"/>
      <c r="C83" s="326"/>
      <c r="D83" s="469"/>
      <c r="E83" s="343"/>
      <c r="F83" s="326"/>
      <c r="G83" s="329"/>
      <c r="H83" s="329"/>
      <c r="I83" s="329"/>
      <c r="J83" s="41" t="s">
        <v>4398</v>
      </c>
      <c r="K83" s="306" t="s">
        <v>4383</v>
      </c>
      <c r="L83" s="163" t="s">
        <v>5792</v>
      </c>
      <c r="M83" s="306" t="s">
        <v>4508</v>
      </c>
      <c r="N83" s="163" t="s">
        <v>4701</v>
      </c>
      <c r="O83" s="18" t="s">
        <v>4507</v>
      </c>
      <c r="P83" s="163" t="s">
        <v>4420</v>
      </c>
      <c r="Q83" s="163" t="s">
        <v>4420</v>
      </c>
      <c r="R83" s="163" t="s">
        <v>6169</v>
      </c>
      <c r="S83" s="163">
        <v>10</v>
      </c>
      <c r="T83" s="163" t="s">
        <v>4420</v>
      </c>
      <c r="U83" s="163" t="s">
        <v>5792</v>
      </c>
      <c r="V83" s="163" t="s">
        <v>4559</v>
      </c>
      <c r="W83" s="18">
        <v>8</v>
      </c>
      <c r="X83" s="231">
        <v>0</v>
      </c>
      <c r="Y83" s="142">
        <v>0</v>
      </c>
      <c r="Z83" s="306" t="s">
        <v>4344</v>
      </c>
      <c r="AA83" s="21">
        <f>INDEX('[2]Cross-Section Database'!$C$2:$V$2928,MATCH(Z83,'[2]Cross-Section Database'!$B$2:$B$2928,0),3)</f>
        <v>215.8</v>
      </c>
      <c r="AB83" s="21">
        <f>INDEX('[2]Cross-Section Database'!$C$2:$V$2928,MATCH(Z83,'[2]Cross-Section Database'!$B$2:$B$2928,0),4)</f>
        <v>206.4</v>
      </c>
      <c r="AC83" s="46">
        <f>INDEX('[2]Cross-Section Database'!$C$2:$V$2928,MATCH(Z83,'[2]Cross-Section Database'!$B$2:$B$2928,0),6)</f>
        <v>17.3</v>
      </c>
      <c r="AD83" s="46">
        <f>INDEX('[2]Cross-Section Database'!$C$2:$V$2928,MATCH(Z83,'[2]Cross-Section Database'!$B$2:$B$2928,0),5)</f>
        <v>10</v>
      </c>
      <c r="AE83" s="24">
        <v>1150</v>
      </c>
      <c r="AF83" s="163" t="s">
        <v>4227</v>
      </c>
      <c r="AG83" s="21">
        <f>INDEX('[2]Cross-Section Database'!$C$2:$V$2928,MATCH(AF83,'[2]Cross-Section Database'!$B$2:$B$2928,0),3)</f>
        <v>403.2</v>
      </c>
      <c r="AH83" s="21">
        <f>INDEX('[2]Cross-Section Database'!$C$2:$V$2928,MATCH(AF83,'[2]Cross-Section Database'!$B$2:$B$2928,0),4)</f>
        <v>142.19999999999999</v>
      </c>
      <c r="AI83" s="21">
        <f>INDEX('[2]Cross-Section Database'!$C$2:$V$2928,MATCH(AF83,'[2]Cross-Section Database'!$B$2:$B$2928,0),6)</f>
        <v>11.2</v>
      </c>
      <c r="AJ83" s="21">
        <f>INDEX('[2]Cross-Section Database'!$C$2:$V$2928,MATCH(AF83,'[2]Cross-Section Database'!$B$2:$B$2928,0),5)</f>
        <v>6.8</v>
      </c>
      <c r="AK83" s="21">
        <v>912</v>
      </c>
      <c r="AL83" s="21">
        <f>INDEX('[2]Cross-Section Database'!$C$2:$V$3928,MATCH(AF83,'[2]Cross-Section Database'!$B$2:$B$3928,0),11)</f>
        <v>156900000</v>
      </c>
      <c r="AM83" s="24">
        <f>INDEX('[2]Cross-Section Database'!$C$2:$V$3928,MATCH(AF83,'[2]Cross-Section Database'!$B$2:$B$3928,0),12)</f>
        <v>887600</v>
      </c>
      <c r="AN83" s="103">
        <v>12</v>
      </c>
      <c r="AO83" s="21">
        <v>200</v>
      </c>
      <c r="AP83" s="21">
        <v>440</v>
      </c>
      <c r="AQ83" s="21">
        <v>32.5</v>
      </c>
      <c r="AR83" s="21">
        <v>32.5</v>
      </c>
      <c r="AS83" s="306" t="s">
        <v>5807</v>
      </c>
      <c r="AT83" s="163" t="s">
        <v>6134</v>
      </c>
      <c r="AU83" s="163">
        <v>185</v>
      </c>
      <c r="AV83" s="163">
        <v>22</v>
      </c>
      <c r="AW83" s="163">
        <f t="shared" si="17"/>
        <v>303</v>
      </c>
      <c r="AX83" s="21">
        <v>82.5</v>
      </c>
      <c r="AY83" s="21">
        <v>82.5</v>
      </c>
      <c r="AZ83" s="21">
        <v>75</v>
      </c>
      <c r="BA83" s="21">
        <v>125</v>
      </c>
      <c r="BB83" s="21">
        <v>125</v>
      </c>
      <c r="BC83" s="15" t="s">
        <v>4420</v>
      </c>
      <c r="BD83" s="163" t="s">
        <v>6210</v>
      </c>
      <c r="BE83" s="163" t="s">
        <v>6209</v>
      </c>
      <c r="BF83" s="163">
        <v>6</v>
      </c>
      <c r="BG83" s="163">
        <v>8</v>
      </c>
      <c r="BH83" s="202" t="s">
        <v>5792</v>
      </c>
      <c r="BI83" s="203" t="s">
        <v>5792</v>
      </c>
      <c r="BJ83" s="203" t="s">
        <v>5792</v>
      </c>
      <c r="BK83" s="203" t="s">
        <v>5792</v>
      </c>
      <c r="BL83" s="203" t="s">
        <v>5792</v>
      </c>
      <c r="BM83" s="203" t="s">
        <v>5792</v>
      </c>
      <c r="BN83" s="203" t="s">
        <v>5792</v>
      </c>
      <c r="BO83" s="203" t="s">
        <v>5792</v>
      </c>
      <c r="BP83" s="202" t="s">
        <v>5792</v>
      </c>
      <c r="BQ83" s="203" t="s">
        <v>5792</v>
      </c>
      <c r="BR83" s="203" t="s">
        <v>5792</v>
      </c>
      <c r="BS83" s="203" t="s">
        <v>5792</v>
      </c>
      <c r="BT83" s="203" t="s">
        <v>5792</v>
      </c>
      <c r="BU83" s="203" t="s">
        <v>5792</v>
      </c>
      <c r="BV83" s="203" t="s">
        <v>5792</v>
      </c>
      <c r="BW83" s="202" t="s">
        <v>5792</v>
      </c>
      <c r="BX83" s="203" t="s">
        <v>5792</v>
      </c>
      <c r="BY83" s="203" t="s">
        <v>5792</v>
      </c>
      <c r="BZ83" s="203" t="s">
        <v>5792</v>
      </c>
      <c r="CA83" s="203" t="s">
        <v>5792</v>
      </c>
      <c r="CB83" s="218" t="s">
        <v>5792</v>
      </c>
      <c r="CC83" s="136" t="s">
        <v>5665</v>
      </c>
      <c r="CD83" s="47">
        <v>275</v>
      </c>
      <c r="CE83" s="32">
        <v>300</v>
      </c>
      <c r="CF83" s="47">
        <v>410</v>
      </c>
      <c r="CG83" s="32">
        <v>450</v>
      </c>
      <c r="CH83" s="67">
        <v>200000</v>
      </c>
      <c r="CI83" s="136" t="s">
        <v>5665</v>
      </c>
      <c r="CJ83" s="47">
        <v>275</v>
      </c>
      <c r="CK83" s="32">
        <v>300</v>
      </c>
      <c r="CL83" s="47">
        <v>410</v>
      </c>
      <c r="CM83" s="32">
        <v>450</v>
      </c>
      <c r="CN83" s="67">
        <v>200000</v>
      </c>
      <c r="CO83" s="136" t="s">
        <v>5665</v>
      </c>
      <c r="CP83" s="47">
        <v>275</v>
      </c>
      <c r="CQ83" s="32">
        <v>300</v>
      </c>
      <c r="CR83" s="47">
        <v>410</v>
      </c>
      <c r="CS83" s="32">
        <v>450</v>
      </c>
      <c r="CT83" s="67">
        <v>200000</v>
      </c>
      <c r="CU83" s="207" t="s">
        <v>5792</v>
      </c>
      <c r="CV83" s="208" t="s">
        <v>5792</v>
      </c>
      <c r="CW83" s="208" t="s">
        <v>5792</v>
      </c>
      <c r="CX83" s="209" t="s">
        <v>5792</v>
      </c>
      <c r="CY83" s="207" t="s">
        <v>5792</v>
      </c>
      <c r="CZ83" s="208" t="s">
        <v>5792</v>
      </c>
      <c r="DA83" s="209" t="s">
        <v>5792</v>
      </c>
      <c r="DB83" s="283" t="s">
        <v>5792</v>
      </c>
      <c r="DC83" s="163" t="s">
        <v>4514</v>
      </c>
      <c r="DD83" s="303">
        <v>660</v>
      </c>
      <c r="DE83" s="32">
        <v>730</v>
      </c>
      <c r="DF83" s="303">
        <v>830</v>
      </c>
      <c r="DG83" s="32">
        <v>940</v>
      </c>
      <c r="DH83" s="61">
        <v>200000</v>
      </c>
      <c r="DI83" s="29" t="s">
        <v>5832</v>
      </c>
      <c r="DJ83" s="303" t="s">
        <v>6055</v>
      </c>
      <c r="DK83" s="297" t="s">
        <v>6091</v>
      </c>
    </row>
    <row r="84" spans="1:115">
      <c r="A84" s="18">
        <v>79</v>
      </c>
      <c r="B84" s="326"/>
      <c r="C84" s="326"/>
      <c r="D84" s="469"/>
      <c r="E84" s="343"/>
      <c r="F84" s="326"/>
      <c r="G84" s="329"/>
      <c r="H84" s="329"/>
      <c r="I84" s="329"/>
      <c r="J84" s="41" t="s">
        <v>4399</v>
      </c>
      <c r="K84" s="306" t="s">
        <v>4383</v>
      </c>
      <c r="L84" s="163" t="s">
        <v>5792</v>
      </c>
      <c r="M84" s="306" t="s">
        <v>4508</v>
      </c>
      <c r="N84" s="163" t="s">
        <v>4701</v>
      </c>
      <c r="O84" s="18" t="s">
        <v>4507</v>
      </c>
      <c r="P84" s="163" t="s">
        <v>4420</v>
      </c>
      <c r="Q84" s="163" t="s">
        <v>4420</v>
      </c>
      <c r="R84" s="163" t="s">
        <v>6169</v>
      </c>
      <c r="S84" s="163">
        <v>10</v>
      </c>
      <c r="T84" s="163" t="s">
        <v>4420</v>
      </c>
      <c r="U84" s="163" t="s">
        <v>5792</v>
      </c>
      <c r="V84" s="163" t="s">
        <v>4559</v>
      </c>
      <c r="W84" s="18">
        <v>8</v>
      </c>
      <c r="X84" s="231">
        <v>0</v>
      </c>
      <c r="Y84" s="142">
        <v>0</v>
      </c>
      <c r="Z84" s="306" t="s">
        <v>4344</v>
      </c>
      <c r="AA84" s="21">
        <f>INDEX('[2]Cross-Section Database'!$C$2:$V$2928,MATCH(Z84,'[2]Cross-Section Database'!$B$2:$B$2928,0),3)</f>
        <v>215.8</v>
      </c>
      <c r="AB84" s="21">
        <f>INDEX('[2]Cross-Section Database'!$C$2:$V$2928,MATCH(Z84,'[2]Cross-Section Database'!$B$2:$B$2928,0),4)</f>
        <v>206.4</v>
      </c>
      <c r="AC84" s="21">
        <f>INDEX('[2]Cross-Section Database'!$C$2:$V$2928,MATCH(Z84,'[2]Cross-Section Database'!$B$2:$B$2928,0),6)</f>
        <v>17.3</v>
      </c>
      <c r="AD84" s="21">
        <f>INDEX('[2]Cross-Section Database'!$C$2:$V$2928,MATCH(Z84,'[2]Cross-Section Database'!$B$2:$B$2928,0),5)</f>
        <v>10</v>
      </c>
      <c r="AE84" s="24">
        <v>1150</v>
      </c>
      <c r="AF84" s="163" t="s">
        <v>4227</v>
      </c>
      <c r="AG84" s="21">
        <f>INDEX('[2]Cross-Section Database'!$C$2:$V$2928,MATCH(AF84,'[2]Cross-Section Database'!$B$2:$B$2928,0),3)</f>
        <v>403.2</v>
      </c>
      <c r="AH84" s="21">
        <f>INDEX('[2]Cross-Section Database'!$C$2:$V$2928,MATCH(AF84,'[2]Cross-Section Database'!$B$2:$B$2928,0),4)</f>
        <v>142.19999999999999</v>
      </c>
      <c r="AI84" s="21">
        <f>INDEX('[2]Cross-Section Database'!$C$2:$V$2928,MATCH(AF84,'[2]Cross-Section Database'!$B$2:$B$2928,0),6)</f>
        <v>11.2</v>
      </c>
      <c r="AJ84" s="21">
        <f>INDEX('[2]Cross-Section Database'!$C$2:$V$2928,MATCH(AF84,'[2]Cross-Section Database'!$B$2:$B$2928,0),5)</f>
        <v>6.8</v>
      </c>
      <c r="AK84" s="21">
        <v>920</v>
      </c>
      <c r="AL84" s="21">
        <f>INDEX('[2]Cross-Section Database'!$C$2:$V$3928,MATCH(AF84,'[2]Cross-Section Database'!$B$2:$B$3928,0),11)</f>
        <v>156900000</v>
      </c>
      <c r="AM84" s="24">
        <f>INDEX('[2]Cross-Section Database'!$C$2:$V$3928,MATCH(AF84,'[2]Cross-Section Database'!$B$2:$B$3928,0),12)</f>
        <v>887600</v>
      </c>
      <c r="AN84" s="103">
        <v>20</v>
      </c>
      <c r="AO84" s="21">
        <v>200</v>
      </c>
      <c r="AP84" s="21">
        <v>440</v>
      </c>
      <c r="AQ84" s="21">
        <v>32.5</v>
      </c>
      <c r="AR84" s="21">
        <v>32.5</v>
      </c>
      <c r="AS84" s="306" t="s">
        <v>5807</v>
      </c>
      <c r="AT84" s="163" t="s">
        <v>6134</v>
      </c>
      <c r="AU84" s="163">
        <v>185</v>
      </c>
      <c r="AV84" s="163">
        <v>22</v>
      </c>
      <c r="AW84" s="163">
        <f t="shared" si="17"/>
        <v>303</v>
      </c>
      <c r="AX84" s="21">
        <v>82.5</v>
      </c>
      <c r="AY84" s="21">
        <v>82.5</v>
      </c>
      <c r="AZ84" s="21">
        <v>75</v>
      </c>
      <c r="BA84" s="21">
        <v>125</v>
      </c>
      <c r="BB84" s="21">
        <v>125</v>
      </c>
      <c r="BC84" s="15" t="s">
        <v>4420</v>
      </c>
      <c r="BD84" s="163" t="s">
        <v>6210</v>
      </c>
      <c r="BE84" s="163" t="s">
        <v>6209</v>
      </c>
      <c r="BF84" s="163">
        <v>6</v>
      </c>
      <c r="BG84" s="163">
        <v>8</v>
      </c>
      <c r="BH84" s="202" t="s">
        <v>5792</v>
      </c>
      <c r="BI84" s="203" t="s">
        <v>5792</v>
      </c>
      <c r="BJ84" s="203" t="s">
        <v>5792</v>
      </c>
      <c r="BK84" s="203" t="s">
        <v>5792</v>
      </c>
      <c r="BL84" s="203" t="s">
        <v>5792</v>
      </c>
      <c r="BM84" s="203" t="s">
        <v>5792</v>
      </c>
      <c r="BN84" s="203" t="s">
        <v>5792</v>
      </c>
      <c r="BO84" s="203" t="s">
        <v>5792</v>
      </c>
      <c r="BP84" s="202" t="s">
        <v>5792</v>
      </c>
      <c r="BQ84" s="203" t="s">
        <v>5792</v>
      </c>
      <c r="BR84" s="203" t="s">
        <v>5792</v>
      </c>
      <c r="BS84" s="203" t="s">
        <v>5792</v>
      </c>
      <c r="BT84" s="203" t="s">
        <v>5792</v>
      </c>
      <c r="BU84" s="203" t="s">
        <v>5792</v>
      </c>
      <c r="BV84" s="203" t="s">
        <v>5792</v>
      </c>
      <c r="BW84" s="202" t="s">
        <v>5792</v>
      </c>
      <c r="BX84" s="203" t="s">
        <v>5792</v>
      </c>
      <c r="BY84" s="203" t="s">
        <v>5792</v>
      </c>
      <c r="BZ84" s="203" t="s">
        <v>5792</v>
      </c>
      <c r="CA84" s="203" t="s">
        <v>5792</v>
      </c>
      <c r="CB84" s="218" t="s">
        <v>5792</v>
      </c>
      <c r="CC84" s="136" t="s">
        <v>5665</v>
      </c>
      <c r="CD84" s="47">
        <v>275</v>
      </c>
      <c r="CE84" s="32">
        <v>300</v>
      </c>
      <c r="CF84" s="47">
        <v>410</v>
      </c>
      <c r="CG84" s="32">
        <v>450</v>
      </c>
      <c r="CH84" s="67">
        <v>200000</v>
      </c>
      <c r="CI84" s="136" t="s">
        <v>5665</v>
      </c>
      <c r="CJ84" s="47">
        <v>275</v>
      </c>
      <c r="CK84" s="32">
        <v>300</v>
      </c>
      <c r="CL84" s="47">
        <v>410</v>
      </c>
      <c r="CM84" s="32">
        <v>450</v>
      </c>
      <c r="CN84" s="67">
        <v>200000</v>
      </c>
      <c r="CO84" s="136" t="s">
        <v>5665</v>
      </c>
      <c r="CP84" s="47">
        <v>275</v>
      </c>
      <c r="CQ84" s="32">
        <v>300</v>
      </c>
      <c r="CR84" s="47">
        <v>410</v>
      </c>
      <c r="CS84" s="32">
        <v>450</v>
      </c>
      <c r="CT84" s="67">
        <v>200000</v>
      </c>
      <c r="CU84" s="207" t="s">
        <v>5792</v>
      </c>
      <c r="CV84" s="208" t="s">
        <v>5792</v>
      </c>
      <c r="CW84" s="208" t="s">
        <v>5792</v>
      </c>
      <c r="CX84" s="209" t="s">
        <v>5792</v>
      </c>
      <c r="CY84" s="207" t="s">
        <v>5792</v>
      </c>
      <c r="CZ84" s="208" t="s">
        <v>5792</v>
      </c>
      <c r="DA84" s="209" t="s">
        <v>5792</v>
      </c>
      <c r="DB84" s="283" t="s">
        <v>5792</v>
      </c>
      <c r="DC84" s="163" t="s">
        <v>4514</v>
      </c>
      <c r="DD84" s="303">
        <v>660</v>
      </c>
      <c r="DE84" s="32">
        <v>730</v>
      </c>
      <c r="DF84" s="303">
        <v>830</v>
      </c>
      <c r="DG84" s="32">
        <v>940</v>
      </c>
      <c r="DH84" s="61">
        <v>200000</v>
      </c>
      <c r="DI84" s="29" t="s">
        <v>5832</v>
      </c>
      <c r="DJ84" s="303" t="s">
        <v>6055</v>
      </c>
      <c r="DK84" s="297" t="s">
        <v>6089</v>
      </c>
    </row>
    <row r="85" spans="1:115">
      <c r="A85" s="18">
        <v>80</v>
      </c>
      <c r="B85" s="326"/>
      <c r="C85" s="326"/>
      <c r="D85" s="469"/>
      <c r="E85" s="343"/>
      <c r="F85" s="326"/>
      <c r="G85" s="329"/>
      <c r="H85" s="329"/>
      <c r="I85" s="329"/>
      <c r="J85" s="41" t="s">
        <v>4400</v>
      </c>
      <c r="K85" s="306" t="s">
        <v>4383</v>
      </c>
      <c r="L85" s="163" t="s">
        <v>5792</v>
      </c>
      <c r="M85" s="306" t="s">
        <v>4508</v>
      </c>
      <c r="N85" s="163" t="s">
        <v>4701</v>
      </c>
      <c r="O85" s="18" t="s">
        <v>4507</v>
      </c>
      <c r="P85" s="163" t="s">
        <v>4420</v>
      </c>
      <c r="Q85" s="163" t="s">
        <v>4420</v>
      </c>
      <c r="R85" s="163" t="s">
        <v>6169</v>
      </c>
      <c r="S85" s="163">
        <v>10</v>
      </c>
      <c r="T85" s="163" t="s">
        <v>4420</v>
      </c>
      <c r="U85" s="163" t="s">
        <v>5792</v>
      </c>
      <c r="V85" s="163" t="s">
        <v>4559</v>
      </c>
      <c r="W85" s="18">
        <v>8</v>
      </c>
      <c r="X85" s="231">
        <v>0</v>
      </c>
      <c r="Y85" s="142">
        <v>0</v>
      </c>
      <c r="Z85" s="306" t="s">
        <v>4344</v>
      </c>
      <c r="AA85" s="21">
        <f>INDEX('[2]Cross-Section Database'!$C$2:$V$2928,MATCH(Z85,'[2]Cross-Section Database'!$B$2:$B$2928,0),3)</f>
        <v>215.8</v>
      </c>
      <c r="AB85" s="21">
        <f>INDEX('[2]Cross-Section Database'!$C$2:$V$2928,MATCH(Z85,'[2]Cross-Section Database'!$B$2:$B$2928,0),4)</f>
        <v>206.4</v>
      </c>
      <c r="AC85" s="21">
        <f>INDEX('[2]Cross-Section Database'!$C$2:$V$2928,MATCH(Z85,'[2]Cross-Section Database'!$B$2:$B$2928,0),6)</f>
        <v>17.3</v>
      </c>
      <c r="AD85" s="21">
        <f>INDEX('[2]Cross-Section Database'!$C$2:$V$2928,MATCH(Z85,'[2]Cross-Section Database'!$B$2:$B$2928,0),5)</f>
        <v>10</v>
      </c>
      <c r="AE85" s="24">
        <v>1150</v>
      </c>
      <c r="AF85" s="163" t="s">
        <v>4227</v>
      </c>
      <c r="AG85" s="21">
        <f>INDEX('[2]Cross-Section Database'!$C$2:$V$2928,MATCH(AF85,'[2]Cross-Section Database'!$B$2:$B$2928,0),3)</f>
        <v>403.2</v>
      </c>
      <c r="AH85" s="21">
        <f>INDEX('[2]Cross-Section Database'!$C$2:$V$2928,MATCH(AF85,'[2]Cross-Section Database'!$B$2:$B$2928,0),4)</f>
        <v>142.19999999999999</v>
      </c>
      <c r="AI85" s="21">
        <f>INDEX('[2]Cross-Section Database'!$C$2:$V$2928,MATCH(AF85,'[2]Cross-Section Database'!$B$2:$B$2928,0),6)</f>
        <v>11.2</v>
      </c>
      <c r="AJ85" s="21">
        <f>INDEX('[2]Cross-Section Database'!$C$2:$V$2928,MATCH(AF85,'[2]Cross-Section Database'!$B$2:$B$2928,0),5)</f>
        <v>6.8</v>
      </c>
      <c r="AK85" s="21">
        <v>920</v>
      </c>
      <c r="AL85" s="21">
        <f>INDEX('[2]Cross-Section Database'!$C$2:$V$3928,MATCH(AF85,'[2]Cross-Section Database'!$B$2:$B$3928,0),11)</f>
        <v>156900000</v>
      </c>
      <c r="AM85" s="24">
        <f>INDEX('[2]Cross-Section Database'!$C$2:$V$3928,MATCH(AF85,'[2]Cross-Section Database'!$B$2:$B$3928,0),12)</f>
        <v>887600</v>
      </c>
      <c r="AN85" s="103">
        <v>20</v>
      </c>
      <c r="AO85" s="21">
        <v>200</v>
      </c>
      <c r="AP85" s="21">
        <v>440</v>
      </c>
      <c r="AQ85" s="21">
        <v>32.5</v>
      </c>
      <c r="AR85" s="21">
        <v>32.5</v>
      </c>
      <c r="AS85" s="306" t="s">
        <v>5807</v>
      </c>
      <c r="AT85" s="163" t="s">
        <v>6134</v>
      </c>
      <c r="AU85" s="163">
        <v>185</v>
      </c>
      <c r="AV85" s="163">
        <v>22</v>
      </c>
      <c r="AW85" s="163">
        <f t="shared" si="17"/>
        <v>303</v>
      </c>
      <c r="AX85" s="21">
        <v>82.5</v>
      </c>
      <c r="AY85" s="21">
        <v>82.5</v>
      </c>
      <c r="AZ85" s="21">
        <v>75</v>
      </c>
      <c r="BA85" s="21">
        <v>125</v>
      </c>
      <c r="BB85" s="21">
        <v>125</v>
      </c>
      <c r="BC85" s="15" t="s">
        <v>4420</v>
      </c>
      <c r="BD85" s="163" t="s">
        <v>6210</v>
      </c>
      <c r="BE85" s="163" t="s">
        <v>6209</v>
      </c>
      <c r="BF85" s="163">
        <v>6</v>
      </c>
      <c r="BG85" s="163">
        <v>8</v>
      </c>
      <c r="BH85" s="202" t="s">
        <v>5792</v>
      </c>
      <c r="BI85" s="203" t="s">
        <v>5792</v>
      </c>
      <c r="BJ85" s="203" t="s">
        <v>5792</v>
      </c>
      <c r="BK85" s="203" t="s">
        <v>5792</v>
      </c>
      <c r="BL85" s="203" t="s">
        <v>5792</v>
      </c>
      <c r="BM85" s="203" t="s">
        <v>5792</v>
      </c>
      <c r="BN85" s="203" t="s">
        <v>5792</v>
      </c>
      <c r="BO85" s="203" t="s">
        <v>5792</v>
      </c>
      <c r="BP85" s="202" t="s">
        <v>5792</v>
      </c>
      <c r="BQ85" s="203" t="s">
        <v>5792</v>
      </c>
      <c r="BR85" s="203" t="s">
        <v>5792</v>
      </c>
      <c r="BS85" s="203" t="s">
        <v>5792</v>
      </c>
      <c r="BT85" s="203" t="s">
        <v>5792</v>
      </c>
      <c r="BU85" s="203" t="s">
        <v>5792</v>
      </c>
      <c r="BV85" s="203" t="s">
        <v>5792</v>
      </c>
      <c r="BW85" s="202" t="s">
        <v>5792</v>
      </c>
      <c r="BX85" s="203" t="s">
        <v>5792</v>
      </c>
      <c r="BY85" s="203" t="s">
        <v>5792</v>
      </c>
      <c r="BZ85" s="203" t="s">
        <v>5792</v>
      </c>
      <c r="CA85" s="203" t="s">
        <v>5792</v>
      </c>
      <c r="CB85" s="218" t="s">
        <v>5792</v>
      </c>
      <c r="CC85" s="136" t="s">
        <v>5665</v>
      </c>
      <c r="CD85" s="47">
        <v>275</v>
      </c>
      <c r="CE85" s="32">
        <v>300</v>
      </c>
      <c r="CF85" s="47">
        <v>410</v>
      </c>
      <c r="CG85" s="32">
        <v>450</v>
      </c>
      <c r="CH85" s="67">
        <v>200000</v>
      </c>
      <c r="CI85" s="136" t="s">
        <v>5665</v>
      </c>
      <c r="CJ85" s="47">
        <v>275</v>
      </c>
      <c r="CK85" s="32">
        <v>300</v>
      </c>
      <c r="CL85" s="47">
        <v>410</v>
      </c>
      <c r="CM85" s="32">
        <v>450</v>
      </c>
      <c r="CN85" s="67">
        <v>200000</v>
      </c>
      <c r="CO85" s="136" t="s">
        <v>5665</v>
      </c>
      <c r="CP85" s="47">
        <v>275</v>
      </c>
      <c r="CQ85" s="32">
        <v>300</v>
      </c>
      <c r="CR85" s="47">
        <v>410</v>
      </c>
      <c r="CS85" s="32">
        <v>450</v>
      </c>
      <c r="CT85" s="67">
        <v>200000</v>
      </c>
      <c r="CU85" s="207" t="s">
        <v>5792</v>
      </c>
      <c r="CV85" s="208" t="s">
        <v>5792</v>
      </c>
      <c r="CW85" s="208" t="s">
        <v>5792</v>
      </c>
      <c r="CX85" s="209" t="s">
        <v>5792</v>
      </c>
      <c r="CY85" s="207" t="s">
        <v>5792</v>
      </c>
      <c r="CZ85" s="208" t="s">
        <v>5792</v>
      </c>
      <c r="DA85" s="209" t="s">
        <v>5792</v>
      </c>
      <c r="DB85" s="283" t="s">
        <v>5792</v>
      </c>
      <c r="DC85" s="163" t="s">
        <v>4514</v>
      </c>
      <c r="DD85" s="303">
        <v>660</v>
      </c>
      <c r="DE85" s="32">
        <v>730</v>
      </c>
      <c r="DF85" s="303">
        <v>830</v>
      </c>
      <c r="DG85" s="32">
        <v>940</v>
      </c>
      <c r="DH85" s="61">
        <v>200000</v>
      </c>
      <c r="DI85" s="29" t="s">
        <v>5839</v>
      </c>
      <c r="DJ85" s="303" t="s">
        <v>6055</v>
      </c>
      <c r="DK85" s="297" t="s">
        <v>6092</v>
      </c>
    </row>
    <row r="86" spans="1:115" ht="16.2" thickBot="1">
      <c r="A86" s="14">
        <v>81</v>
      </c>
      <c r="B86" s="327"/>
      <c r="C86" s="327"/>
      <c r="D86" s="470"/>
      <c r="E86" s="344"/>
      <c r="F86" s="327"/>
      <c r="G86" s="330"/>
      <c r="H86" s="330"/>
      <c r="I86" s="330"/>
      <c r="J86" s="42" t="s">
        <v>4401</v>
      </c>
      <c r="K86" s="143" t="s">
        <v>4383</v>
      </c>
      <c r="L86" s="164" t="s">
        <v>5792</v>
      </c>
      <c r="M86" s="143" t="s">
        <v>4508</v>
      </c>
      <c r="N86" s="164" t="s">
        <v>4701</v>
      </c>
      <c r="O86" s="14" t="s">
        <v>4507</v>
      </c>
      <c r="P86" s="164" t="s">
        <v>4420</v>
      </c>
      <c r="Q86" s="164" t="s">
        <v>4420</v>
      </c>
      <c r="R86" s="164" t="s">
        <v>6169</v>
      </c>
      <c r="S86" s="164">
        <v>10</v>
      </c>
      <c r="T86" s="164" t="s">
        <v>4420</v>
      </c>
      <c r="U86" s="164" t="s">
        <v>5792</v>
      </c>
      <c r="V86" s="164" t="s">
        <v>4559</v>
      </c>
      <c r="W86" s="14">
        <v>8</v>
      </c>
      <c r="X86" s="233">
        <v>0</v>
      </c>
      <c r="Y86" s="156">
        <v>0</v>
      </c>
      <c r="Z86" s="143" t="s">
        <v>4344</v>
      </c>
      <c r="AA86" s="23">
        <f>INDEX('[2]Cross-Section Database'!$C$2:$V$2928,MATCH(Z86,'[2]Cross-Section Database'!$B$2:$B$2928,0),3)</f>
        <v>215.8</v>
      </c>
      <c r="AB86" s="23">
        <f>INDEX('[2]Cross-Section Database'!$C$2:$V$2928,MATCH(Z86,'[2]Cross-Section Database'!$B$2:$B$2928,0),4)</f>
        <v>206.4</v>
      </c>
      <c r="AC86" s="23">
        <f>INDEX('[2]Cross-Section Database'!$C$2:$V$2928,MATCH(Z86,'[2]Cross-Section Database'!$B$2:$B$2928,0),6)</f>
        <v>17.3</v>
      </c>
      <c r="AD86" s="23">
        <f>INDEX('[2]Cross-Section Database'!$C$2:$V$2928,MATCH(Z86,'[2]Cross-Section Database'!$B$2:$B$2928,0),5)</f>
        <v>10</v>
      </c>
      <c r="AE86" s="25">
        <v>1150</v>
      </c>
      <c r="AF86" s="164" t="s">
        <v>4227</v>
      </c>
      <c r="AG86" s="23">
        <f>INDEX('[2]Cross-Section Database'!$C$2:$V$2928,MATCH(AF86,'[2]Cross-Section Database'!$B$2:$B$2928,0),3)</f>
        <v>403.2</v>
      </c>
      <c r="AH86" s="23">
        <f>INDEX('[2]Cross-Section Database'!$C$2:$V$2928,MATCH(AF86,'[2]Cross-Section Database'!$B$2:$B$2928,0),4)</f>
        <v>142.19999999999999</v>
      </c>
      <c r="AI86" s="23">
        <f>INDEX('[2]Cross-Section Database'!$C$2:$V$2928,MATCH(AF86,'[2]Cross-Section Database'!$B$2:$B$2928,0),6)</f>
        <v>11.2</v>
      </c>
      <c r="AJ86" s="23">
        <f>INDEX('[2]Cross-Section Database'!$C$2:$V$2928,MATCH(AF86,'[2]Cross-Section Database'!$B$2:$B$2928,0),5)</f>
        <v>6.8</v>
      </c>
      <c r="AK86" s="23">
        <v>920</v>
      </c>
      <c r="AL86" s="23">
        <f>INDEX('[2]Cross-Section Database'!$C$2:$V$3928,MATCH(AF86,'[2]Cross-Section Database'!$B$2:$B$3928,0),11)</f>
        <v>156900000</v>
      </c>
      <c r="AM86" s="25">
        <f>INDEX('[2]Cross-Section Database'!$C$2:$V$3928,MATCH(AF86,'[2]Cross-Section Database'!$B$2:$B$3928,0),12)</f>
        <v>887600</v>
      </c>
      <c r="AN86" s="104">
        <v>20</v>
      </c>
      <c r="AO86" s="23">
        <v>200</v>
      </c>
      <c r="AP86" s="23">
        <v>440</v>
      </c>
      <c r="AQ86" s="23">
        <v>32.5</v>
      </c>
      <c r="AR86" s="23">
        <v>32.5</v>
      </c>
      <c r="AS86" s="143" t="s">
        <v>5807</v>
      </c>
      <c r="AT86" s="164" t="s">
        <v>6134</v>
      </c>
      <c r="AU86" s="164">
        <v>185</v>
      </c>
      <c r="AV86" s="164">
        <v>22</v>
      </c>
      <c r="AW86" s="164">
        <f t="shared" si="17"/>
        <v>303</v>
      </c>
      <c r="AX86" s="23">
        <v>82.5</v>
      </c>
      <c r="AY86" s="23">
        <v>82.5</v>
      </c>
      <c r="AZ86" s="23">
        <v>75</v>
      </c>
      <c r="BA86" s="23">
        <v>125</v>
      </c>
      <c r="BB86" s="23">
        <v>125</v>
      </c>
      <c r="BC86" s="19" t="s">
        <v>4420</v>
      </c>
      <c r="BD86" s="164" t="s">
        <v>6210</v>
      </c>
      <c r="BE86" s="164" t="s">
        <v>6209</v>
      </c>
      <c r="BF86" s="164">
        <v>6</v>
      </c>
      <c r="BG86" s="164">
        <v>8</v>
      </c>
      <c r="BH86" s="197" t="s">
        <v>5792</v>
      </c>
      <c r="BI86" s="198" t="s">
        <v>5792</v>
      </c>
      <c r="BJ86" s="198" t="s">
        <v>5792</v>
      </c>
      <c r="BK86" s="198" t="s">
        <v>5792</v>
      </c>
      <c r="BL86" s="198" t="s">
        <v>5792</v>
      </c>
      <c r="BM86" s="198" t="s">
        <v>5792</v>
      </c>
      <c r="BN86" s="198" t="s">
        <v>5792</v>
      </c>
      <c r="BO86" s="198" t="s">
        <v>5792</v>
      </c>
      <c r="BP86" s="197" t="s">
        <v>5792</v>
      </c>
      <c r="BQ86" s="198" t="s">
        <v>5792</v>
      </c>
      <c r="BR86" s="198" t="s">
        <v>5792</v>
      </c>
      <c r="BS86" s="198" t="s">
        <v>5792</v>
      </c>
      <c r="BT86" s="198" t="s">
        <v>5792</v>
      </c>
      <c r="BU86" s="198" t="s">
        <v>5792</v>
      </c>
      <c r="BV86" s="198" t="s">
        <v>5792</v>
      </c>
      <c r="BW86" s="197" t="s">
        <v>5792</v>
      </c>
      <c r="BX86" s="198" t="s">
        <v>5792</v>
      </c>
      <c r="BY86" s="198" t="s">
        <v>5792</v>
      </c>
      <c r="BZ86" s="198" t="s">
        <v>5792</v>
      </c>
      <c r="CA86" s="198" t="s">
        <v>5792</v>
      </c>
      <c r="CB86" s="220" t="s">
        <v>5792</v>
      </c>
      <c r="CC86" s="147" t="s">
        <v>5665</v>
      </c>
      <c r="CD86" s="85">
        <v>275</v>
      </c>
      <c r="CE86" s="34">
        <v>300</v>
      </c>
      <c r="CF86" s="85">
        <v>410</v>
      </c>
      <c r="CG86" s="34">
        <v>450</v>
      </c>
      <c r="CH86" s="70">
        <v>200000</v>
      </c>
      <c r="CI86" s="147" t="s">
        <v>5665</v>
      </c>
      <c r="CJ86" s="85">
        <v>275</v>
      </c>
      <c r="CK86" s="34">
        <v>300</v>
      </c>
      <c r="CL86" s="85">
        <v>410</v>
      </c>
      <c r="CM86" s="34">
        <v>450</v>
      </c>
      <c r="CN86" s="70">
        <v>200000</v>
      </c>
      <c r="CO86" s="147" t="s">
        <v>5665</v>
      </c>
      <c r="CP86" s="85">
        <v>275</v>
      </c>
      <c r="CQ86" s="34">
        <v>300</v>
      </c>
      <c r="CR86" s="85">
        <v>410</v>
      </c>
      <c r="CS86" s="34">
        <v>450</v>
      </c>
      <c r="CT86" s="70">
        <v>200000</v>
      </c>
      <c r="CU86" s="210" t="s">
        <v>5792</v>
      </c>
      <c r="CV86" s="211" t="s">
        <v>5792</v>
      </c>
      <c r="CW86" s="211" t="s">
        <v>5792</v>
      </c>
      <c r="CX86" s="212" t="s">
        <v>5792</v>
      </c>
      <c r="CY86" s="210" t="s">
        <v>5792</v>
      </c>
      <c r="CZ86" s="211" t="s">
        <v>5792</v>
      </c>
      <c r="DA86" s="212" t="s">
        <v>5792</v>
      </c>
      <c r="DB86" s="284" t="s">
        <v>5792</v>
      </c>
      <c r="DC86" s="164" t="s">
        <v>4514</v>
      </c>
      <c r="DD86" s="304">
        <v>660</v>
      </c>
      <c r="DE86" s="34">
        <v>730</v>
      </c>
      <c r="DF86" s="304">
        <v>830</v>
      </c>
      <c r="DG86" s="34">
        <v>940</v>
      </c>
      <c r="DH86" s="77">
        <v>200000</v>
      </c>
      <c r="DI86" s="27" t="s">
        <v>5832</v>
      </c>
      <c r="DJ86" s="304" t="s">
        <v>6055</v>
      </c>
      <c r="DK86" s="298" t="s">
        <v>6091</v>
      </c>
    </row>
    <row r="87" spans="1:115" ht="15.6" customHeight="1">
      <c r="A87" s="18">
        <v>82</v>
      </c>
      <c r="B87" s="325">
        <v>9</v>
      </c>
      <c r="C87" s="325">
        <v>1983</v>
      </c>
      <c r="D87" s="345" t="s">
        <v>4517</v>
      </c>
      <c r="E87" s="333" t="s">
        <v>4870</v>
      </c>
      <c r="F87" s="325">
        <v>14</v>
      </c>
      <c r="G87" s="328" t="s">
        <v>5905</v>
      </c>
      <c r="H87" s="325" t="s">
        <v>5904</v>
      </c>
      <c r="I87" s="325" t="s">
        <v>6226</v>
      </c>
      <c r="J87" s="41" t="s">
        <v>4518</v>
      </c>
      <c r="K87" s="306" t="s">
        <v>4383</v>
      </c>
      <c r="L87" s="163" t="s">
        <v>5792</v>
      </c>
      <c r="M87" s="306" t="s">
        <v>4552</v>
      </c>
      <c r="N87" s="163" t="s">
        <v>4707</v>
      </c>
      <c r="O87" s="18" t="s">
        <v>4507</v>
      </c>
      <c r="P87" s="163" t="s">
        <v>4420</v>
      </c>
      <c r="Q87" s="163" t="s">
        <v>4420</v>
      </c>
      <c r="R87" s="163" t="s">
        <v>4420</v>
      </c>
      <c r="S87" s="163" t="s">
        <v>5792</v>
      </c>
      <c r="T87" s="163" t="s">
        <v>4420</v>
      </c>
      <c r="U87" s="163" t="s">
        <v>5792</v>
      </c>
      <c r="V87" s="163" t="s">
        <v>4559</v>
      </c>
      <c r="W87" s="18">
        <v>6</v>
      </c>
      <c r="X87" s="231">
        <v>0</v>
      </c>
      <c r="Y87" s="142" t="s">
        <v>5792</v>
      </c>
      <c r="Z87" s="200" t="s">
        <v>5792</v>
      </c>
      <c r="AA87" s="201" t="s">
        <v>5792</v>
      </c>
      <c r="AB87" s="201" t="s">
        <v>5792</v>
      </c>
      <c r="AC87" s="201" t="s">
        <v>5792</v>
      </c>
      <c r="AD87" s="201" t="s">
        <v>5792</v>
      </c>
      <c r="AE87" s="201" t="s">
        <v>5792</v>
      </c>
      <c r="AF87" s="306" t="s">
        <v>4810</v>
      </c>
      <c r="AG87" s="21">
        <f>16*25.4</f>
        <v>406.4</v>
      </c>
      <c r="AH87" s="21">
        <f>6*25.4</f>
        <v>152.39999999999998</v>
      </c>
      <c r="AI87" s="21">
        <f>0.25*25.4</f>
        <v>6.35</v>
      </c>
      <c r="AJ87" s="21">
        <f>0.25*25.4</f>
        <v>6.35</v>
      </c>
      <c r="AK87" s="21">
        <f>287*25.4/2</f>
        <v>3644.8999999999996</v>
      </c>
      <c r="AL87" s="21">
        <f t="shared" ref="AL87:AL108" si="18">AH87*AG87^3/12-(AH87-AJ87)*(AG87-2*AI87)^3/12</f>
        <v>109736597.1258291</v>
      </c>
      <c r="AM87" s="18">
        <v>638018</v>
      </c>
      <c r="AN87" s="21">
        <f>0.505*25.4</f>
        <v>12.827</v>
      </c>
      <c r="AO87" s="21">
        <f t="shared" ref="AO87:AO108" si="19">AH87</f>
        <v>152.39999999999998</v>
      </c>
      <c r="AP87" s="21">
        <f t="shared" ref="AP87:AP108" si="20">AG87</f>
        <v>406.4</v>
      </c>
      <c r="AQ87" s="163">
        <v>0</v>
      </c>
      <c r="AR87" s="163">
        <v>0</v>
      </c>
      <c r="AS87" s="306" t="s">
        <v>5807</v>
      </c>
      <c r="AT87" s="162" t="s">
        <v>6134</v>
      </c>
      <c r="AU87" s="162" t="s">
        <v>6134</v>
      </c>
      <c r="AV87" s="21">
        <f>3/4*25.4</f>
        <v>19.049999999999997</v>
      </c>
      <c r="AW87" s="163">
        <v>241</v>
      </c>
      <c r="AX87" s="21">
        <f>1.5*25.4+AI87</f>
        <v>44.449999999999996</v>
      </c>
      <c r="AY87" s="21">
        <f>1.5*25.4+AI87</f>
        <v>44.449999999999996</v>
      </c>
      <c r="AZ87" s="21">
        <v>0</v>
      </c>
      <c r="BA87" s="21">
        <f>3.5*25.4</f>
        <v>88.899999999999991</v>
      </c>
      <c r="BB87" s="21">
        <f t="shared" ref="BB87:BB108" si="21">AP87-AQ87-AR87-AX87-AY87-AZ87</f>
        <v>317.5</v>
      </c>
      <c r="BC87" s="163" t="s">
        <v>4470</v>
      </c>
      <c r="BD87" s="163" t="s">
        <v>6209</v>
      </c>
      <c r="BE87" s="163" t="s">
        <v>6209</v>
      </c>
      <c r="BF87" s="163">
        <v>2</v>
      </c>
      <c r="BG87" s="163">
        <v>4</v>
      </c>
      <c r="BH87" s="202" t="s">
        <v>5792</v>
      </c>
      <c r="BI87" s="203" t="s">
        <v>5792</v>
      </c>
      <c r="BJ87" s="203" t="s">
        <v>5792</v>
      </c>
      <c r="BK87" s="203" t="s">
        <v>5792</v>
      </c>
      <c r="BL87" s="203" t="s">
        <v>5792</v>
      </c>
      <c r="BM87" s="203" t="s">
        <v>5792</v>
      </c>
      <c r="BN87" s="203" t="s">
        <v>5792</v>
      </c>
      <c r="BO87" s="203" t="s">
        <v>5792</v>
      </c>
      <c r="BP87" s="202" t="s">
        <v>5792</v>
      </c>
      <c r="BQ87" s="203" t="s">
        <v>5792</v>
      </c>
      <c r="BR87" s="203" t="s">
        <v>5792</v>
      </c>
      <c r="BS87" s="203" t="s">
        <v>5792</v>
      </c>
      <c r="BT87" s="203" t="s">
        <v>5792</v>
      </c>
      <c r="BU87" s="203" t="s">
        <v>5792</v>
      </c>
      <c r="BV87" s="218" t="s">
        <v>5792</v>
      </c>
      <c r="BW87" s="203" t="s">
        <v>5792</v>
      </c>
      <c r="BX87" s="203" t="s">
        <v>5792</v>
      </c>
      <c r="BY87" s="203" t="s">
        <v>5792</v>
      </c>
      <c r="BZ87" s="203" t="s">
        <v>5792</v>
      </c>
      <c r="CA87" s="203" t="s">
        <v>5792</v>
      </c>
      <c r="CB87" s="218" t="s">
        <v>5792</v>
      </c>
      <c r="CC87" s="203" t="s">
        <v>5792</v>
      </c>
      <c r="CD87" s="203" t="s">
        <v>5792</v>
      </c>
      <c r="CE87" s="203" t="s">
        <v>5792</v>
      </c>
      <c r="CF87" s="203" t="s">
        <v>5792</v>
      </c>
      <c r="CG87" s="203" t="s">
        <v>5792</v>
      </c>
      <c r="CH87" s="209" t="s">
        <v>5792</v>
      </c>
      <c r="CI87" s="306" t="s">
        <v>4536</v>
      </c>
      <c r="CJ87" s="163">
        <v>345</v>
      </c>
      <c r="CK87" s="32">
        <v>420</v>
      </c>
      <c r="CL87" s="60">
        <v>450</v>
      </c>
      <c r="CM87" s="32">
        <v>630</v>
      </c>
      <c r="CN87" s="67">
        <v>200000</v>
      </c>
      <c r="CO87" s="163" t="s">
        <v>4536</v>
      </c>
      <c r="CP87" s="60">
        <v>345</v>
      </c>
      <c r="CQ87" s="60">
        <v>382</v>
      </c>
      <c r="CR87" s="60">
        <v>450</v>
      </c>
      <c r="CS87" s="32">
        <v>630</v>
      </c>
      <c r="CT87" s="61">
        <v>200000</v>
      </c>
      <c r="CU87" s="207" t="s">
        <v>5792</v>
      </c>
      <c r="CV87" s="208" t="s">
        <v>5792</v>
      </c>
      <c r="CW87" s="208" t="s">
        <v>5792</v>
      </c>
      <c r="CX87" s="209" t="s">
        <v>5792</v>
      </c>
      <c r="CY87" s="207" t="s">
        <v>5792</v>
      </c>
      <c r="CZ87" s="208" t="s">
        <v>5792</v>
      </c>
      <c r="DA87" s="209" t="s">
        <v>5792</v>
      </c>
      <c r="DB87" s="283" t="s">
        <v>5792</v>
      </c>
      <c r="DC87" s="163" t="s">
        <v>4422</v>
      </c>
      <c r="DD87" s="163">
        <v>640</v>
      </c>
      <c r="DE87" s="32">
        <v>730</v>
      </c>
      <c r="DF87" s="163">
        <v>800</v>
      </c>
      <c r="DG87" s="32">
        <v>940</v>
      </c>
      <c r="DH87" s="61">
        <v>200000</v>
      </c>
      <c r="DI87" s="153" t="s">
        <v>5836</v>
      </c>
      <c r="DJ87" s="163" t="s">
        <v>4435</v>
      </c>
      <c r="DK87" s="297" t="s">
        <v>4566</v>
      </c>
    </row>
    <row r="88" spans="1:115">
      <c r="A88" s="18">
        <v>83</v>
      </c>
      <c r="B88" s="326"/>
      <c r="C88" s="326"/>
      <c r="D88" s="346"/>
      <c r="E88" s="334"/>
      <c r="F88" s="326"/>
      <c r="G88" s="329"/>
      <c r="H88" s="326"/>
      <c r="I88" s="326"/>
      <c r="J88" s="41" t="s">
        <v>4519</v>
      </c>
      <c r="K88" s="306" t="s">
        <v>4383</v>
      </c>
      <c r="L88" s="163" t="s">
        <v>5792</v>
      </c>
      <c r="M88" s="306" t="s">
        <v>4552</v>
      </c>
      <c r="N88" s="163" t="s">
        <v>4707</v>
      </c>
      <c r="O88" s="18" t="s">
        <v>4507</v>
      </c>
      <c r="P88" s="163" t="s">
        <v>4420</v>
      </c>
      <c r="Q88" s="163" t="s">
        <v>4420</v>
      </c>
      <c r="R88" s="163" t="s">
        <v>4420</v>
      </c>
      <c r="S88" s="163" t="s">
        <v>5792</v>
      </c>
      <c r="T88" s="163" t="s">
        <v>4420</v>
      </c>
      <c r="U88" s="163" t="s">
        <v>5792</v>
      </c>
      <c r="V88" s="163" t="s">
        <v>4559</v>
      </c>
      <c r="W88" s="18">
        <v>6</v>
      </c>
      <c r="X88" s="231">
        <v>0</v>
      </c>
      <c r="Y88" s="142" t="s">
        <v>5792</v>
      </c>
      <c r="Z88" s="202" t="s">
        <v>5792</v>
      </c>
      <c r="AA88" s="203" t="s">
        <v>5792</v>
      </c>
      <c r="AB88" s="203" t="s">
        <v>5792</v>
      </c>
      <c r="AC88" s="203" t="s">
        <v>5792</v>
      </c>
      <c r="AD88" s="203" t="s">
        <v>5792</v>
      </c>
      <c r="AE88" s="203" t="s">
        <v>5792</v>
      </c>
      <c r="AF88" s="306" t="s">
        <v>4810</v>
      </c>
      <c r="AG88" s="21">
        <f t="shared" ref="AG88:AG100" si="22">16*25.4</f>
        <v>406.4</v>
      </c>
      <c r="AH88" s="21">
        <f t="shared" ref="AH88:AH100" si="23">6*25.4</f>
        <v>152.39999999999998</v>
      </c>
      <c r="AI88" s="21">
        <f t="shared" ref="AI88:AJ100" si="24">0.25*25.4</f>
        <v>6.35</v>
      </c>
      <c r="AJ88" s="21">
        <f t="shared" si="24"/>
        <v>6.35</v>
      </c>
      <c r="AK88" s="21">
        <f>287*25.4/2</f>
        <v>3644.8999999999996</v>
      </c>
      <c r="AL88" s="21">
        <f t="shared" si="18"/>
        <v>109736597.1258291</v>
      </c>
      <c r="AM88" s="18">
        <v>638018</v>
      </c>
      <c r="AN88" s="21">
        <f>0.383*25.4</f>
        <v>9.7281999999999993</v>
      </c>
      <c r="AO88" s="21">
        <f t="shared" si="19"/>
        <v>152.39999999999998</v>
      </c>
      <c r="AP88" s="21">
        <f t="shared" si="20"/>
        <v>406.4</v>
      </c>
      <c r="AQ88" s="163">
        <v>0</v>
      </c>
      <c r="AR88" s="163">
        <v>0</v>
      </c>
      <c r="AS88" s="306" t="s">
        <v>5807</v>
      </c>
      <c r="AT88" s="163" t="s">
        <v>6134</v>
      </c>
      <c r="AU88" s="163" t="s">
        <v>6134</v>
      </c>
      <c r="AV88" s="21">
        <f>3/4*25.4</f>
        <v>19.049999999999997</v>
      </c>
      <c r="AW88" s="163">
        <v>241</v>
      </c>
      <c r="AX88" s="21">
        <f>1.5*25.4+AI88</f>
        <v>44.449999999999996</v>
      </c>
      <c r="AY88" s="21">
        <f>1.5*25.4+AI88</f>
        <v>44.449999999999996</v>
      </c>
      <c r="AZ88" s="21">
        <v>0</v>
      </c>
      <c r="BA88" s="21">
        <f>3.5*25.4</f>
        <v>88.899999999999991</v>
      </c>
      <c r="BB88" s="21">
        <f t="shared" si="21"/>
        <v>317.5</v>
      </c>
      <c r="BC88" s="163" t="s">
        <v>4470</v>
      </c>
      <c r="BD88" s="163" t="s">
        <v>6209</v>
      </c>
      <c r="BE88" s="163" t="s">
        <v>6209</v>
      </c>
      <c r="BF88" s="163">
        <v>2</v>
      </c>
      <c r="BG88" s="163">
        <v>4</v>
      </c>
      <c r="BH88" s="202" t="s">
        <v>5792</v>
      </c>
      <c r="BI88" s="203" t="s">
        <v>5792</v>
      </c>
      <c r="BJ88" s="203" t="s">
        <v>5792</v>
      </c>
      <c r="BK88" s="203" t="s">
        <v>5792</v>
      </c>
      <c r="BL88" s="203" t="s">
        <v>5792</v>
      </c>
      <c r="BM88" s="203" t="s">
        <v>5792</v>
      </c>
      <c r="BN88" s="203" t="s">
        <v>5792</v>
      </c>
      <c r="BO88" s="203" t="s">
        <v>5792</v>
      </c>
      <c r="BP88" s="202" t="s">
        <v>5792</v>
      </c>
      <c r="BQ88" s="203" t="s">
        <v>5792</v>
      </c>
      <c r="BR88" s="203" t="s">
        <v>5792</v>
      </c>
      <c r="BS88" s="203" t="s">
        <v>5792</v>
      </c>
      <c r="BT88" s="203" t="s">
        <v>5792</v>
      </c>
      <c r="BU88" s="203" t="s">
        <v>5792</v>
      </c>
      <c r="BV88" s="218" t="s">
        <v>5792</v>
      </c>
      <c r="BW88" s="203" t="s">
        <v>5792</v>
      </c>
      <c r="BX88" s="203" t="s">
        <v>5792</v>
      </c>
      <c r="BY88" s="203" t="s">
        <v>5792</v>
      </c>
      <c r="BZ88" s="203" t="s">
        <v>5792</v>
      </c>
      <c r="CA88" s="203" t="s">
        <v>5792</v>
      </c>
      <c r="CB88" s="218" t="s">
        <v>5792</v>
      </c>
      <c r="CC88" s="203" t="s">
        <v>5792</v>
      </c>
      <c r="CD88" s="203" t="s">
        <v>5792</v>
      </c>
      <c r="CE88" s="203" t="s">
        <v>5792</v>
      </c>
      <c r="CF88" s="203" t="s">
        <v>5792</v>
      </c>
      <c r="CG88" s="203" t="s">
        <v>5792</v>
      </c>
      <c r="CH88" s="209" t="s">
        <v>5792</v>
      </c>
      <c r="CI88" s="306" t="s">
        <v>4536</v>
      </c>
      <c r="CJ88" s="163">
        <v>345</v>
      </c>
      <c r="CK88" s="32">
        <v>420</v>
      </c>
      <c r="CL88" s="60">
        <v>450</v>
      </c>
      <c r="CM88" s="32">
        <v>630</v>
      </c>
      <c r="CN88" s="67">
        <v>200000</v>
      </c>
      <c r="CO88" s="163" t="s">
        <v>4536</v>
      </c>
      <c r="CP88" s="60">
        <v>345</v>
      </c>
      <c r="CQ88" s="60">
        <v>410</v>
      </c>
      <c r="CR88" s="60">
        <v>450</v>
      </c>
      <c r="CS88" s="32">
        <v>630</v>
      </c>
      <c r="CT88" s="61">
        <v>200000</v>
      </c>
      <c r="CU88" s="207" t="s">
        <v>5792</v>
      </c>
      <c r="CV88" s="208" t="s">
        <v>5792</v>
      </c>
      <c r="CW88" s="208" t="s">
        <v>5792</v>
      </c>
      <c r="CX88" s="209" t="s">
        <v>5792</v>
      </c>
      <c r="CY88" s="207" t="s">
        <v>5792</v>
      </c>
      <c r="CZ88" s="208" t="s">
        <v>5792</v>
      </c>
      <c r="DA88" s="209" t="s">
        <v>5792</v>
      </c>
      <c r="DB88" s="283" t="s">
        <v>5792</v>
      </c>
      <c r="DC88" s="163" t="s">
        <v>4422</v>
      </c>
      <c r="DD88" s="163">
        <v>640</v>
      </c>
      <c r="DE88" s="32">
        <v>730</v>
      </c>
      <c r="DF88" s="163">
        <v>800</v>
      </c>
      <c r="DG88" s="32">
        <v>940</v>
      </c>
      <c r="DH88" s="61">
        <v>200000</v>
      </c>
      <c r="DI88" s="153" t="s">
        <v>5836</v>
      </c>
      <c r="DJ88" s="163" t="s">
        <v>4435</v>
      </c>
      <c r="DK88" s="297" t="s">
        <v>4566</v>
      </c>
    </row>
    <row r="89" spans="1:115">
      <c r="A89" s="18">
        <v>84</v>
      </c>
      <c r="B89" s="326"/>
      <c r="C89" s="326"/>
      <c r="D89" s="346"/>
      <c r="E89" s="334"/>
      <c r="F89" s="326"/>
      <c r="G89" s="329"/>
      <c r="H89" s="326"/>
      <c r="I89" s="326"/>
      <c r="J89" s="41" t="s">
        <v>4520</v>
      </c>
      <c r="K89" s="306" t="s">
        <v>4383</v>
      </c>
      <c r="L89" s="163" t="s">
        <v>5792</v>
      </c>
      <c r="M89" s="306" t="s">
        <v>4552</v>
      </c>
      <c r="N89" s="163" t="s">
        <v>4707</v>
      </c>
      <c r="O89" s="18" t="s">
        <v>4507</v>
      </c>
      <c r="P89" s="163" t="s">
        <v>4420</v>
      </c>
      <c r="Q89" s="163" t="s">
        <v>4420</v>
      </c>
      <c r="R89" s="163" t="s">
        <v>4420</v>
      </c>
      <c r="S89" s="163" t="s">
        <v>5792</v>
      </c>
      <c r="T89" s="163" t="s">
        <v>4420</v>
      </c>
      <c r="U89" s="163" t="s">
        <v>5792</v>
      </c>
      <c r="V89" s="163" t="s">
        <v>4559</v>
      </c>
      <c r="W89" s="18">
        <v>6</v>
      </c>
      <c r="X89" s="231">
        <v>0</v>
      </c>
      <c r="Y89" s="142" t="s">
        <v>5792</v>
      </c>
      <c r="Z89" s="202" t="s">
        <v>5792</v>
      </c>
      <c r="AA89" s="203" t="s">
        <v>5792</v>
      </c>
      <c r="AB89" s="203" t="s">
        <v>5792</v>
      </c>
      <c r="AC89" s="203" t="s">
        <v>5792</v>
      </c>
      <c r="AD89" s="203" t="s">
        <v>5792</v>
      </c>
      <c r="AE89" s="203" t="s">
        <v>5792</v>
      </c>
      <c r="AF89" s="306" t="s">
        <v>4810</v>
      </c>
      <c r="AG89" s="21">
        <f t="shared" si="22"/>
        <v>406.4</v>
      </c>
      <c r="AH89" s="21">
        <f t="shared" si="23"/>
        <v>152.39999999999998</v>
      </c>
      <c r="AI89" s="21">
        <f t="shared" si="24"/>
        <v>6.35</v>
      </c>
      <c r="AJ89" s="21">
        <f t="shared" si="24"/>
        <v>6.35</v>
      </c>
      <c r="AK89" s="21">
        <f>287*25.4/2</f>
        <v>3644.8999999999996</v>
      </c>
      <c r="AL89" s="21">
        <f t="shared" si="18"/>
        <v>109736597.1258291</v>
      </c>
      <c r="AM89" s="18">
        <v>638018</v>
      </c>
      <c r="AN89" s="21">
        <f>0.508*25.4</f>
        <v>12.9032</v>
      </c>
      <c r="AO89" s="21">
        <f t="shared" si="19"/>
        <v>152.39999999999998</v>
      </c>
      <c r="AP89" s="21">
        <f t="shared" si="20"/>
        <v>406.4</v>
      </c>
      <c r="AQ89" s="163">
        <v>0</v>
      </c>
      <c r="AR89" s="163">
        <v>0</v>
      </c>
      <c r="AS89" s="306" t="s">
        <v>5807</v>
      </c>
      <c r="AT89" s="163" t="s">
        <v>6134</v>
      </c>
      <c r="AU89" s="163" t="s">
        <v>6134</v>
      </c>
      <c r="AV89" s="21">
        <f>5/8*25.4</f>
        <v>15.875</v>
      </c>
      <c r="AW89" s="163">
        <v>165</v>
      </c>
      <c r="AX89" s="21">
        <f>1.875*25.4+AI89</f>
        <v>53.975000000000001</v>
      </c>
      <c r="AY89" s="21">
        <f>1.875*25.4+AI89</f>
        <v>53.975000000000001</v>
      </c>
      <c r="AZ89" s="21">
        <v>0</v>
      </c>
      <c r="BA89" s="21">
        <f>3.75*25.4</f>
        <v>95.25</v>
      </c>
      <c r="BB89" s="21">
        <f t="shared" si="21"/>
        <v>298.44999999999993</v>
      </c>
      <c r="BC89" s="163" t="s">
        <v>4470</v>
      </c>
      <c r="BD89" s="163" t="s">
        <v>6209</v>
      </c>
      <c r="BE89" s="163" t="s">
        <v>6209</v>
      </c>
      <c r="BF89" s="163">
        <v>2</v>
      </c>
      <c r="BG89" s="163">
        <v>4</v>
      </c>
      <c r="BH89" s="202" t="s">
        <v>5792</v>
      </c>
      <c r="BI89" s="203" t="s">
        <v>5792</v>
      </c>
      <c r="BJ89" s="203" t="s">
        <v>5792</v>
      </c>
      <c r="BK89" s="203" t="s">
        <v>5792</v>
      </c>
      <c r="BL89" s="203" t="s">
        <v>5792</v>
      </c>
      <c r="BM89" s="203" t="s">
        <v>5792</v>
      </c>
      <c r="BN89" s="203" t="s">
        <v>5792</v>
      </c>
      <c r="BO89" s="203" t="s">
        <v>5792</v>
      </c>
      <c r="BP89" s="202" t="s">
        <v>5792</v>
      </c>
      <c r="BQ89" s="203" t="s">
        <v>5792</v>
      </c>
      <c r="BR89" s="203" t="s">
        <v>5792</v>
      </c>
      <c r="BS89" s="203" t="s">
        <v>5792</v>
      </c>
      <c r="BT89" s="203" t="s">
        <v>5792</v>
      </c>
      <c r="BU89" s="203" t="s">
        <v>5792</v>
      </c>
      <c r="BV89" s="218" t="s">
        <v>5792</v>
      </c>
      <c r="BW89" s="203" t="s">
        <v>5792</v>
      </c>
      <c r="BX89" s="203" t="s">
        <v>5792</v>
      </c>
      <c r="BY89" s="203" t="s">
        <v>5792</v>
      </c>
      <c r="BZ89" s="203" t="s">
        <v>5792</v>
      </c>
      <c r="CA89" s="203" t="s">
        <v>5792</v>
      </c>
      <c r="CB89" s="218" t="s">
        <v>5792</v>
      </c>
      <c r="CC89" s="203" t="s">
        <v>5792</v>
      </c>
      <c r="CD89" s="203" t="s">
        <v>5792</v>
      </c>
      <c r="CE89" s="203" t="s">
        <v>5792</v>
      </c>
      <c r="CF89" s="203" t="s">
        <v>5792</v>
      </c>
      <c r="CG89" s="203" t="s">
        <v>5792</v>
      </c>
      <c r="CH89" s="209" t="s">
        <v>5792</v>
      </c>
      <c r="CI89" s="306" t="s">
        <v>4536</v>
      </c>
      <c r="CJ89" s="163">
        <v>345</v>
      </c>
      <c r="CK89" s="32">
        <v>420</v>
      </c>
      <c r="CL89" s="60">
        <v>450</v>
      </c>
      <c r="CM89" s="32">
        <v>630</v>
      </c>
      <c r="CN89" s="67">
        <v>200000</v>
      </c>
      <c r="CO89" s="163" t="s">
        <v>4536</v>
      </c>
      <c r="CP89" s="60">
        <v>345</v>
      </c>
      <c r="CQ89" s="60">
        <v>372</v>
      </c>
      <c r="CR89" s="60">
        <v>450</v>
      </c>
      <c r="CS89" s="32">
        <v>630</v>
      </c>
      <c r="CT89" s="61">
        <v>200000</v>
      </c>
      <c r="CU89" s="207" t="s">
        <v>5792</v>
      </c>
      <c r="CV89" s="208" t="s">
        <v>5792</v>
      </c>
      <c r="CW89" s="208" t="s">
        <v>5792</v>
      </c>
      <c r="CX89" s="209" t="s">
        <v>5792</v>
      </c>
      <c r="CY89" s="207" t="s">
        <v>5792</v>
      </c>
      <c r="CZ89" s="208" t="s">
        <v>5792</v>
      </c>
      <c r="DA89" s="209" t="s">
        <v>5792</v>
      </c>
      <c r="DB89" s="283" t="s">
        <v>5792</v>
      </c>
      <c r="DC89" s="163" t="s">
        <v>4422</v>
      </c>
      <c r="DD89" s="163">
        <v>640</v>
      </c>
      <c r="DE89" s="32">
        <v>730</v>
      </c>
      <c r="DF89" s="163">
        <v>800</v>
      </c>
      <c r="DG89" s="32">
        <v>940</v>
      </c>
      <c r="DH89" s="61">
        <v>200000</v>
      </c>
      <c r="DI89" s="153" t="s">
        <v>5836</v>
      </c>
      <c r="DJ89" s="163" t="s">
        <v>4435</v>
      </c>
      <c r="DK89" s="297" t="s">
        <v>4566</v>
      </c>
    </row>
    <row r="90" spans="1:115">
      <c r="A90" s="18">
        <v>85</v>
      </c>
      <c r="B90" s="326"/>
      <c r="C90" s="326"/>
      <c r="D90" s="346"/>
      <c r="E90" s="334"/>
      <c r="F90" s="326"/>
      <c r="G90" s="329"/>
      <c r="H90" s="326"/>
      <c r="I90" s="326"/>
      <c r="J90" s="41" t="s">
        <v>4521</v>
      </c>
      <c r="K90" s="306" t="s">
        <v>4383</v>
      </c>
      <c r="L90" s="163" t="s">
        <v>5792</v>
      </c>
      <c r="M90" s="306" t="s">
        <v>4552</v>
      </c>
      <c r="N90" s="163" t="s">
        <v>4707</v>
      </c>
      <c r="O90" s="18" t="s">
        <v>4507</v>
      </c>
      <c r="P90" s="163" t="s">
        <v>4420</v>
      </c>
      <c r="Q90" s="163" t="s">
        <v>4420</v>
      </c>
      <c r="R90" s="163" t="s">
        <v>4420</v>
      </c>
      <c r="S90" s="163" t="s">
        <v>5792</v>
      </c>
      <c r="T90" s="163" t="s">
        <v>4420</v>
      </c>
      <c r="U90" s="163" t="s">
        <v>5792</v>
      </c>
      <c r="V90" s="163" t="s">
        <v>4559</v>
      </c>
      <c r="W90" s="18">
        <v>6</v>
      </c>
      <c r="X90" s="231">
        <v>0</v>
      </c>
      <c r="Y90" s="142" t="s">
        <v>5792</v>
      </c>
      <c r="Z90" s="202" t="s">
        <v>5792</v>
      </c>
      <c r="AA90" s="203" t="s">
        <v>5792</v>
      </c>
      <c r="AB90" s="203" t="s">
        <v>5792</v>
      </c>
      <c r="AC90" s="203" t="s">
        <v>5792</v>
      </c>
      <c r="AD90" s="203" t="s">
        <v>5792</v>
      </c>
      <c r="AE90" s="203" t="s">
        <v>5792</v>
      </c>
      <c r="AF90" s="306" t="s">
        <v>4810</v>
      </c>
      <c r="AG90" s="21">
        <f t="shared" si="22"/>
        <v>406.4</v>
      </c>
      <c r="AH90" s="21">
        <f t="shared" si="23"/>
        <v>152.39999999999998</v>
      </c>
      <c r="AI90" s="21">
        <f t="shared" si="24"/>
        <v>6.35</v>
      </c>
      <c r="AJ90" s="21">
        <f t="shared" si="24"/>
        <v>6.35</v>
      </c>
      <c r="AK90" s="21">
        <f>287*25.4/2</f>
        <v>3644.8999999999996</v>
      </c>
      <c r="AL90" s="21">
        <f t="shared" si="18"/>
        <v>109736597.1258291</v>
      </c>
      <c r="AM90" s="18">
        <v>638018</v>
      </c>
      <c r="AN90" s="21">
        <f>0.385*25.4</f>
        <v>9.7789999999999999</v>
      </c>
      <c r="AO90" s="21">
        <f t="shared" si="19"/>
        <v>152.39999999999998</v>
      </c>
      <c r="AP90" s="21">
        <f t="shared" si="20"/>
        <v>406.4</v>
      </c>
      <c r="AQ90" s="163">
        <v>0</v>
      </c>
      <c r="AR90" s="163">
        <v>0</v>
      </c>
      <c r="AS90" s="306" t="s">
        <v>5807</v>
      </c>
      <c r="AT90" s="163" t="s">
        <v>6134</v>
      </c>
      <c r="AU90" s="163" t="s">
        <v>6134</v>
      </c>
      <c r="AV90" s="21">
        <f>5/8*25.4</f>
        <v>15.875</v>
      </c>
      <c r="AW90" s="163">
        <v>165</v>
      </c>
      <c r="AX90" s="21">
        <f>1.375*25.4+AI90</f>
        <v>41.274999999999999</v>
      </c>
      <c r="AY90" s="21">
        <f>1.375*25.4+AI90</f>
        <v>41.274999999999999</v>
      </c>
      <c r="AZ90" s="21">
        <v>0</v>
      </c>
      <c r="BA90" s="21">
        <f>2.75*25.4</f>
        <v>69.849999999999994</v>
      </c>
      <c r="BB90" s="21">
        <f t="shared" si="21"/>
        <v>323.85000000000002</v>
      </c>
      <c r="BC90" s="163" t="s">
        <v>4470</v>
      </c>
      <c r="BD90" s="163" t="s">
        <v>6209</v>
      </c>
      <c r="BE90" s="163" t="s">
        <v>6209</v>
      </c>
      <c r="BF90" s="163">
        <v>2</v>
      </c>
      <c r="BG90" s="163">
        <v>4</v>
      </c>
      <c r="BH90" s="202" t="s">
        <v>5792</v>
      </c>
      <c r="BI90" s="203" t="s">
        <v>5792</v>
      </c>
      <c r="BJ90" s="203" t="s">
        <v>5792</v>
      </c>
      <c r="BK90" s="203" t="s">
        <v>5792</v>
      </c>
      <c r="BL90" s="203" t="s">
        <v>5792</v>
      </c>
      <c r="BM90" s="203" t="s">
        <v>5792</v>
      </c>
      <c r="BN90" s="203" t="s">
        <v>5792</v>
      </c>
      <c r="BO90" s="203" t="s">
        <v>5792</v>
      </c>
      <c r="BP90" s="202" t="s">
        <v>5792</v>
      </c>
      <c r="BQ90" s="203" t="s">
        <v>5792</v>
      </c>
      <c r="BR90" s="203" t="s">
        <v>5792</v>
      </c>
      <c r="BS90" s="203" t="s">
        <v>5792</v>
      </c>
      <c r="BT90" s="203" t="s">
        <v>5792</v>
      </c>
      <c r="BU90" s="203" t="s">
        <v>5792</v>
      </c>
      <c r="BV90" s="218" t="s">
        <v>5792</v>
      </c>
      <c r="BW90" s="203" t="s">
        <v>5792</v>
      </c>
      <c r="BX90" s="203" t="s">
        <v>5792</v>
      </c>
      <c r="BY90" s="203" t="s">
        <v>5792</v>
      </c>
      <c r="BZ90" s="203" t="s">
        <v>5792</v>
      </c>
      <c r="CA90" s="203" t="s">
        <v>5792</v>
      </c>
      <c r="CB90" s="218" t="s">
        <v>5792</v>
      </c>
      <c r="CC90" s="203" t="s">
        <v>5792</v>
      </c>
      <c r="CD90" s="203" t="s">
        <v>5792</v>
      </c>
      <c r="CE90" s="203" t="s">
        <v>5792</v>
      </c>
      <c r="CF90" s="203" t="s">
        <v>5792</v>
      </c>
      <c r="CG90" s="203" t="s">
        <v>5792</v>
      </c>
      <c r="CH90" s="209" t="s">
        <v>5792</v>
      </c>
      <c r="CI90" s="306" t="s">
        <v>4536</v>
      </c>
      <c r="CJ90" s="163">
        <v>345</v>
      </c>
      <c r="CK90" s="32">
        <v>420</v>
      </c>
      <c r="CL90" s="60">
        <v>450</v>
      </c>
      <c r="CM90" s="32">
        <v>630</v>
      </c>
      <c r="CN90" s="67">
        <v>200000</v>
      </c>
      <c r="CO90" s="163" t="s">
        <v>4536</v>
      </c>
      <c r="CP90" s="60">
        <v>345</v>
      </c>
      <c r="CQ90" s="60">
        <v>393</v>
      </c>
      <c r="CR90" s="60">
        <v>450</v>
      </c>
      <c r="CS90" s="32">
        <v>630</v>
      </c>
      <c r="CT90" s="61">
        <v>200000</v>
      </c>
      <c r="CU90" s="207" t="s">
        <v>5792</v>
      </c>
      <c r="CV90" s="208" t="s">
        <v>5792</v>
      </c>
      <c r="CW90" s="208" t="s">
        <v>5792</v>
      </c>
      <c r="CX90" s="209" t="s">
        <v>5792</v>
      </c>
      <c r="CY90" s="207" t="s">
        <v>5792</v>
      </c>
      <c r="CZ90" s="208" t="s">
        <v>5792</v>
      </c>
      <c r="DA90" s="209" t="s">
        <v>5792</v>
      </c>
      <c r="DB90" s="283" t="s">
        <v>5792</v>
      </c>
      <c r="DC90" s="163" t="s">
        <v>4422</v>
      </c>
      <c r="DD90" s="163">
        <v>640</v>
      </c>
      <c r="DE90" s="32">
        <v>730</v>
      </c>
      <c r="DF90" s="163">
        <v>800</v>
      </c>
      <c r="DG90" s="32">
        <v>940</v>
      </c>
      <c r="DH90" s="61">
        <v>200000</v>
      </c>
      <c r="DI90" s="153" t="s">
        <v>5836</v>
      </c>
      <c r="DJ90" s="163" t="s">
        <v>4435</v>
      </c>
      <c r="DK90" s="297" t="s">
        <v>4566</v>
      </c>
    </row>
    <row r="91" spans="1:115">
      <c r="A91" s="18">
        <v>86</v>
      </c>
      <c r="B91" s="326"/>
      <c r="C91" s="326"/>
      <c r="D91" s="346"/>
      <c r="E91" s="334"/>
      <c r="F91" s="326"/>
      <c r="G91" s="329"/>
      <c r="H91" s="326"/>
      <c r="I91" s="326"/>
      <c r="J91" s="41" t="s">
        <v>4522</v>
      </c>
      <c r="K91" s="306" t="s">
        <v>4383</v>
      </c>
      <c r="L91" s="163" t="s">
        <v>5792</v>
      </c>
      <c r="M91" s="306" t="s">
        <v>4552</v>
      </c>
      <c r="N91" s="163" t="s">
        <v>4707</v>
      </c>
      <c r="O91" s="18" t="s">
        <v>4507</v>
      </c>
      <c r="P91" s="163" t="s">
        <v>4420</v>
      </c>
      <c r="Q91" s="163" t="s">
        <v>4420</v>
      </c>
      <c r="R91" s="163" t="s">
        <v>4420</v>
      </c>
      <c r="S91" s="163" t="s">
        <v>5792</v>
      </c>
      <c r="T91" s="163" t="s">
        <v>4420</v>
      </c>
      <c r="U91" s="163" t="s">
        <v>5792</v>
      </c>
      <c r="V91" s="163" t="s">
        <v>4559</v>
      </c>
      <c r="W91" s="18">
        <v>6</v>
      </c>
      <c r="X91" s="231">
        <v>0</v>
      </c>
      <c r="Y91" s="142" t="s">
        <v>5792</v>
      </c>
      <c r="Z91" s="202" t="s">
        <v>5792</v>
      </c>
      <c r="AA91" s="203" t="s">
        <v>5792</v>
      </c>
      <c r="AB91" s="203" t="s">
        <v>5792</v>
      </c>
      <c r="AC91" s="203" t="s">
        <v>5792</v>
      </c>
      <c r="AD91" s="203" t="s">
        <v>5792</v>
      </c>
      <c r="AE91" s="203" t="s">
        <v>5792</v>
      </c>
      <c r="AF91" s="306" t="s">
        <v>4813</v>
      </c>
      <c r="AG91" s="21">
        <f>10*25.4</f>
        <v>254</v>
      </c>
      <c r="AH91" s="21">
        <f>5*25.4</f>
        <v>127</v>
      </c>
      <c r="AI91" s="21">
        <f t="shared" si="24"/>
        <v>6.35</v>
      </c>
      <c r="AJ91" s="21">
        <f t="shared" si="24"/>
        <v>6.35</v>
      </c>
      <c r="AK91" s="21">
        <f>288*25.4/2</f>
        <v>3657.6</v>
      </c>
      <c r="AL91" s="21">
        <f t="shared" si="18"/>
        <v>32170136.667662472</v>
      </c>
      <c r="AM91" s="18">
        <v>292150</v>
      </c>
      <c r="AN91" s="21">
        <f>0.384*25.4</f>
        <v>9.7536000000000005</v>
      </c>
      <c r="AO91" s="21">
        <f t="shared" si="19"/>
        <v>127</v>
      </c>
      <c r="AP91" s="21">
        <f t="shared" si="20"/>
        <v>254</v>
      </c>
      <c r="AQ91" s="163">
        <v>0</v>
      </c>
      <c r="AR91" s="163">
        <v>0</v>
      </c>
      <c r="AS91" s="306" t="s">
        <v>5807</v>
      </c>
      <c r="AT91" s="163" t="s">
        <v>6134</v>
      </c>
      <c r="AU91" s="163" t="s">
        <v>6134</v>
      </c>
      <c r="AV91" s="21">
        <f>5/8*25.4</f>
        <v>15.875</v>
      </c>
      <c r="AW91" s="163">
        <v>165</v>
      </c>
      <c r="AX91" s="21">
        <f>1.25*25.4+AI91</f>
        <v>38.1</v>
      </c>
      <c r="AY91" s="21">
        <f>1.25*25.4+AI91</f>
        <v>38.1</v>
      </c>
      <c r="AZ91" s="21">
        <v>0</v>
      </c>
      <c r="BA91" s="21">
        <f>2.25*25.4</f>
        <v>57.15</v>
      </c>
      <c r="BB91" s="21">
        <f t="shared" si="21"/>
        <v>177.8</v>
      </c>
      <c r="BC91" s="163" t="s">
        <v>4470</v>
      </c>
      <c r="BD91" s="163" t="s">
        <v>6209</v>
      </c>
      <c r="BE91" s="163" t="s">
        <v>6209</v>
      </c>
      <c r="BF91" s="163">
        <v>2</v>
      </c>
      <c r="BG91" s="163">
        <v>4</v>
      </c>
      <c r="BH91" s="202" t="s">
        <v>5792</v>
      </c>
      <c r="BI91" s="203" t="s">
        <v>5792</v>
      </c>
      <c r="BJ91" s="203" t="s">
        <v>5792</v>
      </c>
      <c r="BK91" s="203" t="s">
        <v>5792</v>
      </c>
      <c r="BL91" s="203" t="s">
        <v>5792</v>
      </c>
      <c r="BM91" s="203" t="s">
        <v>5792</v>
      </c>
      <c r="BN91" s="203" t="s">
        <v>5792</v>
      </c>
      <c r="BO91" s="203" t="s">
        <v>5792</v>
      </c>
      <c r="BP91" s="202" t="s">
        <v>5792</v>
      </c>
      <c r="BQ91" s="203" t="s">
        <v>5792</v>
      </c>
      <c r="BR91" s="203" t="s">
        <v>5792</v>
      </c>
      <c r="BS91" s="203" t="s">
        <v>5792</v>
      </c>
      <c r="BT91" s="203" t="s">
        <v>5792</v>
      </c>
      <c r="BU91" s="203" t="s">
        <v>5792</v>
      </c>
      <c r="BV91" s="218" t="s">
        <v>5792</v>
      </c>
      <c r="BW91" s="203" t="s">
        <v>5792</v>
      </c>
      <c r="BX91" s="203" t="s">
        <v>5792</v>
      </c>
      <c r="BY91" s="203" t="s">
        <v>5792</v>
      </c>
      <c r="BZ91" s="203" t="s">
        <v>5792</v>
      </c>
      <c r="CA91" s="203" t="s">
        <v>5792</v>
      </c>
      <c r="CB91" s="218" t="s">
        <v>5792</v>
      </c>
      <c r="CC91" s="203" t="s">
        <v>5792</v>
      </c>
      <c r="CD91" s="203" t="s">
        <v>5792</v>
      </c>
      <c r="CE91" s="203" t="s">
        <v>5792</v>
      </c>
      <c r="CF91" s="203" t="s">
        <v>5792</v>
      </c>
      <c r="CG91" s="203" t="s">
        <v>5792</v>
      </c>
      <c r="CH91" s="209" t="s">
        <v>5792</v>
      </c>
      <c r="CI91" s="306" t="s">
        <v>4536</v>
      </c>
      <c r="CJ91" s="163">
        <v>345</v>
      </c>
      <c r="CK91" s="32">
        <v>420</v>
      </c>
      <c r="CL91" s="60">
        <v>450</v>
      </c>
      <c r="CM91" s="32">
        <v>630</v>
      </c>
      <c r="CN91" s="67">
        <v>200000</v>
      </c>
      <c r="CO91" s="163" t="s">
        <v>4536</v>
      </c>
      <c r="CP91" s="60">
        <v>345</v>
      </c>
      <c r="CQ91" s="60">
        <v>356</v>
      </c>
      <c r="CR91" s="60">
        <v>450</v>
      </c>
      <c r="CS91" s="32">
        <v>630</v>
      </c>
      <c r="CT91" s="61">
        <v>200000</v>
      </c>
      <c r="CU91" s="207" t="s">
        <v>5792</v>
      </c>
      <c r="CV91" s="208" t="s">
        <v>5792</v>
      </c>
      <c r="CW91" s="208" t="s">
        <v>5792</v>
      </c>
      <c r="CX91" s="209" t="s">
        <v>5792</v>
      </c>
      <c r="CY91" s="207" t="s">
        <v>5792</v>
      </c>
      <c r="CZ91" s="208" t="s">
        <v>5792</v>
      </c>
      <c r="DA91" s="209" t="s">
        <v>5792</v>
      </c>
      <c r="DB91" s="283" t="s">
        <v>5792</v>
      </c>
      <c r="DC91" s="163" t="s">
        <v>4422</v>
      </c>
      <c r="DD91" s="163">
        <v>640</v>
      </c>
      <c r="DE91" s="32">
        <v>730</v>
      </c>
      <c r="DF91" s="163">
        <v>800</v>
      </c>
      <c r="DG91" s="32">
        <v>940</v>
      </c>
      <c r="DH91" s="61">
        <v>200000</v>
      </c>
      <c r="DI91" s="153" t="s">
        <v>5836</v>
      </c>
      <c r="DJ91" s="163" t="s">
        <v>4435</v>
      </c>
      <c r="DK91" s="297" t="s">
        <v>4566</v>
      </c>
    </row>
    <row r="92" spans="1:115">
      <c r="A92" s="18">
        <v>87</v>
      </c>
      <c r="B92" s="326"/>
      <c r="C92" s="326"/>
      <c r="D92" s="346"/>
      <c r="E92" s="334"/>
      <c r="F92" s="326"/>
      <c r="G92" s="329"/>
      <c r="H92" s="326"/>
      <c r="I92" s="326"/>
      <c r="J92" s="41" t="s">
        <v>4523</v>
      </c>
      <c r="K92" s="306" t="s">
        <v>4383</v>
      </c>
      <c r="L92" s="163" t="s">
        <v>5792</v>
      </c>
      <c r="M92" s="306" t="s">
        <v>4552</v>
      </c>
      <c r="N92" s="163" t="s">
        <v>4707</v>
      </c>
      <c r="O92" s="18" t="s">
        <v>4507</v>
      </c>
      <c r="P92" s="163" t="s">
        <v>4420</v>
      </c>
      <c r="Q92" s="163" t="s">
        <v>4420</v>
      </c>
      <c r="R92" s="163" t="s">
        <v>4420</v>
      </c>
      <c r="S92" s="163" t="s">
        <v>5792</v>
      </c>
      <c r="T92" s="163" t="s">
        <v>4420</v>
      </c>
      <c r="U92" s="163" t="s">
        <v>5792</v>
      </c>
      <c r="V92" s="163" t="s">
        <v>4559</v>
      </c>
      <c r="W92" s="18">
        <v>6</v>
      </c>
      <c r="X92" s="231">
        <v>0</v>
      </c>
      <c r="Y92" s="142" t="s">
        <v>5792</v>
      </c>
      <c r="Z92" s="202" t="s">
        <v>5792</v>
      </c>
      <c r="AA92" s="203" t="s">
        <v>5792</v>
      </c>
      <c r="AB92" s="203" t="s">
        <v>5792</v>
      </c>
      <c r="AC92" s="203" t="s">
        <v>5792</v>
      </c>
      <c r="AD92" s="203" t="s">
        <v>5792</v>
      </c>
      <c r="AE92" s="203" t="s">
        <v>5792</v>
      </c>
      <c r="AF92" s="306" t="s">
        <v>4813</v>
      </c>
      <c r="AG92" s="21">
        <f>10*25.4</f>
        <v>254</v>
      </c>
      <c r="AH92" s="21">
        <f>5*25.4</f>
        <v>127</v>
      </c>
      <c r="AI92" s="21">
        <f t="shared" si="24"/>
        <v>6.35</v>
      </c>
      <c r="AJ92" s="21">
        <f t="shared" si="24"/>
        <v>6.35</v>
      </c>
      <c r="AK92" s="21">
        <f>288*25.4/2</f>
        <v>3657.6</v>
      </c>
      <c r="AL92" s="21">
        <f t="shared" si="18"/>
        <v>32170136.667662472</v>
      </c>
      <c r="AM92" s="18">
        <v>292150</v>
      </c>
      <c r="AN92" s="21">
        <f>0.506*25.4</f>
        <v>12.852399999999999</v>
      </c>
      <c r="AO92" s="21">
        <f t="shared" si="19"/>
        <v>127</v>
      </c>
      <c r="AP92" s="21">
        <f t="shared" si="20"/>
        <v>254</v>
      </c>
      <c r="AQ92" s="163">
        <v>0</v>
      </c>
      <c r="AR92" s="163">
        <v>0</v>
      </c>
      <c r="AS92" s="306" t="s">
        <v>5807</v>
      </c>
      <c r="AT92" s="163" t="s">
        <v>6134</v>
      </c>
      <c r="AU92" s="163" t="s">
        <v>6134</v>
      </c>
      <c r="AV92" s="21">
        <f>5/8*25.4</f>
        <v>15.875</v>
      </c>
      <c r="AW92" s="163">
        <v>165</v>
      </c>
      <c r="AX92" s="21">
        <f>1.5*25.4+AI92</f>
        <v>44.449999999999996</v>
      </c>
      <c r="AY92" s="21">
        <f>1.5*25.4+AI92</f>
        <v>44.449999999999996</v>
      </c>
      <c r="AZ92" s="21">
        <v>0</v>
      </c>
      <c r="BA92" s="21">
        <f>3*25.4</f>
        <v>76.199999999999989</v>
      </c>
      <c r="BB92" s="21">
        <f t="shared" si="21"/>
        <v>165.10000000000002</v>
      </c>
      <c r="BC92" s="163" t="s">
        <v>4470</v>
      </c>
      <c r="BD92" s="163" t="s">
        <v>6209</v>
      </c>
      <c r="BE92" s="163" t="s">
        <v>6209</v>
      </c>
      <c r="BF92" s="163">
        <v>2</v>
      </c>
      <c r="BG92" s="163">
        <v>4</v>
      </c>
      <c r="BH92" s="202" t="s">
        <v>5792</v>
      </c>
      <c r="BI92" s="203" t="s">
        <v>5792</v>
      </c>
      <c r="BJ92" s="203" t="s">
        <v>5792</v>
      </c>
      <c r="BK92" s="203" t="s">
        <v>5792</v>
      </c>
      <c r="BL92" s="203" t="s">
        <v>5792</v>
      </c>
      <c r="BM92" s="203" t="s">
        <v>5792</v>
      </c>
      <c r="BN92" s="203" t="s">
        <v>5792</v>
      </c>
      <c r="BO92" s="203" t="s">
        <v>5792</v>
      </c>
      <c r="BP92" s="202" t="s">
        <v>5792</v>
      </c>
      <c r="BQ92" s="203" t="s">
        <v>5792</v>
      </c>
      <c r="BR92" s="203" t="s">
        <v>5792</v>
      </c>
      <c r="BS92" s="203" t="s">
        <v>5792</v>
      </c>
      <c r="BT92" s="203" t="s">
        <v>5792</v>
      </c>
      <c r="BU92" s="203" t="s">
        <v>5792</v>
      </c>
      <c r="BV92" s="218" t="s">
        <v>5792</v>
      </c>
      <c r="BW92" s="203" t="s">
        <v>5792</v>
      </c>
      <c r="BX92" s="203" t="s">
        <v>5792</v>
      </c>
      <c r="BY92" s="203" t="s">
        <v>5792</v>
      </c>
      <c r="BZ92" s="203" t="s">
        <v>5792</v>
      </c>
      <c r="CA92" s="203" t="s">
        <v>5792</v>
      </c>
      <c r="CB92" s="218" t="s">
        <v>5792</v>
      </c>
      <c r="CC92" s="203" t="s">
        <v>5792</v>
      </c>
      <c r="CD92" s="203" t="s">
        <v>5792</v>
      </c>
      <c r="CE92" s="203" t="s">
        <v>5792</v>
      </c>
      <c r="CF92" s="203" t="s">
        <v>5792</v>
      </c>
      <c r="CG92" s="203" t="s">
        <v>5792</v>
      </c>
      <c r="CH92" s="209" t="s">
        <v>5792</v>
      </c>
      <c r="CI92" s="306" t="s">
        <v>4536</v>
      </c>
      <c r="CJ92" s="163">
        <v>345</v>
      </c>
      <c r="CK92" s="32">
        <v>420</v>
      </c>
      <c r="CL92" s="60">
        <v>450</v>
      </c>
      <c r="CM92" s="32">
        <v>630</v>
      </c>
      <c r="CN92" s="67">
        <v>200000</v>
      </c>
      <c r="CO92" s="163" t="s">
        <v>4536</v>
      </c>
      <c r="CP92" s="60">
        <v>345</v>
      </c>
      <c r="CQ92" s="60">
        <v>385</v>
      </c>
      <c r="CR92" s="60">
        <v>450</v>
      </c>
      <c r="CS92" s="32">
        <v>630</v>
      </c>
      <c r="CT92" s="61">
        <v>200000</v>
      </c>
      <c r="CU92" s="207" t="s">
        <v>5792</v>
      </c>
      <c r="CV92" s="208" t="s">
        <v>5792</v>
      </c>
      <c r="CW92" s="208" t="s">
        <v>5792</v>
      </c>
      <c r="CX92" s="209" t="s">
        <v>5792</v>
      </c>
      <c r="CY92" s="207" t="s">
        <v>5792</v>
      </c>
      <c r="CZ92" s="208" t="s">
        <v>5792</v>
      </c>
      <c r="DA92" s="209" t="s">
        <v>5792</v>
      </c>
      <c r="DB92" s="283" t="s">
        <v>5792</v>
      </c>
      <c r="DC92" s="163" t="s">
        <v>4422</v>
      </c>
      <c r="DD92" s="163">
        <v>640</v>
      </c>
      <c r="DE92" s="32">
        <v>730</v>
      </c>
      <c r="DF92" s="163">
        <v>800</v>
      </c>
      <c r="DG92" s="32">
        <v>940</v>
      </c>
      <c r="DH92" s="61">
        <v>200000</v>
      </c>
      <c r="DI92" s="153" t="s">
        <v>5836</v>
      </c>
      <c r="DJ92" s="163" t="s">
        <v>4435</v>
      </c>
      <c r="DK92" s="297" t="s">
        <v>4566</v>
      </c>
    </row>
    <row r="93" spans="1:115">
      <c r="A93" s="18">
        <v>88</v>
      </c>
      <c r="B93" s="326"/>
      <c r="C93" s="326"/>
      <c r="D93" s="346"/>
      <c r="E93" s="334"/>
      <c r="F93" s="326"/>
      <c r="G93" s="329"/>
      <c r="H93" s="326"/>
      <c r="I93" s="326"/>
      <c r="J93" s="41" t="s">
        <v>4524</v>
      </c>
      <c r="K93" s="306" t="s">
        <v>4383</v>
      </c>
      <c r="L93" s="163" t="s">
        <v>5792</v>
      </c>
      <c r="M93" s="306" t="s">
        <v>4552</v>
      </c>
      <c r="N93" s="163" t="s">
        <v>4707</v>
      </c>
      <c r="O93" s="18" t="s">
        <v>4507</v>
      </c>
      <c r="P93" s="163" t="s">
        <v>4420</v>
      </c>
      <c r="Q93" s="163" t="s">
        <v>4420</v>
      </c>
      <c r="R93" s="163" t="s">
        <v>4420</v>
      </c>
      <c r="S93" s="163" t="s">
        <v>5792</v>
      </c>
      <c r="T93" s="163" t="s">
        <v>4420</v>
      </c>
      <c r="U93" s="163" t="s">
        <v>5792</v>
      </c>
      <c r="V93" s="163" t="s">
        <v>4559</v>
      </c>
      <c r="W93" s="18">
        <v>6</v>
      </c>
      <c r="X93" s="231">
        <v>0</v>
      </c>
      <c r="Y93" s="142" t="s">
        <v>5792</v>
      </c>
      <c r="Z93" s="202" t="s">
        <v>5792</v>
      </c>
      <c r="AA93" s="203" t="s">
        <v>5792</v>
      </c>
      <c r="AB93" s="203" t="s">
        <v>5792</v>
      </c>
      <c r="AC93" s="203" t="s">
        <v>5792</v>
      </c>
      <c r="AD93" s="203" t="s">
        <v>5792</v>
      </c>
      <c r="AE93" s="203" t="s">
        <v>5792</v>
      </c>
      <c r="AF93" s="306" t="s">
        <v>4811</v>
      </c>
      <c r="AG93" s="21">
        <f>24*25.4</f>
        <v>609.59999999999991</v>
      </c>
      <c r="AH93" s="21">
        <f t="shared" si="23"/>
        <v>152.39999999999998</v>
      </c>
      <c r="AI93" s="21">
        <f t="shared" si="24"/>
        <v>6.35</v>
      </c>
      <c r="AJ93" s="21">
        <f t="shared" si="24"/>
        <v>6.35</v>
      </c>
      <c r="AK93" s="21">
        <f>288*25.4/2</f>
        <v>3657.6</v>
      </c>
      <c r="AL93" s="21">
        <f t="shared" si="18"/>
        <v>288629395.25349665</v>
      </c>
      <c r="AM93" s="18">
        <v>1149399</v>
      </c>
      <c r="AN93" s="21">
        <f>0.504*25.4</f>
        <v>12.801599999999999</v>
      </c>
      <c r="AO93" s="21">
        <f t="shared" si="19"/>
        <v>152.39999999999998</v>
      </c>
      <c r="AP93" s="21">
        <f t="shared" si="20"/>
        <v>609.59999999999991</v>
      </c>
      <c r="AQ93" s="163">
        <v>0</v>
      </c>
      <c r="AR93" s="163">
        <v>0</v>
      </c>
      <c r="AS93" s="306" t="s">
        <v>5807</v>
      </c>
      <c r="AT93" s="163" t="s">
        <v>6134</v>
      </c>
      <c r="AU93" s="163" t="s">
        <v>6134</v>
      </c>
      <c r="AV93" s="21">
        <f>3/4*25.4</f>
        <v>19.049999999999997</v>
      </c>
      <c r="AW93" s="163">
        <v>241</v>
      </c>
      <c r="AX93" s="21">
        <f>1.75*25.4+AI93</f>
        <v>50.8</v>
      </c>
      <c r="AY93" s="21">
        <f>1.75*25.4+AI93</f>
        <v>50.8</v>
      </c>
      <c r="AZ93" s="21">
        <v>0</v>
      </c>
      <c r="BA93" s="21">
        <f>3.25*25.4</f>
        <v>82.55</v>
      </c>
      <c r="BB93" s="21">
        <f t="shared" si="21"/>
        <v>507.99999999999994</v>
      </c>
      <c r="BC93" s="163" t="s">
        <v>4470</v>
      </c>
      <c r="BD93" s="163" t="s">
        <v>6209</v>
      </c>
      <c r="BE93" s="163" t="s">
        <v>6209</v>
      </c>
      <c r="BF93" s="163">
        <v>2</v>
      </c>
      <c r="BG93" s="163">
        <v>4</v>
      </c>
      <c r="BH93" s="202" t="s">
        <v>5792</v>
      </c>
      <c r="BI93" s="203" t="s">
        <v>5792</v>
      </c>
      <c r="BJ93" s="203" t="s">
        <v>5792</v>
      </c>
      <c r="BK93" s="203" t="s">
        <v>5792</v>
      </c>
      <c r="BL93" s="203" t="s">
        <v>5792</v>
      </c>
      <c r="BM93" s="203" t="s">
        <v>5792</v>
      </c>
      <c r="BN93" s="203" t="s">
        <v>5792</v>
      </c>
      <c r="BO93" s="203" t="s">
        <v>5792</v>
      </c>
      <c r="BP93" s="202" t="s">
        <v>5792</v>
      </c>
      <c r="BQ93" s="203" t="s">
        <v>5792</v>
      </c>
      <c r="BR93" s="203" t="s">
        <v>5792</v>
      </c>
      <c r="BS93" s="203" t="s">
        <v>5792</v>
      </c>
      <c r="BT93" s="203" t="s">
        <v>5792</v>
      </c>
      <c r="BU93" s="203" t="s">
        <v>5792</v>
      </c>
      <c r="BV93" s="218" t="s">
        <v>5792</v>
      </c>
      <c r="BW93" s="203" t="s">
        <v>5792</v>
      </c>
      <c r="BX93" s="203" t="s">
        <v>5792</v>
      </c>
      <c r="BY93" s="203" t="s">
        <v>5792</v>
      </c>
      <c r="BZ93" s="203" t="s">
        <v>5792</v>
      </c>
      <c r="CA93" s="203" t="s">
        <v>5792</v>
      </c>
      <c r="CB93" s="218" t="s">
        <v>5792</v>
      </c>
      <c r="CC93" s="203" t="s">
        <v>5792</v>
      </c>
      <c r="CD93" s="203" t="s">
        <v>5792</v>
      </c>
      <c r="CE93" s="203" t="s">
        <v>5792</v>
      </c>
      <c r="CF93" s="203" t="s">
        <v>5792</v>
      </c>
      <c r="CG93" s="203" t="s">
        <v>5792</v>
      </c>
      <c r="CH93" s="209" t="s">
        <v>5792</v>
      </c>
      <c r="CI93" s="306" t="s">
        <v>4536</v>
      </c>
      <c r="CJ93" s="163">
        <v>345</v>
      </c>
      <c r="CK93" s="32">
        <v>420</v>
      </c>
      <c r="CL93" s="60">
        <v>450</v>
      </c>
      <c r="CM93" s="32">
        <v>630</v>
      </c>
      <c r="CN93" s="67">
        <v>200000</v>
      </c>
      <c r="CO93" s="163" t="s">
        <v>4536</v>
      </c>
      <c r="CP93" s="60">
        <v>345</v>
      </c>
      <c r="CQ93" s="60">
        <v>397</v>
      </c>
      <c r="CR93" s="60">
        <v>450</v>
      </c>
      <c r="CS93" s="32">
        <v>630</v>
      </c>
      <c r="CT93" s="61">
        <v>200000</v>
      </c>
      <c r="CU93" s="207" t="s">
        <v>5792</v>
      </c>
      <c r="CV93" s="208" t="s">
        <v>5792</v>
      </c>
      <c r="CW93" s="208" t="s">
        <v>5792</v>
      </c>
      <c r="CX93" s="209" t="s">
        <v>5792</v>
      </c>
      <c r="CY93" s="207" t="s">
        <v>5792</v>
      </c>
      <c r="CZ93" s="208" t="s">
        <v>5792</v>
      </c>
      <c r="DA93" s="209" t="s">
        <v>5792</v>
      </c>
      <c r="DB93" s="283" t="s">
        <v>5792</v>
      </c>
      <c r="DC93" s="163" t="s">
        <v>4422</v>
      </c>
      <c r="DD93" s="163">
        <v>640</v>
      </c>
      <c r="DE93" s="32">
        <v>730</v>
      </c>
      <c r="DF93" s="163">
        <v>800</v>
      </c>
      <c r="DG93" s="32">
        <v>940</v>
      </c>
      <c r="DH93" s="61">
        <v>200000</v>
      </c>
      <c r="DI93" s="153" t="s">
        <v>5836</v>
      </c>
      <c r="DJ93" s="163" t="s">
        <v>4435</v>
      </c>
      <c r="DK93" s="297" t="s">
        <v>4566</v>
      </c>
    </row>
    <row r="94" spans="1:115">
      <c r="A94" s="18">
        <v>89</v>
      </c>
      <c r="B94" s="326"/>
      <c r="C94" s="326"/>
      <c r="D94" s="346"/>
      <c r="E94" s="334"/>
      <c r="F94" s="326"/>
      <c r="G94" s="329"/>
      <c r="H94" s="326"/>
      <c r="I94" s="326"/>
      <c r="J94" s="41" t="s">
        <v>4525</v>
      </c>
      <c r="K94" s="306" t="s">
        <v>4383</v>
      </c>
      <c r="L94" s="163" t="s">
        <v>5792</v>
      </c>
      <c r="M94" s="306" t="s">
        <v>4552</v>
      </c>
      <c r="N94" s="163" t="s">
        <v>4707</v>
      </c>
      <c r="O94" s="18" t="s">
        <v>4507</v>
      </c>
      <c r="P94" s="163" t="s">
        <v>4420</v>
      </c>
      <c r="Q94" s="163" t="s">
        <v>4420</v>
      </c>
      <c r="R94" s="163" t="s">
        <v>4420</v>
      </c>
      <c r="S94" s="163" t="s">
        <v>5792</v>
      </c>
      <c r="T94" s="163" t="s">
        <v>4420</v>
      </c>
      <c r="U94" s="163" t="s">
        <v>5792</v>
      </c>
      <c r="V94" s="163" t="s">
        <v>4559</v>
      </c>
      <c r="W94" s="18">
        <v>6</v>
      </c>
      <c r="X94" s="231">
        <v>0</v>
      </c>
      <c r="Y94" s="142" t="s">
        <v>5792</v>
      </c>
      <c r="Z94" s="202" t="s">
        <v>5792</v>
      </c>
      <c r="AA94" s="203" t="s">
        <v>5792</v>
      </c>
      <c r="AB94" s="203" t="s">
        <v>5792</v>
      </c>
      <c r="AC94" s="203" t="s">
        <v>5792</v>
      </c>
      <c r="AD94" s="203" t="s">
        <v>5792</v>
      </c>
      <c r="AE94" s="203" t="s">
        <v>5792</v>
      </c>
      <c r="AF94" s="306" t="s">
        <v>4811</v>
      </c>
      <c r="AG94" s="21">
        <f>24*25.4</f>
        <v>609.59999999999991</v>
      </c>
      <c r="AH94" s="21">
        <f t="shared" si="23"/>
        <v>152.39999999999998</v>
      </c>
      <c r="AI94" s="21">
        <f t="shared" si="24"/>
        <v>6.35</v>
      </c>
      <c r="AJ94" s="21">
        <f t="shared" si="24"/>
        <v>6.35</v>
      </c>
      <c r="AK94" s="21">
        <f>288*25.4/2</f>
        <v>3657.6</v>
      </c>
      <c r="AL94" s="21">
        <f t="shared" si="18"/>
        <v>288629395.25349665</v>
      </c>
      <c r="AM94" s="18">
        <v>1149399</v>
      </c>
      <c r="AN94" s="21">
        <f>0.502*25.4</f>
        <v>12.7508</v>
      </c>
      <c r="AO94" s="21">
        <f t="shared" si="19"/>
        <v>152.39999999999998</v>
      </c>
      <c r="AP94" s="21">
        <f t="shared" si="20"/>
        <v>609.59999999999991</v>
      </c>
      <c r="AQ94" s="163">
        <v>0</v>
      </c>
      <c r="AR94" s="163">
        <v>0</v>
      </c>
      <c r="AS94" s="306" t="s">
        <v>5807</v>
      </c>
      <c r="AT94" s="163" t="s">
        <v>6134</v>
      </c>
      <c r="AU94" s="163" t="s">
        <v>6134</v>
      </c>
      <c r="AV94" s="21">
        <f>3/4*25.4</f>
        <v>19.049999999999997</v>
      </c>
      <c r="AW94" s="163">
        <v>241</v>
      </c>
      <c r="AX94" s="21">
        <f>1.375*25.4+AI94</f>
        <v>41.274999999999999</v>
      </c>
      <c r="AY94" s="21">
        <f>1.375*25.4+AI94</f>
        <v>41.274999999999999</v>
      </c>
      <c r="AZ94" s="21">
        <v>0</v>
      </c>
      <c r="BA94" s="21">
        <f>2.75*25.4</f>
        <v>69.849999999999994</v>
      </c>
      <c r="BB94" s="21">
        <f t="shared" si="21"/>
        <v>527.04999999999995</v>
      </c>
      <c r="BC94" s="163" t="s">
        <v>4470</v>
      </c>
      <c r="BD94" s="163" t="s">
        <v>6209</v>
      </c>
      <c r="BE94" s="163" t="s">
        <v>6209</v>
      </c>
      <c r="BF94" s="163">
        <v>2</v>
      </c>
      <c r="BG94" s="163">
        <v>4</v>
      </c>
      <c r="BH94" s="202" t="s">
        <v>5792</v>
      </c>
      <c r="BI94" s="203" t="s">
        <v>5792</v>
      </c>
      <c r="BJ94" s="203" t="s">
        <v>5792</v>
      </c>
      <c r="BK94" s="203" t="s">
        <v>5792</v>
      </c>
      <c r="BL94" s="203" t="s">
        <v>5792</v>
      </c>
      <c r="BM94" s="203" t="s">
        <v>5792</v>
      </c>
      <c r="BN94" s="203" t="s">
        <v>5792</v>
      </c>
      <c r="BO94" s="203" t="s">
        <v>5792</v>
      </c>
      <c r="BP94" s="202" t="s">
        <v>5792</v>
      </c>
      <c r="BQ94" s="203" t="s">
        <v>5792</v>
      </c>
      <c r="BR94" s="203" t="s">
        <v>5792</v>
      </c>
      <c r="BS94" s="203" t="s">
        <v>5792</v>
      </c>
      <c r="BT94" s="203" t="s">
        <v>5792</v>
      </c>
      <c r="BU94" s="203" t="s">
        <v>5792</v>
      </c>
      <c r="BV94" s="218" t="s">
        <v>5792</v>
      </c>
      <c r="BW94" s="203" t="s">
        <v>5792</v>
      </c>
      <c r="BX94" s="203" t="s">
        <v>5792</v>
      </c>
      <c r="BY94" s="203" t="s">
        <v>5792</v>
      </c>
      <c r="BZ94" s="203" t="s">
        <v>5792</v>
      </c>
      <c r="CA94" s="203" t="s">
        <v>5792</v>
      </c>
      <c r="CB94" s="218" t="s">
        <v>5792</v>
      </c>
      <c r="CC94" s="203" t="s">
        <v>5792</v>
      </c>
      <c r="CD94" s="203" t="s">
        <v>5792</v>
      </c>
      <c r="CE94" s="203" t="s">
        <v>5792</v>
      </c>
      <c r="CF94" s="203" t="s">
        <v>5792</v>
      </c>
      <c r="CG94" s="203" t="s">
        <v>5792</v>
      </c>
      <c r="CH94" s="209" t="s">
        <v>5792</v>
      </c>
      <c r="CI94" s="306" t="s">
        <v>4536</v>
      </c>
      <c r="CJ94" s="163">
        <v>345</v>
      </c>
      <c r="CK94" s="32">
        <v>420</v>
      </c>
      <c r="CL94" s="60">
        <v>450</v>
      </c>
      <c r="CM94" s="32">
        <v>630</v>
      </c>
      <c r="CN94" s="67">
        <v>200000</v>
      </c>
      <c r="CO94" s="163" t="s">
        <v>4536</v>
      </c>
      <c r="CP94" s="60">
        <v>345</v>
      </c>
      <c r="CQ94" s="60">
        <v>397</v>
      </c>
      <c r="CR94" s="60">
        <v>450</v>
      </c>
      <c r="CS94" s="32">
        <v>630</v>
      </c>
      <c r="CT94" s="61">
        <v>200000</v>
      </c>
      <c r="CU94" s="207" t="s">
        <v>5792</v>
      </c>
      <c r="CV94" s="208" t="s">
        <v>5792</v>
      </c>
      <c r="CW94" s="208" t="s">
        <v>5792</v>
      </c>
      <c r="CX94" s="209" t="s">
        <v>5792</v>
      </c>
      <c r="CY94" s="207" t="s">
        <v>5792</v>
      </c>
      <c r="CZ94" s="208" t="s">
        <v>5792</v>
      </c>
      <c r="DA94" s="209" t="s">
        <v>5792</v>
      </c>
      <c r="DB94" s="283" t="s">
        <v>5792</v>
      </c>
      <c r="DC94" s="163" t="s">
        <v>4422</v>
      </c>
      <c r="DD94" s="163">
        <v>640</v>
      </c>
      <c r="DE94" s="32">
        <v>730</v>
      </c>
      <c r="DF94" s="163">
        <v>800</v>
      </c>
      <c r="DG94" s="32">
        <v>940</v>
      </c>
      <c r="DH94" s="61">
        <v>200000</v>
      </c>
      <c r="DI94" s="153" t="s">
        <v>5836</v>
      </c>
      <c r="DJ94" s="163" t="s">
        <v>4435</v>
      </c>
      <c r="DK94" s="297" t="s">
        <v>4566</v>
      </c>
    </row>
    <row r="95" spans="1:115">
      <c r="A95" s="18">
        <v>90</v>
      </c>
      <c r="B95" s="326"/>
      <c r="C95" s="326"/>
      <c r="D95" s="346"/>
      <c r="E95" s="334"/>
      <c r="F95" s="326"/>
      <c r="G95" s="329"/>
      <c r="H95" s="326"/>
      <c r="I95" s="326"/>
      <c r="J95" s="41" t="s">
        <v>4526</v>
      </c>
      <c r="K95" s="306" t="s">
        <v>4383</v>
      </c>
      <c r="L95" s="163" t="s">
        <v>5792</v>
      </c>
      <c r="M95" s="306" t="s">
        <v>4552</v>
      </c>
      <c r="N95" s="163" t="s">
        <v>4707</v>
      </c>
      <c r="O95" s="18" t="s">
        <v>4507</v>
      </c>
      <c r="P95" s="163" t="s">
        <v>4420</v>
      </c>
      <c r="Q95" s="163" t="s">
        <v>4420</v>
      </c>
      <c r="R95" s="163" t="s">
        <v>4420</v>
      </c>
      <c r="S95" s="163" t="s">
        <v>5792</v>
      </c>
      <c r="T95" s="163" t="s">
        <v>4420</v>
      </c>
      <c r="U95" s="163" t="s">
        <v>5792</v>
      </c>
      <c r="V95" s="163" t="s">
        <v>4559</v>
      </c>
      <c r="W95" s="18">
        <v>6</v>
      </c>
      <c r="X95" s="231">
        <v>0</v>
      </c>
      <c r="Y95" s="142" t="s">
        <v>5792</v>
      </c>
      <c r="Z95" s="202" t="s">
        <v>5792</v>
      </c>
      <c r="AA95" s="203" t="s">
        <v>5792</v>
      </c>
      <c r="AB95" s="203" t="s">
        <v>5792</v>
      </c>
      <c r="AC95" s="203" t="s">
        <v>5792</v>
      </c>
      <c r="AD95" s="203" t="s">
        <v>5792</v>
      </c>
      <c r="AE95" s="203" t="s">
        <v>5792</v>
      </c>
      <c r="AF95" s="306" t="s">
        <v>4810</v>
      </c>
      <c r="AG95" s="21">
        <f t="shared" si="22"/>
        <v>406.4</v>
      </c>
      <c r="AH95" s="21">
        <f t="shared" si="23"/>
        <v>152.39999999999998</v>
      </c>
      <c r="AI95" s="21">
        <f t="shared" si="24"/>
        <v>6.35</v>
      </c>
      <c r="AJ95" s="21">
        <f t="shared" si="24"/>
        <v>6.35</v>
      </c>
      <c r="AK95" s="21">
        <f>286*25.4/2</f>
        <v>3632.2</v>
      </c>
      <c r="AL95" s="21">
        <f t="shared" si="18"/>
        <v>109736597.1258291</v>
      </c>
      <c r="AM95" s="18">
        <v>638018</v>
      </c>
      <c r="AN95" s="21">
        <f>0.489*25.4</f>
        <v>12.420599999999999</v>
      </c>
      <c r="AO95" s="21">
        <f t="shared" si="19"/>
        <v>152.39999999999998</v>
      </c>
      <c r="AP95" s="21">
        <f t="shared" si="20"/>
        <v>406.4</v>
      </c>
      <c r="AQ95" s="163">
        <v>0</v>
      </c>
      <c r="AR95" s="163">
        <v>0</v>
      </c>
      <c r="AS95" s="306" t="s">
        <v>5807</v>
      </c>
      <c r="AT95" s="163" t="s">
        <v>6134</v>
      </c>
      <c r="AU95" s="163" t="s">
        <v>6134</v>
      </c>
      <c r="AV95" s="21">
        <f>5/8*25.4</f>
        <v>15.875</v>
      </c>
      <c r="AW95" s="163">
        <v>165</v>
      </c>
      <c r="AX95" s="21">
        <f>1.875*25.4+AI95</f>
        <v>53.975000000000001</v>
      </c>
      <c r="AY95" s="21">
        <f>1.875*25.4+AI95</f>
        <v>53.975000000000001</v>
      </c>
      <c r="AZ95" s="33">
        <f>2.5*25.4</f>
        <v>63.5</v>
      </c>
      <c r="BA95" s="21">
        <f>3.75*25.4</f>
        <v>95.25</v>
      </c>
      <c r="BB95" s="21">
        <f t="shared" si="21"/>
        <v>234.94999999999993</v>
      </c>
      <c r="BC95" s="163" t="s">
        <v>4420</v>
      </c>
      <c r="BD95" s="163" t="s">
        <v>4465</v>
      </c>
      <c r="BE95" s="163" t="s">
        <v>6209</v>
      </c>
      <c r="BF95" s="163">
        <v>4</v>
      </c>
      <c r="BG95" s="163">
        <v>6</v>
      </c>
      <c r="BH95" s="202" t="s">
        <v>5792</v>
      </c>
      <c r="BI95" s="203" t="s">
        <v>5792</v>
      </c>
      <c r="BJ95" s="203" t="s">
        <v>5792</v>
      </c>
      <c r="BK95" s="203" t="s">
        <v>5792</v>
      </c>
      <c r="BL95" s="203" t="s">
        <v>5792</v>
      </c>
      <c r="BM95" s="203" t="s">
        <v>5792</v>
      </c>
      <c r="BN95" s="203" t="s">
        <v>5792</v>
      </c>
      <c r="BO95" s="203" t="s">
        <v>5792</v>
      </c>
      <c r="BP95" s="202" t="s">
        <v>5792</v>
      </c>
      <c r="BQ95" s="203" t="s">
        <v>5792</v>
      </c>
      <c r="BR95" s="203" t="s">
        <v>5792</v>
      </c>
      <c r="BS95" s="203" t="s">
        <v>5792</v>
      </c>
      <c r="BT95" s="203" t="s">
        <v>5792</v>
      </c>
      <c r="BU95" s="203" t="s">
        <v>5792</v>
      </c>
      <c r="BV95" s="218" t="s">
        <v>5792</v>
      </c>
      <c r="BW95" s="203" t="s">
        <v>5792</v>
      </c>
      <c r="BX95" s="203" t="s">
        <v>5792</v>
      </c>
      <c r="BY95" s="203" t="s">
        <v>5792</v>
      </c>
      <c r="BZ95" s="203" t="s">
        <v>5792</v>
      </c>
      <c r="CA95" s="203" t="s">
        <v>5792</v>
      </c>
      <c r="CB95" s="218" t="s">
        <v>5792</v>
      </c>
      <c r="CC95" s="203" t="s">
        <v>5792</v>
      </c>
      <c r="CD95" s="203" t="s">
        <v>5792</v>
      </c>
      <c r="CE95" s="203" t="s">
        <v>5792</v>
      </c>
      <c r="CF95" s="203" t="s">
        <v>5792</v>
      </c>
      <c r="CG95" s="203" t="s">
        <v>5792</v>
      </c>
      <c r="CH95" s="209" t="s">
        <v>5792</v>
      </c>
      <c r="CI95" s="306" t="s">
        <v>4536</v>
      </c>
      <c r="CJ95" s="163">
        <v>345</v>
      </c>
      <c r="CK95" s="32">
        <v>420</v>
      </c>
      <c r="CL95" s="60">
        <v>450</v>
      </c>
      <c r="CM95" s="32">
        <v>630</v>
      </c>
      <c r="CN95" s="67">
        <v>200000</v>
      </c>
      <c r="CO95" s="163" t="s">
        <v>4536</v>
      </c>
      <c r="CP95" s="60">
        <v>345</v>
      </c>
      <c r="CQ95" s="32">
        <v>420</v>
      </c>
      <c r="CR95" s="60">
        <v>450</v>
      </c>
      <c r="CS95" s="32">
        <v>630</v>
      </c>
      <c r="CT95" s="61">
        <v>200000</v>
      </c>
      <c r="CU95" s="207" t="s">
        <v>5792</v>
      </c>
      <c r="CV95" s="208" t="s">
        <v>5792</v>
      </c>
      <c r="CW95" s="208" t="s">
        <v>5792</v>
      </c>
      <c r="CX95" s="209" t="s">
        <v>5792</v>
      </c>
      <c r="CY95" s="207" t="s">
        <v>5792</v>
      </c>
      <c r="CZ95" s="208" t="s">
        <v>5792</v>
      </c>
      <c r="DA95" s="209" t="s">
        <v>5792</v>
      </c>
      <c r="DB95" s="283" t="s">
        <v>5792</v>
      </c>
      <c r="DC95" s="163" t="s">
        <v>4422</v>
      </c>
      <c r="DD95" s="163">
        <v>640</v>
      </c>
      <c r="DE95" s="32">
        <v>730</v>
      </c>
      <c r="DF95" s="163">
        <v>800</v>
      </c>
      <c r="DG95" s="32">
        <v>940</v>
      </c>
      <c r="DH95" s="61">
        <v>200000</v>
      </c>
      <c r="DI95" s="153" t="s">
        <v>5836</v>
      </c>
      <c r="DJ95" s="163" t="s">
        <v>4435</v>
      </c>
      <c r="DK95" s="297" t="s">
        <v>4566</v>
      </c>
    </row>
    <row r="96" spans="1:115">
      <c r="A96" s="18">
        <v>91</v>
      </c>
      <c r="B96" s="326"/>
      <c r="C96" s="326"/>
      <c r="D96" s="346"/>
      <c r="E96" s="334"/>
      <c r="F96" s="326"/>
      <c r="G96" s="329"/>
      <c r="H96" s="326"/>
      <c r="I96" s="326"/>
      <c r="J96" s="41" t="s">
        <v>4527</v>
      </c>
      <c r="K96" s="306" t="s">
        <v>4383</v>
      </c>
      <c r="L96" s="163" t="s">
        <v>5792</v>
      </c>
      <c r="M96" s="306" t="s">
        <v>4552</v>
      </c>
      <c r="N96" s="163" t="s">
        <v>4707</v>
      </c>
      <c r="O96" s="18" t="s">
        <v>4507</v>
      </c>
      <c r="P96" s="163" t="s">
        <v>4420</v>
      </c>
      <c r="Q96" s="163" t="s">
        <v>4420</v>
      </c>
      <c r="R96" s="163" t="s">
        <v>4420</v>
      </c>
      <c r="S96" s="163" t="s">
        <v>5792</v>
      </c>
      <c r="T96" s="163" t="s">
        <v>4420</v>
      </c>
      <c r="U96" s="163" t="s">
        <v>5792</v>
      </c>
      <c r="V96" s="163" t="s">
        <v>4559</v>
      </c>
      <c r="W96" s="18">
        <v>6</v>
      </c>
      <c r="X96" s="231">
        <v>0</v>
      </c>
      <c r="Y96" s="142" t="s">
        <v>5792</v>
      </c>
      <c r="Z96" s="202" t="s">
        <v>5792</v>
      </c>
      <c r="AA96" s="203" t="s">
        <v>5792</v>
      </c>
      <c r="AB96" s="203" t="s">
        <v>5792</v>
      </c>
      <c r="AC96" s="203" t="s">
        <v>5792</v>
      </c>
      <c r="AD96" s="203" t="s">
        <v>5792</v>
      </c>
      <c r="AE96" s="203" t="s">
        <v>5792</v>
      </c>
      <c r="AF96" s="306" t="s">
        <v>4810</v>
      </c>
      <c r="AG96" s="21">
        <f t="shared" si="22"/>
        <v>406.4</v>
      </c>
      <c r="AH96" s="21">
        <f t="shared" si="23"/>
        <v>152.39999999999998</v>
      </c>
      <c r="AI96" s="21">
        <f t="shared" si="24"/>
        <v>6.35</v>
      </c>
      <c r="AJ96" s="21">
        <f t="shared" si="24"/>
        <v>6.35</v>
      </c>
      <c r="AK96" s="21">
        <f>286*25.4/2</f>
        <v>3632.2</v>
      </c>
      <c r="AL96" s="21">
        <f t="shared" si="18"/>
        <v>109736597.1258291</v>
      </c>
      <c r="AM96" s="18">
        <v>638018</v>
      </c>
      <c r="AN96" s="21">
        <f>0.372*25.4</f>
        <v>9.4487999999999985</v>
      </c>
      <c r="AO96" s="21">
        <f t="shared" si="19"/>
        <v>152.39999999999998</v>
      </c>
      <c r="AP96" s="21">
        <f t="shared" si="20"/>
        <v>406.4</v>
      </c>
      <c r="AQ96" s="163">
        <v>0</v>
      </c>
      <c r="AR96" s="163">
        <v>0</v>
      </c>
      <c r="AS96" s="306" t="s">
        <v>5807</v>
      </c>
      <c r="AT96" s="163" t="s">
        <v>6134</v>
      </c>
      <c r="AU96" s="163" t="s">
        <v>6134</v>
      </c>
      <c r="AV96" s="21">
        <f>5/8*25.4</f>
        <v>15.875</v>
      </c>
      <c r="AW96" s="163">
        <v>165</v>
      </c>
      <c r="AX96" s="21">
        <f>1.375*25.4+AI96</f>
        <v>41.274999999999999</v>
      </c>
      <c r="AY96" s="21">
        <f>1.375*25.4+AI96</f>
        <v>41.274999999999999</v>
      </c>
      <c r="AZ96" s="33">
        <f t="shared" ref="AZ96:AZ108" si="25">2.5*25.4</f>
        <v>63.5</v>
      </c>
      <c r="BA96" s="21">
        <f>2.75*25.4</f>
        <v>69.849999999999994</v>
      </c>
      <c r="BB96" s="21">
        <f t="shared" si="21"/>
        <v>260.35000000000002</v>
      </c>
      <c r="BC96" s="163" t="s">
        <v>4420</v>
      </c>
      <c r="BD96" s="163" t="s">
        <v>4465</v>
      </c>
      <c r="BE96" s="163" t="s">
        <v>6209</v>
      </c>
      <c r="BF96" s="163">
        <v>4</v>
      </c>
      <c r="BG96" s="163">
        <v>6</v>
      </c>
      <c r="BH96" s="202" t="s">
        <v>5792</v>
      </c>
      <c r="BI96" s="203" t="s">
        <v>5792</v>
      </c>
      <c r="BJ96" s="203" t="s">
        <v>5792</v>
      </c>
      <c r="BK96" s="203" t="s">
        <v>5792</v>
      </c>
      <c r="BL96" s="203" t="s">
        <v>5792</v>
      </c>
      <c r="BM96" s="203" t="s">
        <v>5792</v>
      </c>
      <c r="BN96" s="203" t="s">
        <v>5792</v>
      </c>
      <c r="BO96" s="203" t="s">
        <v>5792</v>
      </c>
      <c r="BP96" s="202" t="s">
        <v>5792</v>
      </c>
      <c r="BQ96" s="203" t="s">
        <v>5792</v>
      </c>
      <c r="BR96" s="203" t="s">
        <v>5792</v>
      </c>
      <c r="BS96" s="203" t="s">
        <v>5792</v>
      </c>
      <c r="BT96" s="203" t="s">
        <v>5792</v>
      </c>
      <c r="BU96" s="203" t="s">
        <v>5792</v>
      </c>
      <c r="BV96" s="218" t="s">
        <v>5792</v>
      </c>
      <c r="BW96" s="203" t="s">
        <v>5792</v>
      </c>
      <c r="BX96" s="203" t="s">
        <v>5792</v>
      </c>
      <c r="BY96" s="203" t="s">
        <v>5792</v>
      </c>
      <c r="BZ96" s="203" t="s">
        <v>5792</v>
      </c>
      <c r="CA96" s="203" t="s">
        <v>5792</v>
      </c>
      <c r="CB96" s="218" t="s">
        <v>5792</v>
      </c>
      <c r="CC96" s="203" t="s">
        <v>5792</v>
      </c>
      <c r="CD96" s="203" t="s">
        <v>5792</v>
      </c>
      <c r="CE96" s="203" t="s">
        <v>5792</v>
      </c>
      <c r="CF96" s="203" t="s">
        <v>5792</v>
      </c>
      <c r="CG96" s="203" t="s">
        <v>5792</v>
      </c>
      <c r="CH96" s="209" t="s">
        <v>5792</v>
      </c>
      <c r="CI96" s="306" t="s">
        <v>4536</v>
      </c>
      <c r="CJ96" s="163">
        <v>345</v>
      </c>
      <c r="CK96" s="32">
        <v>420</v>
      </c>
      <c r="CL96" s="60">
        <v>450</v>
      </c>
      <c r="CM96" s="32">
        <v>630</v>
      </c>
      <c r="CN96" s="67">
        <v>200000</v>
      </c>
      <c r="CO96" s="163" t="s">
        <v>4536</v>
      </c>
      <c r="CP96" s="60">
        <v>345</v>
      </c>
      <c r="CQ96" s="32">
        <v>420</v>
      </c>
      <c r="CR96" s="60">
        <v>450</v>
      </c>
      <c r="CS96" s="32">
        <v>630</v>
      </c>
      <c r="CT96" s="61">
        <v>200000</v>
      </c>
      <c r="CU96" s="207" t="s">
        <v>5792</v>
      </c>
      <c r="CV96" s="208" t="s">
        <v>5792</v>
      </c>
      <c r="CW96" s="208" t="s">
        <v>5792</v>
      </c>
      <c r="CX96" s="209" t="s">
        <v>5792</v>
      </c>
      <c r="CY96" s="207" t="s">
        <v>5792</v>
      </c>
      <c r="CZ96" s="208" t="s">
        <v>5792</v>
      </c>
      <c r="DA96" s="209" t="s">
        <v>5792</v>
      </c>
      <c r="DB96" s="283" t="s">
        <v>5792</v>
      </c>
      <c r="DC96" s="163" t="s">
        <v>4422</v>
      </c>
      <c r="DD96" s="163">
        <v>640</v>
      </c>
      <c r="DE96" s="32">
        <v>730</v>
      </c>
      <c r="DF96" s="163">
        <v>800</v>
      </c>
      <c r="DG96" s="32">
        <v>940</v>
      </c>
      <c r="DH96" s="61">
        <v>200000</v>
      </c>
      <c r="DI96" s="153" t="s">
        <v>5836</v>
      </c>
      <c r="DJ96" s="163" t="s">
        <v>4435</v>
      </c>
      <c r="DK96" s="297" t="s">
        <v>4566</v>
      </c>
    </row>
    <row r="97" spans="1:115">
      <c r="A97" s="18">
        <v>92</v>
      </c>
      <c r="B97" s="326"/>
      <c r="C97" s="326"/>
      <c r="D97" s="346"/>
      <c r="E97" s="334"/>
      <c r="F97" s="326"/>
      <c r="G97" s="329"/>
      <c r="H97" s="326"/>
      <c r="I97" s="326"/>
      <c r="J97" s="41" t="s">
        <v>4531</v>
      </c>
      <c r="K97" s="306" t="s">
        <v>4383</v>
      </c>
      <c r="L97" s="163" t="s">
        <v>5792</v>
      </c>
      <c r="M97" s="306" t="s">
        <v>4552</v>
      </c>
      <c r="N97" s="163" t="s">
        <v>4707</v>
      </c>
      <c r="O97" s="18" t="s">
        <v>4507</v>
      </c>
      <c r="P97" s="163" t="s">
        <v>4420</v>
      </c>
      <c r="Q97" s="163" t="s">
        <v>4420</v>
      </c>
      <c r="R97" s="163" t="s">
        <v>4420</v>
      </c>
      <c r="S97" s="163" t="s">
        <v>5792</v>
      </c>
      <c r="T97" s="163" t="s">
        <v>4420</v>
      </c>
      <c r="U97" s="163" t="s">
        <v>5792</v>
      </c>
      <c r="V97" s="163" t="s">
        <v>4559</v>
      </c>
      <c r="W97" s="18">
        <v>6</v>
      </c>
      <c r="X97" s="231">
        <v>0</v>
      </c>
      <c r="Y97" s="142" t="s">
        <v>5792</v>
      </c>
      <c r="Z97" s="202" t="s">
        <v>5792</v>
      </c>
      <c r="AA97" s="203" t="s">
        <v>5792</v>
      </c>
      <c r="AB97" s="203" t="s">
        <v>5792</v>
      </c>
      <c r="AC97" s="203" t="s">
        <v>5792</v>
      </c>
      <c r="AD97" s="203" t="s">
        <v>5792</v>
      </c>
      <c r="AE97" s="203" t="s">
        <v>5792</v>
      </c>
      <c r="AF97" s="306" t="s">
        <v>4811</v>
      </c>
      <c r="AG97" s="21">
        <f>24*25.4</f>
        <v>609.59999999999991</v>
      </c>
      <c r="AH97" s="21">
        <f t="shared" si="23"/>
        <v>152.39999999999998</v>
      </c>
      <c r="AI97" s="21">
        <f t="shared" si="24"/>
        <v>6.35</v>
      </c>
      <c r="AJ97" s="21">
        <f t="shared" si="24"/>
        <v>6.35</v>
      </c>
      <c r="AK97" s="21">
        <f>290*25.4/2</f>
        <v>3683</v>
      </c>
      <c r="AL97" s="21">
        <f t="shared" si="18"/>
        <v>288629395.25349665</v>
      </c>
      <c r="AM97" s="18">
        <v>1149399</v>
      </c>
      <c r="AN97" s="21">
        <f>0.486*25.4</f>
        <v>12.344399999999998</v>
      </c>
      <c r="AO97" s="21">
        <f t="shared" si="19"/>
        <v>152.39999999999998</v>
      </c>
      <c r="AP97" s="21">
        <f t="shared" si="20"/>
        <v>609.59999999999991</v>
      </c>
      <c r="AQ97" s="163">
        <v>0</v>
      </c>
      <c r="AR97" s="163">
        <v>0</v>
      </c>
      <c r="AS97" s="306" t="s">
        <v>5807</v>
      </c>
      <c r="AT97" s="163" t="s">
        <v>6134</v>
      </c>
      <c r="AU97" s="163" t="s">
        <v>6134</v>
      </c>
      <c r="AV97" s="21">
        <f>3/4*25.4</f>
        <v>19.049999999999997</v>
      </c>
      <c r="AW97" s="163">
        <v>241</v>
      </c>
      <c r="AX97" s="21">
        <f>1.75*25.4+AI97</f>
        <v>50.8</v>
      </c>
      <c r="AY97" s="21">
        <f>1.75*25.4+AI97</f>
        <v>50.8</v>
      </c>
      <c r="AZ97" s="33">
        <f t="shared" si="25"/>
        <v>63.5</v>
      </c>
      <c r="BA97" s="21">
        <f>3.25*25.4</f>
        <v>82.55</v>
      </c>
      <c r="BB97" s="21">
        <f t="shared" si="21"/>
        <v>444.49999999999994</v>
      </c>
      <c r="BC97" s="163" t="s">
        <v>4420</v>
      </c>
      <c r="BD97" s="163" t="s">
        <v>4465</v>
      </c>
      <c r="BE97" s="163" t="s">
        <v>6209</v>
      </c>
      <c r="BF97" s="163">
        <v>4</v>
      </c>
      <c r="BG97" s="163">
        <v>6</v>
      </c>
      <c r="BH97" s="202" t="s">
        <v>5792</v>
      </c>
      <c r="BI97" s="203" t="s">
        <v>5792</v>
      </c>
      <c r="BJ97" s="203" t="s">
        <v>5792</v>
      </c>
      <c r="BK97" s="203" t="s">
        <v>5792</v>
      </c>
      <c r="BL97" s="203" t="s">
        <v>5792</v>
      </c>
      <c r="BM97" s="203" t="s">
        <v>5792</v>
      </c>
      <c r="BN97" s="203" t="s">
        <v>5792</v>
      </c>
      <c r="BO97" s="203" t="s">
        <v>5792</v>
      </c>
      <c r="BP97" s="202" t="s">
        <v>5792</v>
      </c>
      <c r="BQ97" s="203" t="s">
        <v>5792</v>
      </c>
      <c r="BR97" s="203" t="s">
        <v>5792</v>
      </c>
      <c r="BS97" s="203" t="s">
        <v>5792</v>
      </c>
      <c r="BT97" s="203" t="s">
        <v>5792</v>
      </c>
      <c r="BU97" s="203" t="s">
        <v>5792</v>
      </c>
      <c r="BV97" s="218" t="s">
        <v>5792</v>
      </c>
      <c r="BW97" s="203" t="s">
        <v>5792</v>
      </c>
      <c r="BX97" s="203" t="s">
        <v>5792</v>
      </c>
      <c r="BY97" s="203" t="s">
        <v>5792</v>
      </c>
      <c r="BZ97" s="203" t="s">
        <v>5792</v>
      </c>
      <c r="CA97" s="203" t="s">
        <v>5792</v>
      </c>
      <c r="CB97" s="218" t="s">
        <v>5792</v>
      </c>
      <c r="CC97" s="203" t="s">
        <v>5792</v>
      </c>
      <c r="CD97" s="203" t="s">
        <v>5792</v>
      </c>
      <c r="CE97" s="203" t="s">
        <v>5792</v>
      </c>
      <c r="CF97" s="203" t="s">
        <v>5792</v>
      </c>
      <c r="CG97" s="203" t="s">
        <v>5792</v>
      </c>
      <c r="CH97" s="209" t="s">
        <v>5792</v>
      </c>
      <c r="CI97" s="306" t="s">
        <v>4536</v>
      </c>
      <c r="CJ97" s="163">
        <v>345</v>
      </c>
      <c r="CK97" s="32">
        <v>420</v>
      </c>
      <c r="CL97" s="60">
        <v>450</v>
      </c>
      <c r="CM97" s="32">
        <v>630</v>
      </c>
      <c r="CN97" s="67">
        <v>200000</v>
      </c>
      <c r="CO97" s="163" t="s">
        <v>4536</v>
      </c>
      <c r="CP97" s="60">
        <v>345</v>
      </c>
      <c r="CQ97" s="32">
        <v>420</v>
      </c>
      <c r="CR97" s="60">
        <v>450</v>
      </c>
      <c r="CS97" s="32">
        <v>630</v>
      </c>
      <c r="CT97" s="61">
        <v>200000</v>
      </c>
      <c r="CU97" s="207" t="s">
        <v>5792</v>
      </c>
      <c r="CV97" s="208" t="s">
        <v>5792</v>
      </c>
      <c r="CW97" s="208" t="s">
        <v>5792</v>
      </c>
      <c r="CX97" s="209" t="s">
        <v>5792</v>
      </c>
      <c r="CY97" s="207" t="s">
        <v>5792</v>
      </c>
      <c r="CZ97" s="208" t="s">
        <v>5792</v>
      </c>
      <c r="DA97" s="209" t="s">
        <v>5792</v>
      </c>
      <c r="DB97" s="283" t="s">
        <v>5792</v>
      </c>
      <c r="DC97" s="163" t="s">
        <v>4422</v>
      </c>
      <c r="DD97" s="163">
        <v>640</v>
      </c>
      <c r="DE97" s="32">
        <v>730</v>
      </c>
      <c r="DF97" s="163">
        <v>800</v>
      </c>
      <c r="DG97" s="32">
        <v>940</v>
      </c>
      <c r="DH97" s="61">
        <v>200000</v>
      </c>
      <c r="DI97" s="153" t="s">
        <v>5836</v>
      </c>
      <c r="DJ97" s="163" t="s">
        <v>4435</v>
      </c>
      <c r="DK97" s="297" t="s">
        <v>4566</v>
      </c>
    </row>
    <row r="98" spans="1:115">
      <c r="A98" s="18">
        <v>93</v>
      </c>
      <c r="B98" s="326"/>
      <c r="C98" s="326"/>
      <c r="D98" s="346"/>
      <c r="E98" s="334"/>
      <c r="F98" s="326"/>
      <c r="G98" s="329"/>
      <c r="H98" s="326"/>
      <c r="I98" s="326"/>
      <c r="J98" s="41" t="s">
        <v>4528</v>
      </c>
      <c r="K98" s="306" t="s">
        <v>4383</v>
      </c>
      <c r="L98" s="163" t="s">
        <v>5792</v>
      </c>
      <c r="M98" s="306" t="s">
        <v>4552</v>
      </c>
      <c r="N98" s="163" t="s">
        <v>4707</v>
      </c>
      <c r="O98" s="18" t="s">
        <v>4507</v>
      </c>
      <c r="P98" s="163" t="s">
        <v>4420</v>
      </c>
      <c r="Q98" s="163" t="s">
        <v>4420</v>
      </c>
      <c r="R98" s="163" t="s">
        <v>4420</v>
      </c>
      <c r="S98" s="163" t="s">
        <v>5792</v>
      </c>
      <c r="T98" s="163" t="s">
        <v>4420</v>
      </c>
      <c r="U98" s="163" t="s">
        <v>5792</v>
      </c>
      <c r="V98" s="163" t="s">
        <v>4559</v>
      </c>
      <c r="W98" s="18">
        <v>6</v>
      </c>
      <c r="X98" s="231">
        <v>0</v>
      </c>
      <c r="Y98" s="142" t="s">
        <v>5792</v>
      </c>
      <c r="Z98" s="202" t="s">
        <v>5792</v>
      </c>
      <c r="AA98" s="203" t="s">
        <v>5792</v>
      </c>
      <c r="AB98" s="203" t="s">
        <v>5792</v>
      </c>
      <c r="AC98" s="203" t="s">
        <v>5792</v>
      </c>
      <c r="AD98" s="203" t="s">
        <v>5792</v>
      </c>
      <c r="AE98" s="203" t="s">
        <v>5792</v>
      </c>
      <c r="AF98" s="306" t="s">
        <v>4811</v>
      </c>
      <c r="AG98" s="21">
        <f>24*25.4</f>
        <v>609.59999999999991</v>
      </c>
      <c r="AH98" s="21">
        <f t="shared" si="23"/>
        <v>152.39999999999998</v>
      </c>
      <c r="AI98" s="21">
        <f t="shared" si="24"/>
        <v>6.35</v>
      </c>
      <c r="AJ98" s="21">
        <f t="shared" si="24"/>
        <v>6.35</v>
      </c>
      <c r="AK98" s="21">
        <f>290*25.4/2</f>
        <v>3683</v>
      </c>
      <c r="AL98" s="21">
        <f t="shared" si="18"/>
        <v>288629395.25349665</v>
      </c>
      <c r="AM98" s="18">
        <v>1149399</v>
      </c>
      <c r="AN98" s="21">
        <f>0.363*25.4</f>
        <v>9.2201999999999984</v>
      </c>
      <c r="AO98" s="21">
        <f t="shared" si="19"/>
        <v>152.39999999999998</v>
      </c>
      <c r="AP98" s="21">
        <f t="shared" si="20"/>
        <v>609.59999999999991</v>
      </c>
      <c r="AQ98" s="163">
        <v>0</v>
      </c>
      <c r="AR98" s="163">
        <v>0</v>
      </c>
      <c r="AS98" s="306" t="s">
        <v>5807</v>
      </c>
      <c r="AT98" s="163" t="s">
        <v>6134</v>
      </c>
      <c r="AU98" s="163" t="s">
        <v>6134</v>
      </c>
      <c r="AV98" s="21">
        <f t="shared" ref="AV98:AV108" si="26">3/4*25.4</f>
        <v>19.049999999999997</v>
      </c>
      <c r="AW98" s="163">
        <v>241</v>
      </c>
      <c r="AX98" s="21">
        <f>1.375*25.4+AI98</f>
        <v>41.274999999999999</v>
      </c>
      <c r="AY98" s="21">
        <f>1.375*25.4+AI98</f>
        <v>41.274999999999999</v>
      </c>
      <c r="AZ98" s="33">
        <f t="shared" si="25"/>
        <v>63.5</v>
      </c>
      <c r="BA98" s="21">
        <f>2.75*25.4</f>
        <v>69.849999999999994</v>
      </c>
      <c r="BB98" s="21">
        <f t="shared" si="21"/>
        <v>463.54999999999995</v>
      </c>
      <c r="BC98" s="163" t="s">
        <v>4420</v>
      </c>
      <c r="BD98" s="163" t="s">
        <v>4465</v>
      </c>
      <c r="BE98" s="163" t="s">
        <v>6209</v>
      </c>
      <c r="BF98" s="163">
        <v>4</v>
      </c>
      <c r="BG98" s="163">
        <v>6</v>
      </c>
      <c r="BH98" s="202" t="s">
        <v>5792</v>
      </c>
      <c r="BI98" s="203" t="s">
        <v>5792</v>
      </c>
      <c r="BJ98" s="203" t="s">
        <v>5792</v>
      </c>
      <c r="BK98" s="203" t="s">
        <v>5792</v>
      </c>
      <c r="BL98" s="203" t="s">
        <v>5792</v>
      </c>
      <c r="BM98" s="203" t="s">
        <v>5792</v>
      </c>
      <c r="BN98" s="203" t="s">
        <v>5792</v>
      </c>
      <c r="BO98" s="203" t="s">
        <v>5792</v>
      </c>
      <c r="BP98" s="202" t="s">
        <v>5792</v>
      </c>
      <c r="BQ98" s="203" t="s">
        <v>5792</v>
      </c>
      <c r="BR98" s="203" t="s">
        <v>5792</v>
      </c>
      <c r="BS98" s="203" t="s">
        <v>5792</v>
      </c>
      <c r="BT98" s="203" t="s">
        <v>5792</v>
      </c>
      <c r="BU98" s="203" t="s">
        <v>5792</v>
      </c>
      <c r="BV98" s="218" t="s">
        <v>5792</v>
      </c>
      <c r="BW98" s="203" t="s">
        <v>5792</v>
      </c>
      <c r="BX98" s="203" t="s">
        <v>5792</v>
      </c>
      <c r="BY98" s="203" t="s">
        <v>5792</v>
      </c>
      <c r="BZ98" s="203" t="s">
        <v>5792</v>
      </c>
      <c r="CA98" s="203" t="s">
        <v>5792</v>
      </c>
      <c r="CB98" s="218" t="s">
        <v>5792</v>
      </c>
      <c r="CC98" s="203" t="s">
        <v>5792</v>
      </c>
      <c r="CD98" s="203" t="s">
        <v>5792</v>
      </c>
      <c r="CE98" s="203" t="s">
        <v>5792</v>
      </c>
      <c r="CF98" s="203" t="s">
        <v>5792</v>
      </c>
      <c r="CG98" s="203" t="s">
        <v>5792</v>
      </c>
      <c r="CH98" s="209" t="s">
        <v>5792</v>
      </c>
      <c r="CI98" s="306" t="s">
        <v>4536</v>
      </c>
      <c r="CJ98" s="163">
        <v>345</v>
      </c>
      <c r="CK98" s="32">
        <v>420</v>
      </c>
      <c r="CL98" s="60">
        <v>450</v>
      </c>
      <c r="CM98" s="32">
        <v>630</v>
      </c>
      <c r="CN98" s="67">
        <v>200000</v>
      </c>
      <c r="CO98" s="163" t="s">
        <v>4536</v>
      </c>
      <c r="CP98" s="60">
        <v>345</v>
      </c>
      <c r="CQ98" s="32">
        <v>420</v>
      </c>
      <c r="CR98" s="60">
        <v>450</v>
      </c>
      <c r="CS98" s="32">
        <v>630</v>
      </c>
      <c r="CT98" s="61">
        <v>200000</v>
      </c>
      <c r="CU98" s="207" t="s">
        <v>5792</v>
      </c>
      <c r="CV98" s="208" t="s">
        <v>5792</v>
      </c>
      <c r="CW98" s="208" t="s">
        <v>5792</v>
      </c>
      <c r="CX98" s="209" t="s">
        <v>5792</v>
      </c>
      <c r="CY98" s="207" t="s">
        <v>5792</v>
      </c>
      <c r="CZ98" s="208" t="s">
        <v>5792</v>
      </c>
      <c r="DA98" s="209" t="s">
        <v>5792</v>
      </c>
      <c r="DB98" s="283" t="s">
        <v>5792</v>
      </c>
      <c r="DC98" s="163" t="s">
        <v>4422</v>
      </c>
      <c r="DD98" s="163">
        <v>640</v>
      </c>
      <c r="DE98" s="32">
        <v>730</v>
      </c>
      <c r="DF98" s="163">
        <v>800</v>
      </c>
      <c r="DG98" s="32">
        <v>940</v>
      </c>
      <c r="DH98" s="61">
        <v>200000</v>
      </c>
      <c r="DI98" s="153" t="s">
        <v>5836</v>
      </c>
      <c r="DJ98" s="163" t="s">
        <v>4435</v>
      </c>
      <c r="DK98" s="297" t="s">
        <v>4566</v>
      </c>
    </row>
    <row r="99" spans="1:115">
      <c r="A99" s="18">
        <v>94</v>
      </c>
      <c r="B99" s="326"/>
      <c r="C99" s="326"/>
      <c r="D99" s="346"/>
      <c r="E99" s="334"/>
      <c r="F99" s="326"/>
      <c r="G99" s="329"/>
      <c r="H99" s="326"/>
      <c r="I99" s="326"/>
      <c r="J99" s="41" t="s">
        <v>4529</v>
      </c>
      <c r="K99" s="306" t="s">
        <v>4383</v>
      </c>
      <c r="L99" s="163" t="s">
        <v>5792</v>
      </c>
      <c r="M99" s="306" t="s">
        <v>4552</v>
      </c>
      <c r="N99" s="163" t="s">
        <v>4707</v>
      </c>
      <c r="O99" s="18" t="s">
        <v>4507</v>
      </c>
      <c r="P99" s="163" t="s">
        <v>4420</v>
      </c>
      <c r="Q99" s="163" t="s">
        <v>4420</v>
      </c>
      <c r="R99" s="163" t="s">
        <v>4420</v>
      </c>
      <c r="S99" s="163" t="s">
        <v>5792</v>
      </c>
      <c r="T99" s="163" t="s">
        <v>4420</v>
      </c>
      <c r="U99" s="163" t="s">
        <v>5792</v>
      </c>
      <c r="V99" s="163" t="s">
        <v>4559</v>
      </c>
      <c r="W99" s="18">
        <v>6</v>
      </c>
      <c r="X99" s="231">
        <v>0</v>
      </c>
      <c r="Y99" s="142" t="s">
        <v>5792</v>
      </c>
      <c r="Z99" s="202" t="s">
        <v>5792</v>
      </c>
      <c r="AA99" s="203" t="s">
        <v>5792</v>
      </c>
      <c r="AB99" s="203" t="s">
        <v>5792</v>
      </c>
      <c r="AC99" s="203" t="s">
        <v>5792</v>
      </c>
      <c r="AD99" s="203" t="s">
        <v>5792</v>
      </c>
      <c r="AE99" s="203" t="s">
        <v>5792</v>
      </c>
      <c r="AF99" s="306" t="s">
        <v>4810</v>
      </c>
      <c r="AG99" s="21">
        <f t="shared" si="22"/>
        <v>406.4</v>
      </c>
      <c r="AH99" s="21">
        <f t="shared" si="23"/>
        <v>152.39999999999998</v>
      </c>
      <c r="AI99" s="21">
        <f t="shared" si="24"/>
        <v>6.35</v>
      </c>
      <c r="AJ99" s="21">
        <f t="shared" si="24"/>
        <v>6.35</v>
      </c>
      <c r="AK99" s="21">
        <f>283*25.4/2</f>
        <v>3594.1</v>
      </c>
      <c r="AL99" s="21">
        <f t="shared" si="18"/>
        <v>109736597.1258291</v>
      </c>
      <c r="AM99" s="18">
        <v>638018</v>
      </c>
      <c r="AN99" s="21">
        <f>0.486*25.4</f>
        <v>12.344399999999998</v>
      </c>
      <c r="AO99" s="21">
        <f t="shared" si="19"/>
        <v>152.39999999999998</v>
      </c>
      <c r="AP99" s="21">
        <f t="shared" si="20"/>
        <v>406.4</v>
      </c>
      <c r="AQ99" s="163">
        <v>0</v>
      </c>
      <c r="AR99" s="163">
        <v>0</v>
      </c>
      <c r="AS99" s="306" t="s">
        <v>5807</v>
      </c>
      <c r="AT99" s="163" t="s">
        <v>6134</v>
      </c>
      <c r="AU99" s="163" t="s">
        <v>6134</v>
      </c>
      <c r="AV99" s="21">
        <f t="shared" si="26"/>
        <v>19.049999999999997</v>
      </c>
      <c r="AW99" s="163">
        <v>241</v>
      </c>
      <c r="AX99" s="21">
        <f>1.5*25.4+AI99</f>
        <v>44.449999999999996</v>
      </c>
      <c r="AY99" s="21">
        <f>1.5*25.4+AI99</f>
        <v>44.449999999999996</v>
      </c>
      <c r="AZ99" s="33">
        <f t="shared" si="25"/>
        <v>63.5</v>
      </c>
      <c r="BA99" s="21">
        <f>3.5*25.4</f>
        <v>88.899999999999991</v>
      </c>
      <c r="BB99" s="21">
        <f t="shared" si="21"/>
        <v>254</v>
      </c>
      <c r="BC99" s="163" t="s">
        <v>4420</v>
      </c>
      <c r="BD99" s="163" t="s">
        <v>4465</v>
      </c>
      <c r="BE99" s="163" t="s">
        <v>6209</v>
      </c>
      <c r="BF99" s="163">
        <v>4</v>
      </c>
      <c r="BG99" s="163">
        <v>6</v>
      </c>
      <c r="BH99" s="202" t="s">
        <v>5792</v>
      </c>
      <c r="BI99" s="203" t="s">
        <v>5792</v>
      </c>
      <c r="BJ99" s="203" t="s">
        <v>5792</v>
      </c>
      <c r="BK99" s="203" t="s">
        <v>5792</v>
      </c>
      <c r="BL99" s="203" t="s">
        <v>5792</v>
      </c>
      <c r="BM99" s="203" t="s">
        <v>5792</v>
      </c>
      <c r="BN99" s="203" t="s">
        <v>5792</v>
      </c>
      <c r="BO99" s="203" t="s">
        <v>5792</v>
      </c>
      <c r="BP99" s="202" t="s">
        <v>5792</v>
      </c>
      <c r="BQ99" s="203" t="s">
        <v>5792</v>
      </c>
      <c r="BR99" s="203" t="s">
        <v>5792</v>
      </c>
      <c r="BS99" s="203" t="s">
        <v>5792</v>
      </c>
      <c r="BT99" s="203" t="s">
        <v>5792</v>
      </c>
      <c r="BU99" s="203" t="s">
        <v>5792</v>
      </c>
      <c r="BV99" s="218" t="s">
        <v>5792</v>
      </c>
      <c r="BW99" s="203" t="s">
        <v>5792</v>
      </c>
      <c r="BX99" s="203" t="s">
        <v>5792</v>
      </c>
      <c r="BY99" s="203" t="s">
        <v>5792</v>
      </c>
      <c r="BZ99" s="203" t="s">
        <v>5792</v>
      </c>
      <c r="CA99" s="203" t="s">
        <v>5792</v>
      </c>
      <c r="CB99" s="218" t="s">
        <v>5792</v>
      </c>
      <c r="CC99" s="203" t="s">
        <v>5792</v>
      </c>
      <c r="CD99" s="203" t="s">
        <v>5792</v>
      </c>
      <c r="CE99" s="203" t="s">
        <v>5792</v>
      </c>
      <c r="CF99" s="203" t="s">
        <v>5792</v>
      </c>
      <c r="CG99" s="203" t="s">
        <v>5792</v>
      </c>
      <c r="CH99" s="209" t="s">
        <v>5792</v>
      </c>
      <c r="CI99" s="306" t="s">
        <v>4536</v>
      </c>
      <c r="CJ99" s="163">
        <v>345</v>
      </c>
      <c r="CK99" s="32">
        <v>420</v>
      </c>
      <c r="CL99" s="60">
        <v>450</v>
      </c>
      <c r="CM99" s="32">
        <v>630</v>
      </c>
      <c r="CN99" s="67">
        <v>200000</v>
      </c>
      <c r="CO99" s="163" t="s">
        <v>4536</v>
      </c>
      <c r="CP99" s="60">
        <v>345</v>
      </c>
      <c r="CQ99" s="32">
        <v>420</v>
      </c>
      <c r="CR99" s="60">
        <v>450</v>
      </c>
      <c r="CS99" s="32">
        <v>630</v>
      </c>
      <c r="CT99" s="61">
        <v>200000</v>
      </c>
      <c r="CU99" s="207" t="s">
        <v>5792</v>
      </c>
      <c r="CV99" s="208" t="s">
        <v>5792</v>
      </c>
      <c r="CW99" s="208" t="s">
        <v>5792</v>
      </c>
      <c r="CX99" s="209" t="s">
        <v>5792</v>
      </c>
      <c r="CY99" s="207" t="s">
        <v>5792</v>
      </c>
      <c r="CZ99" s="208" t="s">
        <v>5792</v>
      </c>
      <c r="DA99" s="209" t="s">
        <v>5792</v>
      </c>
      <c r="DB99" s="283" t="s">
        <v>5792</v>
      </c>
      <c r="DC99" s="163" t="s">
        <v>4422</v>
      </c>
      <c r="DD99" s="163">
        <v>640</v>
      </c>
      <c r="DE99" s="32">
        <v>730</v>
      </c>
      <c r="DF99" s="163">
        <v>800</v>
      </c>
      <c r="DG99" s="32">
        <v>940</v>
      </c>
      <c r="DH99" s="61">
        <v>200000</v>
      </c>
      <c r="DI99" s="153" t="s">
        <v>5836</v>
      </c>
      <c r="DJ99" s="163" t="s">
        <v>4435</v>
      </c>
      <c r="DK99" s="297" t="s">
        <v>4566</v>
      </c>
    </row>
    <row r="100" spans="1:115" ht="16.2" thickBot="1">
      <c r="A100" s="18">
        <v>95</v>
      </c>
      <c r="B100" s="327"/>
      <c r="C100" s="327"/>
      <c r="D100" s="346"/>
      <c r="E100" s="334"/>
      <c r="F100" s="326"/>
      <c r="G100" s="329"/>
      <c r="H100" s="326"/>
      <c r="I100" s="326"/>
      <c r="J100" s="41" t="s">
        <v>4530</v>
      </c>
      <c r="K100" s="306" t="s">
        <v>4383</v>
      </c>
      <c r="L100" s="163" t="s">
        <v>5792</v>
      </c>
      <c r="M100" s="306" t="s">
        <v>4552</v>
      </c>
      <c r="N100" s="163" t="s">
        <v>4707</v>
      </c>
      <c r="O100" s="18" t="s">
        <v>4507</v>
      </c>
      <c r="P100" s="163" t="s">
        <v>4420</v>
      </c>
      <c r="Q100" s="163" t="s">
        <v>4420</v>
      </c>
      <c r="R100" s="163" t="s">
        <v>4420</v>
      </c>
      <c r="S100" s="163" t="s">
        <v>5792</v>
      </c>
      <c r="T100" s="163" t="s">
        <v>4420</v>
      </c>
      <c r="U100" s="163" t="s">
        <v>5792</v>
      </c>
      <c r="V100" s="163" t="s">
        <v>4559</v>
      </c>
      <c r="W100" s="18">
        <v>6</v>
      </c>
      <c r="X100" s="231">
        <v>0</v>
      </c>
      <c r="Y100" s="142" t="s">
        <v>5792</v>
      </c>
      <c r="Z100" s="197" t="s">
        <v>5792</v>
      </c>
      <c r="AA100" s="198" t="s">
        <v>5792</v>
      </c>
      <c r="AB100" s="198" t="s">
        <v>5792</v>
      </c>
      <c r="AC100" s="199" t="s">
        <v>5792</v>
      </c>
      <c r="AD100" s="199" t="s">
        <v>5792</v>
      </c>
      <c r="AE100" s="199" t="s">
        <v>5792</v>
      </c>
      <c r="AF100" s="306" t="s">
        <v>4810</v>
      </c>
      <c r="AG100" s="21">
        <f t="shared" si="22"/>
        <v>406.4</v>
      </c>
      <c r="AH100" s="21">
        <f t="shared" si="23"/>
        <v>152.39999999999998</v>
      </c>
      <c r="AI100" s="21">
        <f t="shared" si="24"/>
        <v>6.35</v>
      </c>
      <c r="AJ100" s="21">
        <f t="shared" si="24"/>
        <v>6.35</v>
      </c>
      <c r="AK100" s="21">
        <f>283*25.4/2</f>
        <v>3594.1</v>
      </c>
      <c r="AL100" s="21">
        <f t="shared" si="18"/>
        <v>109736597.1258291</v>
      </c>
      <c r="AM100" s="18">
        <v>638018</v>
      </c>
      <c r="AN100" s="21">
        <f>0.385*25.4</f>
        <v>9.7789999999999999</v>
      </c>
      <c r="AO100" s="21">
        <f t="shared" si="19"/>
        <v>152.39999999999998</v>
      </c>
      <c r="AP100" s="21">
        <f t="shared" si="20"/>
        <v>406.4</v>
      </c>
      <c r="AQ100" s="163">
        <v>0</v>
      </c>
      <c r="AR100" s="163">
        <v>0</v>
      </c>
      <c r="AS100" s="306" t="s">
        <v>5807</v>
      </c>
      <c r="AT100" s="163" t="s">
        <v>6134</v>
      </c>
      <c r="AU100" s="163" t="s">
        <v>6134</v>
      </c>
      <c r="AV100" s="21">
        <f t="shared" si="26"/>
        <v>19.049999999999997</v>
      </c>
      <c r="AW100" s="163">
        <v>241</v>
      </c>
      <c r="AX100" s="21">
        <f>1.5*25.4+AI100</f>
        <v>44.449999999999996</v>
      </c>
      <c r="AY100" s="21">
        <f>1.5*25.4+AI100</f>
        <v>44.449999999999996</v>
      </c>
      <c r="AZ100" s="33">
        <f t="shared" si="25"/>
        <v>63.5</v>
      </c>
      <c r="BA100" s="21">
        <f>3.5*25.4</f>
        <v>88.899999999999991</v>
      </c>
      <c r="BB100" s="21">
        <f t="shared" si="21"/>
        <v>254</v>
      </c>
      <c r="BC100" s="163" t="s">
        <v>4420</v>
      </c>
      <c r="BD100" s="163" t="s">
        <v>4465</v>
      </c>
      <c r="BE100" s="163" t="s">
        <v>6209</v>
      </c>
      <c r="BF100" s="163">
        <v>4</v>
      </c>
      <c r="BG100" s="163">
        <v>6</v>
      </c>
      <c r="BH100" s="202" t="s">
        <v>5792</v>
      </c>
      <c r="BI100" s="203" t="s">
        <v>5792</v>
      </c>
      <c r="BJ100" s="203" t="s">
        <v>5792</v>
      </c>
      <c r="BK100" s="203" t="s">
        <v>5792</v>
      </c>
      <c r="BL100" s="203" t="s">
        <v>5792</v>
      </c>
      <c r="BM100" s="203" t="s">
        <v>5792</v>
      </c>
      <c r="BN100" s="203" t="s">
        <v>5792</v>
      </c>
      <c r="BO100" s="203" t="s">
        <v>5792</v>
      </c>
      <c r="BP100" s="202" t="s">
        <v>5792</v>
      </c>
      <c r="BQ100" s="203" t="s">
        <v>5792</v>
      </c>
      <c r="BR100" s="203" t="s">
        <v>5792</v>
      </c>
      <c r="BS100" s="203" t="s">
        <v>5792</v>
      </c>
      <c r="BT100" s="203" t="s">
        <v>5792</v>
      </c>
      <c r="BU100" s="203" t="s">
        <v>5792</v>
      </c>
      <c r="BV100" s="218" t="s">
        <v>5792</v>
      </c>
      <c r="BW100" s="203" t="s">
        <v>5792</v>
      </c>
      <c r="BX100" s="203" t="s">
        <v>5792</v>
      </c>
      <c r="BY100" s="203" t="s">
        <v>5792</v>
      </c>
      <c r="BZ100" s="203" t="s">
        <v>5792</v>
      </c>
      <c r="CA100" s="203" t="s">
        <v>5792</v>
      </c>
      <c r="CB100" s="218" t="s">
        <v>5792</v>
      </c>
      <c r="CC100" s="203" t="s">
        <v>5792</v>
      </c>
      <c r="CD100" s="203" t="s">
        <v>5792</v>
      </c>
      <c r="CE100" s="203" t="s">
        <v>5792</v>
      </c>
      <c r="CF100" s="203" t="s">
        <v>5792</v>
      </c>
      <c r="CG100" s="203" t="s">
        <v>5792</v>
      </c>
      <c r="CH100" s="209" t="s">
        <v>5792</v>
      </c>
      <c r="CI100" s="306" t="s">
        <v>4536</v>
      </c>
      <c r="CJ100" s="163">
        <v>345</v>
      </c>
      <c r="CK100" s="32">
        <v>420</v>
      </c>
      <c r="CL100" s="60">
        <v>450</v>
      </c>
      <c r="CM100" s="32">
        <v>630</v>
      </c>
      <c r="CN100" s="67">
        <v>200000</v>
      </c>
      <c r="CO100" s="163" t="s">
        <v>4536</v>
      </c>
      <c r="CP100" s="60">
        <v>345</v>
      </c>
      <c r="CQ100" s="32">
        <v>420</v>
      </c>
      <c r="CR100" s="60">
        <v>450</v>
      </c>
      <c r="CS100" s="32">
        <v>630</v>
      </c>
      <c r="CT100" s="61">
        <v>200000</v>
      </c>
      <c r="CU100" s="207" t="s">
        <v>5792</v>
      </c>
      <c r="CV100" s="208" t="s">
        <v>5792</v>
      </c>
      <c r="CW100" s="208" t="s">
        <v>5792</v>
      </c>
      <c r="CX100" s="209" t="s">
        <v>5792</v>
      </c>
      <c r="CY100" s="207" t="s">
        <v>5792</v>
      </c>
      <c r="CZ100" s="208" t="s">
        <v>5792</v>
      </c>
      <c r="DA100" s="209" t="s">
        <v>5792</v>
      </c>
      <c r="DB100" s="283" t="s">
        <v>5792</v>
      </c>
      <c r="DC100" s="163" t="s">
        <v>4422</v>
      </c>
      <c r="DD100" s="163">
        <v>640</v>
      </c>
      <c r="DE100" s="32">
        <v>730</v>
      </c>
      <c r="DF100" s="163">
        <v>800</v>
      </c>
      <c r="DG100" s="32">
        <v>940</v>
      </c>
      <c r="DH100" s="61">
        <v>200000</v>
      </c>
      <c r="DI100" s="154" t="s">
        <v>5836</v>
      </c>
      <c r="DJ100" s="163" t="s">
        <v>4435</v>
      </c>
      <c r="DK100" s="297" t="s">
        <v>4566</v>
      </c>
    </row>
    <row r="101" spans="1:115" ht="15.6" customHeight="1">
      <c r="A101" s="17">
        <v>96</v>
      </c>
      <c r="B101" s="325">
        <v>10</v>
      </c>
      <c r="C101" s="325">
        <v>1985</v>
      </c>
      <c r="D101" s="345" t="s">
        <v>4532</v>
      </c>
      <c r="E101" s="333" t="s">
        <v>4869</v>
      </c>
      <c r="F101" s="325">
        <v>8</v>
      </c>
      <c r="G101" s="328" t="s">
        <v>5905</v>
      </c>
      <c r="H101" s="325" t="s">
        <v>5904</v>
      </c>
      <c r="I101" s="325" t="s">
        <v>6227</v>
      </c>
      <c r="J101" s="43" t="s">
        <v>4544</v>
      </c>
      <c r="K101" s="305" t="s">
        <v>4383</v>
      </c>
      <c r="L101" s="162" t="s">
        <v>5792</v>
      </c>
      <c r="M101" s="305" t="s">
        <v>4552</v>
      </c>
      <c r="N101" s="162" t="s">
        <v>4707</v>
      </c>
      <c r="O101" s="17" t="s">
        <v>4507</v>
      </c>
      <c r="P101" s="162" t="s">
        <v>4420</v>
      </c>
      <c r="Q101" s="162" t="s">
        <v>4420</v>
      </c>
      <c r="R101" s="162" t="s">
        <v>4420</v>
      </c>
      <c r="S101" s="162" t="s">
        <v>5792</v>
      </c>
      <c r="T101" s="162" t="s">
        <v>4420</v>
      </c>
      <c r="U101" s="162" t="s">
        <v>5792</v>
      </c>
      <c r="V101" s="162" t="s">
        <v>4559</v>
      </c>
      <c r="W101" s="17">
        <v>6</v>
      </c>
      <c r="X101" s="232">
        <v>0</v>
      </c>
      <c r="Y101" s="155" t="s">
        <v>5792</v>
      </c>
      <c r="Z101" s="200" t="s">
        <v>5792</v>
      </c>
      <c r="AA101" s="201" t="s">
        <v>5792</v>
      </c>
      <c r="AB101" s="201" t="s">
        <v>5792</v>
      </c>
      <c r="AC101" s="201" t="s">
        <v>5792</v>
      </c>
      <c r="AD101" s="201" t="s">
        <v>5792</v>
      </c>
      <c r="AE101" s="201" t="s">
        <v>5792</v>
      </c>
      <c r="AF101" s="305" t="s">
        <v>4810</v>
      </c>
      <c r="AG101" s="16">
        <f>16*25.4</f>
        <v>406.4</v>
      </c>
      <c r="AH101" s="16">
        <f>6*25.4</f>
        <v>152.39999999999998</v>
      </c>
      <c r="AI101" s="16">
        <f>0.25*25.4</f>
        <v>6.35</v>
      </c>
      <c r="AJ101" s="16">
        <f>0.25*25.4</f>
        <v>6.35</v>
      </c>
      <c r="AK101" s="16">
        <f>320*25.4/2</f>
        <v>4064</v>
      </c>
      <c r="AL101" s="16">
        <f t="shared" si="18"/>
        <v>109736597.1258291</v>
      </c>
      <c r="AM101" s="17">
        <v>638018</v>
      </c>
      <c r="AN101" s="16">
        <f>0.379*25.4</f>
        <v>9.6265999999999998</v>
      </c>
      <c r="AO101" s="16">
        <f t="shared" si="19"/>
        <v>152.39999999999998</v>
      </c>
      <c r="AP101" s="16">
        <f t="shared" si="20"/>
        <v>406.4</v>
      </c>
      <c r="AQ101" s="162">
        <v>0</v>
      </c>
      <c r="AR101" s="162">
        <v>0</v>
      </c>
      <c r="AS101" s="305" t="s">
        <v>5807</v>
      </c>
      <c r="AT101" s="162" t="s">
        <v>6134</v>
      </c>
      <c r="AU101" s="162" t="s">
        <v>6134</v>
      </c>
      <c r="AV101" s="16">
        <f t="shared" si="26"/>
        <v>19.049999999999997</v>
      </c>
      <c r="AW101" s="162">
        <v>241</v>
      </c>
      <c r="AX101" s="16">
        <f>1.5*25.4+AI101</f>
        <v>44.449999999999996</v>
      </c>
      <c r="AY101" s="16">
        <f>1.5*25.4+AI101</f>
        <v>44.449999999999996</v>
      </c>
      <c r="AZ101" s="31">
        <f t="shared" si="25"/>
        <v>63.5</v>
      </c>
      <c r="BA101" s="16">
        <f>3.5*25.4</f>
        <v>88.899999999999991</v>
      </c>
      <c r="BB101" s="16">
        <f t="shared" si="21"/>
        <v>254</v>
      </c>
      <c r="BC101" s="162" t="s">
        <v>4420</v>
      </c>
      <c r="BD101" s="162" t="s">
        <v>4465</v>
      </c>
      <c r="BE101" s="162" t="s">
        <v>6209</v>
      </c>
      <c r="BF101" s="162">
        <v>4</v>
      </c>
      <c r="BG101" s="162">
        <v>6</v>
      </c>
      <c r="BH101" s="200" t="s">
        <v>5792</v>
      </c>
      <c r="BI101" s="201" t="s">
        <v>5792</v>
      </c>
      <c r="BJ101" s="201" t="s">
        <v>5792</v>
      </c>
      <c r="BK101" s="201" t="s">
        <v>5792</v>
      </c>
      <c r="BL101" s="201" t="s">
        <v>5792</v>
      </c>
      <c r="BM101" s="201" t="s">
        <v>5792</v>
      </c>
      <c r="BN101" s="201" t="s">
        <v>5792</v>
      </c>
      <c r="BO101" s="201" t="s">
        <v>5792</v>
      </c>
      <c r="BP101" s="200" t="s">
        <v>5792</v>
      </c>
      <c r="BQ101" s="201" t="s">
        <v>5792</v>
      </c>
      <c r="BR101" s="201" t="s">
        <v>5792</v>
      </c>
      <c r="BS101" s="201" t="s">
        <v>5792</v>
      </c>
      <c r="BT101" s="201" t="s">
        <v>5792</v>
      </c>
      <c r="BU101" s="201" t="s">
        <v>5792</v>
      </c>
      <c r="BV101" s="219" t="s">
        <v>5792</v>
      </c>
      <c r="BW101" s="201" t="s">
        <v>5792</v>
      </c>
      <c r="BX101" s="201" t="s">
        <v>5792</v>
      </c>
      <c r="BY101" s="201" t="s">
        <v>5792</v>
      </c>
      <c r="BZ101" s="201" t="s">
        <v>5792</v>
      </c>
      <c r="CA101" s="201" t="s">
        <v>5792</v>
      </c>
      <c r="CB101" s="219" t="s">
        <v>5792</v>
      </c>
      <c r="CC101" s="201" t="s">
        <v>5792</v>
      </c>
      <c r="CD101" s="201" t="s">
        <v>5792</v>
      </c>
      <c r="CE101" s="201" t="s">
        <v>5792</v>
      </c>
      <c r="CF101" s="201" t="s">
        <v>5792</v>
      </c>
      <c r="CG101" s="201" t="s">
        <v>5792</v>
      </c>
      <c r="CH101" s="206" t="s">
        <v>5792</v>
      </c>
      <c r="CI101" s="305" t="s">
        <v>4536</v>
      </c>
      <c r="CJ101" s="162">
        <v>345</v>
      </c>
      <c r="CK101" s="30">
        <v>420</v>
      </c>
      <c r="CL101" s="65">
        <v>450</v>
      </c>
      <c r="CM101" s="30">
        <v>630</v>
      </c>
      <c r="CN101" s="66">
        <v>200000</v>
      </c>
      <c r="CO101" s="162" t="s">
        <v>4536</v>
      </c>
      <c r="CP101" s="65">
        <v>345</v>
      </c>
      <c r="CQ101" s="16">
        <v>382.5</v>
      </c>
      <c r="CR101" s="65">
        <v>450</v>
      </c>
      <c r="CS101" s="31">
        <f>CR101/CP101*CQ101</f>
        <v>498.91304347826087</v>
      </c>
      <c r="CT101" s="76">
        <v>200000</v>
      </c>
      <c r="CU101" s="204" t="s">
        <v>5792</v>
      </c>
      <c r="CV101" s="205" t="s">
        <v>5792</v>
      </c>
      <c r="CW101" s="205" t="s">
        <v>5792</v>
      </c>
      <c r="CX101" s="206" t="s">
        <v>5792</v>
      </c>
      <c r="CY101" s="204" t="s">
        <v>5792</v>
      </c>
      <c r="CZ101" s="205" t="s">
        <v>5792</v>
      </c>
      <c r="DA101" s="206" t="s">
        <v>5792</v>
      </c>
      <c r="DB101" s="282" t="s">
        <v>5792</v>
      </c>
      <c r="DC101" s="162" t="s">
        <v>4422</v>
      </c>
      <c r="DD101" s="162">
        <v>640</v>
      </c>
      <c r="DE101" s="30">
        <v>730</v>
      </c>
      <c r="DF101" s="162">
        <v>800</v>
      </c>
      <c r="DG101" s="30">
        <v>940</v>
      </c>
      <c r="DH101" s="76">
        <v>200000</v>
      </c>
      <c r="DI101" s="152" t="s">
        <v>5836</v>
      </c>
      <c r="DJ101" s="162" t="s">
        <v>4435</v>
      </c>
      <c r="DK101" s="296" t="s">
        <v>4566</v>
      </c>
    </row>
    <row r="102" spans="1:115">
      <c r="A102" s="18">
        <v>97</v>
      </c>
      <c r="B102" s="326"/>
      <c r="C102" s="326"/>
      <c r="D102" s="346"/>
      <c r="E102" s="334"/>
      <c r="F102" s="326"/>
      <c r="G102" s="329"/>
      <c r="H102" s="326"/>
      <c r="I102" s="326"/>
      <c r="J102" s="41" t="s">
        <v>4545</v>
      </c>
      <c r="K102" s="306" t="s">
        <v>4383</v>
      </c>
      <c r="L102" s="163" t="s">
        <v>5792</v>
      </c>
      <c r="M102" s="306" t="s">
        <v>4552</v>
      </c>
      <c r="N102" s="163" t="s">
        <v>4707</v>
      </c>
      <c r="O102" s="18" t="s">
        <v>4507</v>
      </c>
      <c r="P102" s="163" t="s">
        <v>4420</v>
      </c>
      <c r="Q102" s="163" t="s">
        <v>4420</v>
      </c>
      <c r="R102" s="163" t="s">
        <v>4420</v>
      </c>
      <c r="S102" s="163" t="s">
        <v>5792</v>
      </c>
      <c r="T102" s="163" t="s">
        <v>4420</v>
      </c>
      <c r="U102" s="163" t="s">
        <v>5792</v>
      </c>
      <c r="V102" s="163" t="s">
        <v>4559</v>
      </c>
      <c r="W102" s="18">
        <v>6</v>
      </c>
      <c r="X102" s="231">
        <v>0</v>
      </c>
      <c r="Y102" s="142" t="s">
        <v>5792</v>
      </c>
      <c r="Z102" s="202" t="s">
        <v>5792</v>
      </c>
      <c r="AA102" s="203" t="s">
        <v>5792</v>
      </c>
      <c r="AB102" s="203" t="s">
        <v>5792</v>
      </c>
      <c r="AC102" s="203" t="s">
        <v>5792</v>
      </c>
      <c r="AD102" s="203" t="s">
        <v>5792</v>
      </c>
      <c r="AE102" s="203" t="s">
        <v>5792</v>
      </c>
      <c r="AF102" s="306" t="s">
        <v>4810</v>
      </c>
      <c r="AG102" s="21">
        <f>16*25.4</f>
        <v>406.4</v>
      </c>
      <c r="AH102" s="21">
        <f t="shared" ref="AH102:AH108" si="27">6*25.4</f>
        <v>152.39999999999998</v>
      </c>
      <c r="AI102" s="21">
        <f t="shared" ref="AI102:AJ106" si="28">0.25*25.4</f>
        <v>6.35</v>
      </c>
      <c r="AJ102" s="21">
        <f t="shared" si="28"/>
        <v>6.35</v>
      </c>
      <c r="AK102" s="21">
        <f>330*25.4/2</f>
        <v>4191</v>
      </c>
      <c r="AL102" s="21">
        <f t="shared" si="18"/>
        <v>109736597.1258291</v>
      </c>
      <c r="AM102" s="18">
        <v>638018</v>
      </c>
      <c r="AN102" s="21">
        <f>0.379*25.4</f>
        <v>9.6265999999999998</v>
      </c>
      <c r="AO102" s="21">
        <f t="shared" si="19"/>
        <v>152.39999999999998</v>
      </c>
      <c r="AP102" s="21">
        <f t="shared" si="20"/>
        <v>406.4</v>
      </c>
      <c r="AQ102" s="163">
        <v>0</v>
      </c>
      <c r="AR102" s="163">
        <v>0</v>
      </c>
      <c r="AS102" s="306" t="s">
        <v>5807</v>
      </c>
      <c r="AT102" s="163" t="s">
        <v>6134</v>
      </c>
      <c r="AU102" s="163" t="s">
        <v>6134</v>
      </c>
      <c r="AV102" s="21">
        <f t="shared" si="26"/>
        <v>19.049999999999997</v>
      </c>
      <c r="AW102" s="163">
        <v>241</v>
      </c>
      <c r="AX102" s="21">
        <f>1.5*25.4+AI102</f>
        <v>44.449999999999996</v>
      </c>
      <c r="AY102" s="21">
        <f>1.5*25.4+AI102</f>
        <v>44.449999999999996</v>
      </c>
      <c r="AZ102" s="33">
        <f t="shared" si="25"/>
        <v>63.5</v>
      </c>
      <c r="BA102" s="21">
        <f>3.5*25.4</f>
        <v>88.899999999999991</v>
      </c>
      <c r="BB102" s="21">
        <f t="shared" si="21"/>
        <v>254</v>
      </c>
      <c r="BC102" s="163" t="s">
        <v>4420</v>
      </c>
      <c r="BD102" s="163" t="s">
        <v>4465</v>
      </c>
      <c r="BE102" s="163" t="s">
        <v>6209</v>
      </c>
      <c r="BF102" s="163">
        <v>4</v>
      </c>
      <c r="BG102" s="163">
        <v>6</v>
      </c>
      <c r="BH102" s="202" t="s">
        <v>5792</v>
      </c>
      <c r="BI102" s="203" t="s">
        <v>5792</v>
      </c>
      <c r="BJ102" s="203" t="s">
        <v>5792</v>
      </c>
      <c r="BK102" s="203" t="s">
        <v>5792</v>
      </c>
      <c r="BL102" s="203" t="s">
        <v>5792</v>
      </c>
      <c r="BM102" s="203" t="s">
        <v>5792</v>
      </c>
      <c r="BN102" s="203" t="s">
        <v>5792</v>
      </c>
      <c r="BO102" s="203" t="s">
        <v>5792</v>
      </c>
      <c r="BP102" s="202" t="s">
        <v>5792</v>
      </c>
      <c r="BQ102" s="203" t="s">
        <v>5792</v>
      </c>
      <c r="BR102" s="203" t="s">
        <v>5792</v>
      </c>
      <c r="BS102" s="203" t="s">
        <v>5792</v>
      </c>
      <c r="BT102" s="203" t="s">
        <v>5792</v>
      </c>
      <c r="BU102" s="203" t="s">
        <v>5792</v>
      </c>
      <c r="BV102" s="218" t="s">
        <v>5792</v>
      </c>
      <c r="BW102" s="203" t="s">
        <v>5792</v>
      </c>
      <c r="BX102" s="203" t="s">
        <v>5792</v>
      </c>
      <c r="BY102" s="203" t="s">
        <v>5792</v>
      </c>
      <c r="BZ102" s="203" t="s">
        <v>5792</v>
      </c>
      <c r="CA102" s="203" t="s">
        <v>5792</v>
      </c>
      <c r="CB102" s="218" t="s">
        <v>5792</v>
      </c>
      <c r="CC102" s="203" t="s">
        <v>5792</v>
      </c>
      <c r="CD102" s="203" t="s">
        <v>5792</v>
      </c>
      <c r="CE102" s="203" t="s">
        <v>5792</v>
      </c>
      <c r="CF102" s="203" t="s">
        <v>5792</v>
      </c>
      <c r="CG102" s="203" t="s">
        <v>5792</v>
      </c>
      <c r="CH102" s="209" t="s">
        <v>5792</v>
      </c>
      <c r="CI102" s="306" t="s">
        <v>4536</v>
      </c>
      <c r="CJ102" s="163">
        <v>345</v>
      </c>
      <c r="CK102" s="32">
        <v>420</v>
      </c>
      <c r="CL102" s="60">
        <v>450</v>
      </c>
      <c r="CM102" s="32">
        <v>630</v>
      </c>
      <c r="CN102" s="67">
        <v>200000</v>
      </c>
      <c r="CO102" s="163" t="s">
        <v>4536</v>
      </c>
      <c r="CP102" s="60">
        <v>345</v>
      </c>
      <c r="CQ102" s="21">
        <v>382.5</v>
      </c>
      <c r="CR102" s="60">
        <v>450</v>
      </c>
      <c r="CS102" s="33">
        <f t="shared" ref="CS102:CS108" si="29">CR102/CP102*CQ102</f>
        <v>498.91304347826087</v>
      </c>
      <c r="CT102" s="61">
        <v>200000</v>
      </c>
      <c r="CU102" s="207" t="s">
        <v>5792</v>
      </c>
      <c r="CV102" s="208" t="s">
        <v>5792</v>
      </c>
      <c r="CW102" s="208" t="s">
        <v>5792</v>
      </c>
      <c r="CX102" s="209" t="s">
        <v>5792</v>
      </c>
      <c r="CY102" s="207" t="s">
        <v>5792</v>
      </c>
      <c r="CZ102" s="208" t="s">
        <v>5792</v>
      </c>
      <c r="DA102" s="209" t="s">
        <v>5792</v>
      </c>
      <c r="DB102" s="283" t="s">
        <v>5792</v>
      </c>
      <c r="DC102" s="163" t="s">
        <v>4422</v>
      </c>
      <c r="DD102" s="163">
        <v>640</v>
      </c>
      <c r="DE102" s="32">
        <v>730</v>
      </c>
      <c r="DF102" s="163">
        <v>800</v>
      </c>
      <c r="DG102" s="32">
        <v>940</v>
      </c>
      <c r="DH102" s="61">
        <v>200000</v>
      </c>
      <c r="DI102" s="153" t="s">
        <v>5836</v>
      </c>
      <c r="DJ102" s="163" t="s">
        <v>4435</v>
      </c>
      <c r="DK102" s="297" t="s">
        <v>4566</v>
      </c>
    </row>
    <row r="103" spans="1:115">
      <c r="A103" s="18">
        <v>98</v>
      </c>
      <c r="B103" s="326"/>
      <c r="C103" s="326"/>
      <c r="D103" s="346"/>
      <c r="E103" s="334"/>
      <c r="F103" s="326"/>
      <c r="G103" s="329"/>
      <c r="H103" s="326"/>
      <c r="I103" s="326"/>
      <c r="J103" s="41" t="s">
        <v>4546</v>
      </c>
      <c r="K103" s="306" t="s">
        <v>4383</v>
      </c>
      <c r="L103" s="163" t="s">
        <v>5792</v>
      </c>
      <c r="M103" s="306" t="s">
        <v>4552</v>
      </c>
      <c r="N103" s="163" t="s">
        <v>4707</v>
      </c>
      <c r="O103" s="18" t="s">
        <v>4507</v>
      </c>
      <c r="P103" s="163" t="s">
        <v>4420</v>
      </c>
      <c r="Q103" s="163" t="s">
        <v>4420</v>
      </c>
      <c r="R103" s="163" t="s">
        <v>4420</v>
      </c>
      <c r="S103" s="163" t="s">
        <v>5792</v>
      </c>
      <c r="T103" s="163" t="s">
        <v>4420</v>
      </c>
      <c r="U103" s="163" t="s">
        <v>5792</v>
      </c>
      <c r="V103" s="163" t="s">
        <v>4559</v>
      </c>
      <c r="W103" s="18">
        <v>6</v>
      </c>
      <c r="X103" s="231">
        <v>0</v>
      </c>
      <c r="Y103" s="142" t="s">
        <v>5792</v>
      </c>
      <c r="Z103" s="202" t="s">
        <v>5792</v>
      </c>
      <c r="AA103" s="203" t="s">
        <v>5792</v>
      </c>
      <c r="AB103" s="203" t="s">
        <v>5792</v>
      </c>
      <c r="AC103" s="203" t="s">
        <v>5792</v>
      </c>
      <c r="AD103" s="203" t="s">
        <v>5792</v>
      </c>
      <c r="AE103" s="203" t="s">
        <v>5792</v>
      </c>
      <c r="AF103" s="306" t="s">
        <v>4811</v>
      </c>
      <c r="AG103" s="21">
        <f>24*25.4</f>
        <v>609.59999999999991</v>
      </c>
      <c r="AH103" s="21">
        <f t="shared" si="27"/>
        <v>152.39999999999998</v>
      </c>
      <c r="AI103" s="21">
        <f t="shared" si="28"/>
        <v>6.35</v>
      </c>
      <c r="AJ103" s="21">
        <f t="shared" si="28"/>
        <v>6.35</v>
      </c>
      <c r="AK103" s="21">
        <f>336*25.4/2</f>
        <v>4267.2</v>
      </c>
      <c r="AL103" s="21">
        <f t="shared" si="18"/>
        <v>288629395.25349665</v>
      </c>
      <c r="AM103" s="18">
        <v>1149399</v>
      </c>
      <c r="AN103" s="21">
        <f>0.366*25.4</f>
        <v>9.2963999999999984</v>
      </c>
      <c r="AO103" s="21">
        <f t="shared" si="19"/>
        <v>152.39999999999998</v>
      </c>
      <c r="AP103" s="21">
        <f t="shared" si="20"/>
        <v>609.59999999999991</v>
      </c>
      <c r="AQ103" s="163">
        <v>0</v>
      </c>
      <c r="AR103" s="163">
        <v>0</v>
      </c>
      <c r="AS103" s="306" t="s">
        <v>5807</v>
      </c>
      <c r="AT103" s="163" t="s">
        <v>6134</v>
      </c>
      <c r="AU103" s="163" t="s">
        <v>6134</v>
      </c>
      <c r="AV103" s="21">
        <f t="shared" si="26"/>
        <v>19.049999999999997</v>
      </c>
      <c r="AW103" s="163">
        <v>241</v>
      </c>
      <c r="AX103" s="21">
        <f>1.75*25.4+AI103</f>
        <v>50.8</v>
      </c>
      <c r="AY103" s="21">
        <f>1.75*25.4+AI103</f>
        <v>50.8</v>
      </c>
      <c r="AZ103" s="33">
        <f t="shared" si="25"/>
        <v>63.5</v>
      </c>
      <c r="BA103" s="21">
        <f>3.25*25.4</f>
        <v>82.55</v>
      </c>
      <c r="BB103" s="21">
        <f t="shared" si="21"/>
        <v>444.49999999999994</v>
      </c>
      <c r="BC103" s="163" t="s">
        <v>4420</v>
      </c>
      <c r="BD103" s="163" t="s">
        <v>4465</v>
      </c>
      <c r="BE103" s="163" t="s">
        <v>6209</v>
      </c>
      <c r="BF103" s="163">
        <v>4</v>
      </c>
      <c r="BG103" s="163">
        <v>6</v>
      </c>
      <c r="BH103" s="202" t="s">
        <v>5792</v>
      </c>
      <c r="BI103" s="203" t="s">
        <v>5792</v>
      </c>
      <c r="BJ103" s="203" t="s">
        <v>5792</v>
      </c>
      <c r="BK103" s="203" t="s">
        <v>5792</v>
      </c>
      <c r="BL103" s="203" t="s">
        <v>5792</v>
      </c>
      <c r="BM103" s="203" t="s">
        <v>5792</v>
      </c>
      <c r="BN103" s="203" t="s">
        <v>5792</v>
      </c>
      <c r="BO103" s="203" t="s">
        <v>5792</v>
      </c>
      <c r="BP103" s="202" t="s">
        <v>5792</v>
      </c>
      <c r="BQ103" s="203" t="s">
        <v>5792</v>
      </c>
      <c r="BR103" s="203" t="s">
        <v>5792</v>
      </c>
      <c r="BS103" s="203" t="s">
        <v>5792</v>
      </c>
      <c r="BT103" s="203" t="s">
        <v>5792</v>
      </c>
      <c r="BU103" s="203" t="s">
        <v>5792</v>
      </c>
      <c r="BV103" s="218" t="s">
        <v>5792</v>
      </c>
      <c r="BW103" s="203" t="s">
        <v>5792</v>
      </c>
      <c r="BX103" s="203" t="s">
        <v>5792</v>
      </c>
      <c r="BY103" s="203" t="s">
        <v>5792</v>
      </c>
      <c r="BZ103" s="203" t="s">
        <v>5792</v>
      </c>
      <c r="CA103" s="203" t="s">
        <v>5792</v>
      </c>
      <c r="CB103" s="218" t="s">
        <v>5792</v>
      </c>
      <c r="CC103" s="203" t="s">
        <v>5792</v>
      </c>
      <c r="CD103" s="203" t="s">
        <v>5792</v>
      </c>
      <c r="CE103" s="203" t="s">
        <v>5792</v>
      </c>
      <c r="CF103" s="203" t="s">
        <v>5792</v>
      </c>
      <c r="CG103" s="203" t="s">
        <v>5792</v>
      </c>
      <c r="CH103" s="209" t="s">
        <v>5792</v>
      </c>
      <c r="CI103" s="306" t="s">
        <v>4536</v>
      </c>
      <c r="CJ103" s="163">
        <v>345</v>
      </c>
      <c r="CK103" s="32">
        <v>420</v>
      </c>
      <c r="CL103" s="60">
        <v>450</v>
      </c>
      <c r="CM103" s="32">
        <v>630</v>
      </c>
      <c r="CN103" s="67">
        <v>200000</v>
      </c>
      <c r="CO103" s="163" t="s">
        <v>4536</v>
      </c>
      <c r="CP103" s="60">
        <v>345</v>
      </c>
      <c r="CQ103" s="21">
        <v>364.2</v>
      </c>
      <c r="CR103" s="60">
        <v>450</v>
      </c>
      <c r="CS103" s="33">
        <f t="shared" si="29"/>
        <v>475.04347826086956</v>
      </c>
      <c r="CT103" s="61">
        <v>200000</v>
      </c>
      <c r="CU103" s="207" t="s">
        <v>5792</v>
      </c>
      <c r="CV103" s="208" t="s">
        <v>5792</v>
      </c>
      <c r="CW103" s="208" t="s">
        <v>5792</v>
      </c>
      <c r="CX103" s="209" t="s">
        <v>5792</v>
      </c>
      <c r="CY103" s="207" t="s">
        <v>5792</v>
      </c>
      <c r="CZ103" s="208" t="s">
        <v>5792</v>
      </c>
      <c r="DA103" s="209" t="s">
        <v>5792</v>
      </c>
      <c r="DB103" s="283" t="s">
        <v>5792</v>
      </c>
      <c r="DC103" s="163" t="s">
        <v>4422</v>
      </c>
      <c r="DD103" s="163">
        <v>640</v>
      </c>
      <c r="DE103" s="32">
        <v>730</v>
      </c>
      <c r="DF103" s="163">
        <v>800</v>
      </c>
      <c r="DG103" s="32">
        <v>940</v>
      </c>
      <c r="DH103" s="61">
        <v>200000</v>
      </c>
      <c r="DI103" s="153" t="s">
        <v>5836</v>
      </c>
      <c r="DJ103" s="163" t="s">
        <v>4435</v>
      </c>
      <c r="DK103" s="297" t="s">
        <v>4566</v>
      </c>
    </row>
    <row r="104" spans="1:115">
      <c r="A104" s="18">
        <v>99</v>
      </c>
      <c r="B104" s="326"/>
      <c r="C104" s="326"/>
      <c r="D104" s="346"/>
      <c r="E104" s="334"/>
      <c r="F104" s="326"/>
      <c r="G104" s="329"/>
      <c r="H104" s="326"/>
      <c r="I104" s="326"/>
      <c r="J104" s="41" t="s">
        <v>4547</v>
      </c>
      <c r="K104" s="306" t="s">
        <v>4383</v>
      </c>
      <c r="L104" s="163" t="s">
        <v>5792</v>
      </c>
      <c r="M104" s="306" t="s">
        <v>4552</v>
      </c>
      <c r="N104" s="163" t="s">
        <v>4707</v>
      </c>
      <c r="O104" s="18" t="s">
        <v>4507</v>
      </c>
      <c r="P104" s="163" t="s">
        <v>4420</v>
      </c>
      <c r="Q104" s="163" t="s">
        <v>4420</v>
      </c>
      <c r="R104" s="163" t="s">
        <v>4420</v>
      </c>
      <c r="S104" s="163" t="s">
        <v>5792</v>
      </c>
      <c r="T104" s="163" t="s">
        <v>4420</v>
      </c>
      <c r="U104" s="163" t="s">
        <v>5792</v>
      </c>
      <c r="V104" s="163" t="s">
        <v>4559</v>
      </c>
      <c r="W104" s="18">
        <v>6</v>
      </c>
      <c r="X104" s="231">
        <v>0</v>
      </c>
      <c r="Y104" s="142" t="s">
        <v>5792</v>
      </c>
      <c r="Z104" s="202" t="s">
        <v>5792</v>
      </c>
      <c r="AA104" s="203" t="s">
        <v>5792</v>
      </c>
      <c r="AB104" s="203" t="s">
        <v>5792</v>
      </c>
      <c r="AC104" s="203" t="s">
        <v>5792</v>
      </c>
      <c r="AD104" s="203" t="s">
        <v>5792</v>
      </c>
      <c r="AE104" s="203" t="s">
        <v>5792</v>
      </c>
      <c r="AF104" s="306" t="s">
        <v>4811</v>
      </c>
      <c r="AG104" s="21">
        <f>24*25.4</f>
        <v>609.59999999999991</v>
      </c>
      <c r="AH104" s="21">
        <f t="shared" si="27"/>
        <v>152.39999999999998</v>
      </c>
      <c r="AI104" s="21">
        <f t="shared" si="28"/>
        <v>6.35</v>
      </c>
      <c r="AJ104" s="21">
        <f t="shared" si="28"/>
        <v>6.35</v>
      </c>
      <c r="AK104" s="21">
        <f>336*25.4/2</f>
        <v>4267.2</v>
      </c>
      <c r="AL104" s="21">
        <f t="shared" si="18"/>
        <v>288629395.25349665</v>
      </c>
      <c r="AM104" s="18">
        <v>1149399</v>
      </c>
      <c r="AN104" s="21">
        <f>0.366*25.4</f>
        <v>9.2963999999999984</v>
      </c>
      <c r="AO104" s="21">
        <f t="shared" si="19"/>
        <v>152.39999999999998</v>
      </c>
      <c r="AP104" s="21">
        <f t="shared" si="20"/>
        <v>609.59999999999991</v>
      </c>
      <c r="AQ104" s="163">
        <v>0</v>
      </c>
      <c r="AR104" s="163">
        <v>0</v>
      </c>
      <c r="AS104" s="306" t="s">
        <v>5807</v>
      </c>
      <c r="AT104" s="163" t="s">
        <v>6134</v>
      </c>
      <c r="AU104" s="163" t="s">
        <v>6134</v>
      </c>
      <c r="AV104" s="21">
        <f t="shared" si="26"/>
        <v>19.049999999999997</v>
      </c>
      <c r="AW104" s="163">
        <v>241</v>
      </c>
      <c r="AX104" s="21">
        <f>1.75*25.4+AI104</f>
        <v>50.8</v>
      </c>
      <c r="AY104" s="21">
        <f>1.75*25.4+AI104</f>
        <v>50.8</v>
      </c>
      <c r="AZ104" s="33">
        <f t="shared" si="25"/>
        <v>63.5</v>
      </c>
      <c r="BA104" s="21">
        <f>3.25*25.4</f>
        <v>82.55</v>
      </c>
      <c r="BB104" s="21">
        <f t="shared" si="21"/>
        <v>444.49999999999994</v>
      </c>
      <c r="BC104" s="163" t="s">
        <v>4420</v>
      </c>
      <c r="BD104" s="163" t="s">
        <v>4465</v>
      </c>
      <c r="BE104" s="163" t="s">
        <v>6209</v>
      </c>
      <c r="BF104" s="163">
        <v>4</v>
      </c>
      <c r="BG104" s="163">
        <v>6</v>
      </c>
      <c r="BH104" s="202" t="s">
        <v>5792</v>
      </c>
      <c r="BI104" s="203" t="s">
        <v>5792</v>
      </c>
      <c r="BJ104" s="203" t="s">
        <v>5792</v>
      </c>
      <c r="BK104" s="203" t="s">
        <v>5792</v>
      </c>
      <c r="BL104" s="203" t="s">
        <v>5792</v>
      </c>
      <c r="BM104" s="203" t="s">
        <v>5792</v>
      </c>
      <c r="BN104" s="203" t="s">
        <v>5792</v>
      </c>
      <c r="BO104" s="203" t="s">
        <v>5792</v>
      </c>
      <c r="BP104" s="202" t="s">
        <v>5792</v>
      </c>
      <c r="BQ104" s="203" t="s">
        <v>5792</v>
      </c>
      <c r="BR104" s="203" t="s">
        <v>5792</v>
      </c>
      <c r="BS104" s="203" t="s">
        <v>5792</v>
      </c>
      <c r="BT104" s="203" t="s">
        <v>5792</v>
      </c>
      <c r="BU104" s="203" t="s">
        <v>5792</v>
      </c>
      <c r="BV104" s="218" t="s">
        <v>5792</v>
      </c>
      <c r="BW104" s="203" t="s">
        <v>5792</v>
      </c>
      <c r="BX104" s="203" t="s">
        <v>5792</v>
      </c>
      <c r="BY104" s="203" t="s">
        <v>5792</v>
      </c>
      <c r="BZ104" s="203" t="s">
        <v>5792</v>
      </c>
      <c r="CA104" s="203" t="s">
        <v>5792</v>
      </c>
      <c r="CB104" s="218" t="s">
        <v>5792</v>
      </c>
      <c r="CC104" s="203" t="s">
        <v>5792</v>
      </c>
      <c r="CD104" s="203" t="s">
        <v>5792</v>
      </c>
      <c r="CE104" s="203" t="s">
        <v>5792</v>
      </c>
      <c r="CF104" s="203" t="s">
        <v>5792</v>
      </c>
      <c r="CG104" s="203" t="s">
        <v>5792</v>
      </c>
      <c r="CH104" s="209" t="s">
        <v>5792</v>
      </c>
      <c r="CI104" s="306" t="s">
        <v>4536</v>
      </c>
      <c r="CJ104" s="163">
        <v>345</v>
      </c>
      <c r="CK104" s="32">
        <v>420</v>
      </c>
      <c r="CL104" s="60">
        <v>450</v>
      </c>
      <c r="CM104" s="32">
        <v>630</v>
      </c>
      <c r="CN104" s="67">
        <v>200000</v>
      </c>
      <c r="CO104" s="163" t="s">
        <v>4536</v>
      </c>
      <c r="CP104" s="60">
        <v>345</v>
      </c>
      <c r="CQ104" s="21">
        <v>364.2</v>
      </c>
      <c r="CR104" s="60">
        <v>450</v>
      </c>
      <c r="CS104" s="33">
        <f t="shared" si="29"/>
        <v>475.04347826086956</v>
      </c>
      <c r="CT104" s="61">
        <v>200000</v>
      </c>
      <c r="CU104" s="207" t="s">
        <v>5792</v>
      </c>
      <c r="CV104" s="208" t="s">
        <v>5792</v>
      </c>
      <c r="CW104" s="208" t="s">
        <v>5792</v>
      </c>
      <c r="CX104" s="209" t="s">
        <v>5792</v>
      </c>
      <c r="CY104" s="207" t="s">
        <v>5792</v>
      </c>
      <c r="CZ104" s="208" t="s">
        <v>5792</v>
      </c>
      <c r="DA104" s="209" t="s">
        <v>5792</v>
      </c>
      <c r="DB104" s="283" t="s">
        <v>5792</v>
      </c>
      <c r="DC104" s="163" t="s">
        <v>4422</v>
      </c>
      <c r="DD104" s="163">
        <v>640</v>
      </c>
      <c r="DE104" s="32">
        <v>730</v>
      </c>
      <c r="DF104" s="163">
        <v>800</v>
      </c>
      <c r="DG104" s="32">
        <v>940</v>
      </c>
      <c r="DH104" s="61">
        <v>200000</v>
      </c>
      <c r="DI104" s="153" t="s">
        <v>5836</v>
      </c>
      <c r="DJ104" s="163" t="s">
        <v>4435</v>
      </c>
      <c r="DK104" s="297" t="s">
        <v>4566</v>
      </c>
    </row>
    <row r="105" spans="1:115">
      <c r="A105" s="18">
        <v>100</v>
      </c>
      <c r="B105" s="326"/>
      <c r="C105" s="326"/>
      <c r="D105" s="346"/>
      <c r="E105" s="334"/>
      <c r="F105" s="326"/>
      <c r="G105" s="329"/>
      <c r="H105" s="326"/>
      <c r="I105" s="326"/>
      <c r="J105" s="41" t="s">
        <v>4548</v>
      </c>
      <c r="K105" s="306" t="s">
        <v>4383</v>
      </c>
      <c r="L105" s="163" t="s">
        <v>5792</v>
      </c>
      <c r="M105" s="306" t="s">
        <v>4552</v>
      </c>
      <c r="N105" s="163" t="s">
        <v>4707</v>
      </c>
      <c r="O105" s="18" t="s">
        <v>4507</v>
      </c>
      <c r="P105" s="163" t="s">
        <v>4420</v>
      </c>
      <c r="Q105" s="163" t="s">
        <v>4420</v>
      </c>
      <c r="R105" s="163" t="s">
        <v>4420</v>
      </c>
      <c r="S105" s="163" t="s">
        <v>5792</v>
      </c>
      <c r="T105" s="163" t="s">
        <v>4420</v>
      </c>
      <c r="U105" s="163" t="s">
        <v>5792</v>
      </c>
      <c r="V105" s="163" t="s">
        <v>4559</v>
      </c>
      <c r="W105" s="18">
        <v>6</v>
      </c>
      <c r="X105" s="231">
        <v>0</v>
      </c>
      <c r="Y105" s="142" t="s">
        <v>5792</v>
      </c>
      <c r="Z105" s="202" t="s">
        <v>5792</v>
      </c>
      <c r="AA105" s="203" t="s">
        <v>5792</v>
      </c>
      <c r="AB105" s="203" t="s">
        <v>5792</v>
      </c>
      <c r="AC105" s="203" t="s">
        <v>5792</v>
      </c>
      <c r="AD105" s="203" t="s">
        <v>5792</v>
      </c>
      <c r="AE105" s="203" t="s">
        <v>5792</v>
      </c>
      <c r="AF105" s="306" t="s">
        <v>4810</v>
      </c>
      <c r="AG105" s="21">
        <f>16*25.4</f>
        <v>406.4</v>
      </c>
      <c r="AH105" s="21">
        <f t="shared" si="27"/>
        <v>152.39999999999998</v>
      </c>
      <c r="AI105" s="21">
        <f t="shared" si="28"/>
        <v>6.35</v>
      </c>
      <c r="AJ105" s="21">
        <f t="shared" si="28"/>
        <v>6.35</v>
      </c>
      <c r="AK105" s="21">
        <f>321*25.4/2</f>
        <v>4076.7</v>
      </c>
      <c r="AL105" s="21">
        <f t="shared" si="18"/>
        <v>109736597.1258291</v>
      </c>
      <c r="AM105" s="18">
        <v>638018</v>
      </c>
      <c r="AN105" s="21">
        <f>0.381*25.4</f>
        <v>9.6774000000000004</v>
      </c>
      <c r="AO105" s="21">
        <f t="shared" si="19"/>
        <v>152.39999999999998</v>
      </c>
      <c r="AP105" s="21">
        <f t="shared" si="20"/>
        <v>406.4</v>
      </c>
      <c r="AQ105" s="163">
        <v>0</v>
      </c>
      <c r="AR105" s="163">
        <v>0</v>
      </c>
      <c r="AS105" s="306" t="s">
        <v>5807</v>
      </c>
      <c r="AT105" s="163" t="s">
        <v>6134</v>
      </c>
      <c r="AU105" s="163" t="s">
        <v>6134</v>
      </c>
      <c r="AV105" s="21">
        <f>5/8*25.4</f>
        <v>15.875</v>
      </c>
      <c r="AW105" s="163">
        <v>165</v>
      </c>
      <c r="AX105" s="21">
        <f>1.375*25.4+AI105</f>
        <v>41.274999999999999</v>
      </c>
      <c r="AY105" s="21">
        <f>1.375*25.4+AI105</f>
        <v>41.274999999999999</v>
      </c>
      <c r="AZ105" s="33">
        <f t="shared" si="25"/>
        <v>63.5</v>
      </c>
      <c r="BA105" s="21">
        <f>2.75*25.4</f>
        <v>69.849999999999994</v>
      </c>
      <c r="BB105" s="21">
        <f t="shared" si="21"/>
        <v>260.35000000000002</v>
      </c>
      <c r="BC105" s="163" t="s">
        <v>4420</v>
      </c>
      <c r="BD105" s="163" t="s">
        <v>4465</v>
      </c>
      <c r="BE105" s="163" t="s">
        <v>6209</v>
      </c>
      <c r="BF105" s="163">
        <v>4</v>
      </c>
      <c r="BG105" s="163">
        <v>6</v>
      </c>
      <c r="BH105" s="202" t="s">
        <v>5792</v>
      </c>
      <c r="BI105" s="203" t="s">
        <v>5792</v>
      </c>
      <c r="BJ105" s="203" t="s">
        <v>5792</v>
      </c>
      <c r="BK105" s="203" t="s">
        <v>5792</v>
      </c>
      <c r="BL105" s="203" t="s">
        <v>5792</v>
      </c>
      <c r="BM105" s="203" t="s">
        <v>5792</v>
      </c>
      <c r="BN105" s="203" t="s">
        <v>5792</v>
      </c>
      <c r="BO105" s="203" t="s">
        <v>5792</v>
      </c>
      <c r="BP105" s="202" t="s">
        <v>5792</v>
      </c>
      <c r="BQ105" s="203" t="s">
        <v>5792</v>
      </c>
      <c r="BR105" s="203" t="s">
        <v>5792</v>
      </c>
      <c r="BS105" s="203" t="s">
        <v>5792</v>
      </c>
      <c r="BT105" s="203" t="s">
        <v>5792</v>
      </c>
      <c r="BU105" s="203" t="s">
        <v>5792</v>
      </c>
      <c r="BV105" s="218" t="s">
        <v>5792</v>
      </c>
      <c r="BW105" s="203" t="s">
        <v>5792</v>
      </c>
      <c r="BX105" s="203" t="s">
        <v>5792</v>
      </c>
      <c r="BY105" s="203" t="s">
        <v>5792</v>
      </c>
      <c r="BZ105" s="203" t="s">
        <v>5792</v>
      </c>
      <c r="CA105" s="203" t="s">
        <v>5792</v>
      </c>
      <c r="CB105" s="218" t="s">
        <v>5792</v>
      </c>
      <c r="CC105" s="203" t="s">
        <v>5792</v>
      </c>
      <c r="CD105" s="203" t="s">
        <v>5792</v>
      </c>
      <c r="CE105" s="203" t="s">
        <v>5792</v>
      </c>
      <c r="CF105" s="203" t="s">
        <v>5792</v>
      </c>
      <c r="CG105" s="203" t="s">
        <v>5792</v>
      </c>
      <c r="CH105" s="209" t="s">
        <v>5792</v>
      </c>
      <c r="CI105" s="306" t="s">
        <v>4536</v>
      </c>
      <c r="CJ105" s="163">
        <v>345</v>
      </c>
      <c r="CK105" s="32">
        <v>420</v>
      </c>
      <c r="CL105" s="60">
        <v>450</v>
      </c>
      <c r="CM105" s="32">
        <v>630</v>
      </c>
      <c r="CN105" s="67">
        <v>200000</v>
      </c>
      <c r="CO105" s="163" t="s">
        <v>4536</v>
      </c>
      <c r="CP105" s="60">
        <v>345</v>
      </c>
      <c r="CQ105" s="21">
        <v>385.4</v>
      </c>
      <c r="CR105" s="60">
        <v>450</v>
      </c>
      <c r="CS105" s="33">
        <f t="shared" si="29"/>
        <v>502.695652173913</v>
      </c>
      <c r="CT105" s="61">
        <v>200000</v>
      </c>
      <c r="CU105" s="207" t="s">
        <v>5792</v>
      </c>
      <c r="CV105" s="208" t="s">
        <v>5792</v>
      </c>
      <c r="CW105" s="208" t="s">
        <v>5792</v>
      </c>
      <c r="CX105" s="209" t="s">
        <v>5792</v>
      </c>
      <c r="CY105" s="207" t="s">
        <v>5792</v>
      </c>
      <c r="CZ105" s="208" t="s">
        <v>5792</v>
      </c>
      <c r="DA105" s="209" t="s">
        <v>5792</v>
      </c>
      <c r="DB105" s="283" t="s">
        <v>5792</v>
      </c>
      <c r="DC105" s="163" t="s">
        <v>4422</v>
      </c>
      <c r="DD105" s="163">
        <v>640</v>
      </c>
      <c r="DE105" s="32">
        <v>730</v>
      </c>
      <c r="DF105" s="163">
        <v>800</v>
      </c>
      <c r="DG105" s="32">
        <v>940</v>
      </c>
      <c r="DH105" s="61">
        <v>200000</v>
      </c>
      <c r="DI105" s="153" t="s">
        <v>5836</v>
      </c>
      <c r="DJ105" s="163" t="s">
        <v>4435</v>
      </c>
      <c r="DK105" s="297" t="s">
        <v>4566</v>
      </c>
    </row>
    <row r="106" spans="1:115">
      <c r="A106" s="18">
        <v>101</v>
      </c>
      <c r="B106" s="326"/>
      <c r="C106" s="326"/>
      <c r="D106" s="346"/>
      <c r="E106" s="334"/>
      <c r="F106" s="326"/>
      <c r="G106" s="329"/>
      <c r="H106" s="326"/>
      <c r="I106" s="326"/>
      <c r="J106" s="41" t="s">
        <v>4549</v>
      </c>
      <c r="K106" s="306" t="s">
        <v>4383</v>
      </c>
      <c r="L106" s="163" t="s">
        <v>5792</v>
      </c>
      <c r="M106" s="306" t="s">
        <v>4552</v>
      </c>
      <c r="N106" s="163" t="s">
        <v>4707</v>
      </c>
      <c r="O106" s="18" t="s">
        <v>4507</v>
      </c>
      <c r="P106" s="163" t="s">
        <v>4420</v>
      </c>
      <c r="Q106" s="163" t="s">
        <v>4420</v>
      </c>
      <c r="R106" s="163" t="s">
        <v>4420</v>
      </c>
      <c r="S106" s="163" t="s">
        <v>5792</v>
      </c>
      <c r="T106" s="163" t="s">
        <v>4420</v>
      </c>
      <c r="U106" s="163" t="s">
        <v>5792</v>
      </c>
      <c r="V106" s="163" t="s">
        <v>4559</v>
      </c>
      <c r="W106" s="18">
        <v>6</v>
      </c>
      <c r="X106" s="231">
        <v>0</v>
      </c>
      <c r="Y106" s="142" t="s">
        <v>5792</v>
      </c>
      <c r="Z106" s="202" t="s">
        <v>5792</v>
      </c>
      <c r="AA106" s="203" t="s">
        <v>5792</v>
      </c>
      <c r="AB106" s="203" t="s">
        <v>5792</v>
      </c>
      <c r="AC106" s="203" t="s">
        <v>5792</v>
      </c>
      <c r="AD106" s="203" t="s">
        <v>5792</v>
      </c>
      <c r="AE106" s="203" t="s">
        <v>5792</v>
      </c>
      <c r="AF106" s="306" t="s">
        <v>4810</v>
      </c>
      <c r="AG106" s="21">
        <f>16*25.4</f>
        <v>406.4</v>
      </c>
      <c r="AH106" s="21">
        <f t="shared" si="27"/>
        <v>152.39999999999998</v>
      </c>
      <c r="AI106" s="21">
        <f t="shared" si="28"/>
        <v>6.35</v>
      </c>
      <c r="AJ106" s="21">
        <f t="shared" si="28"/>
        <v>6.35</v>
      </c>
      <c r="AK106" s="21">
        <f>314*25.4/2</f>
        <v>3987.7999999999997</v>
      </c>
      <c r="AL106" s="21">
        <f t="shared" si="18"/>
        <v>109736597.1258291</v>
      </c>
      <c r="AM106" s="18">
        <v>638018</v>
      </c>
      <c r="AN106" s="21">
        <f>0.381*25.4</f>
        <v>9.6774000000000004</v>
      </c>
      <c r="AO106" s="21">
        <f t="shared" si="19"/>
        <v>152.39999999999998</v>
      </c>
      <c r="AP106" s="21">
        <f t="shared" si="20"/>
        <v>406.4</v>
      </c>
      <c r="AQ106" s="163">
        <v>0</v>
      </c>
      <c r="AR106" s="163">
        <v>0</v>
      </c>
      <c r="AS106" s="306" t="s">
        <v>5807</v>
      </c>
      <c r="AT106" s="163" t="s">
        <v>6134</v>
      </c>
      <c r="AU106" s="163" t="s">
        <v>6134</v>
      </c>
      <c r="AV106" s="21">
        <f>5/8*25.4</f>
        <v>15.875</v>
      </c>
      <c r="AW106" s="163">
        <v>165</v>
      </c>
      <c r="AX106" s="21">
        <f>1.375*25.4+AI106</f>
        <v>41.274999999999999</v>
      </c>
      <c r="AY106" s="21">
        <f>1.375*25.4+AI106</f>
        <v>41.274999999999999</v>
      </c>
      <c r="AZ106" s="33">
        <f t="shared" si="25"/>
        <v>63.5</v>
      </c>
      <c r="BA106" s="21">
        <f>2.75*25.4</f>
        <v>69.849999999999994</v>
      </c>
      <c r="BB106" s="21">
        <f t="shared" si="21"/>
        <v>260.35000000000002</v>
      </c>
      <c r="BC106" s="163" t="s">
        <v>4420</v>
      </c>
      <c r="BD106" s="163" t="s">
        <v>4465</v>
      </c>
      <c r="BE106" s="163" t="s">
        <v>6209</v>
      </c>
      <c r="BF106" s="163">
        <v>4</v>
      </c>
      <c r="BG106" s="163">
        <v>6</v>
      </c>
      <c r="BH106" s="202" t="s">
        <v>5792</v>
      </c>
      <c r="BI106" s="203" t="s">
        <v>5792</v>
      </c>
      <c r="BJ106" s="203" t="s">
        <v>5792</v>
      </c>
      <c r="BK106" s="203" t="s">
        <v>5792</v>
      </c>
      <c r="BL106" s="203" t="s">
        <v>5792</v>
      </c>
      <c r="BM106" s="203" t="s">
        <v>5792</v>
      </c>
      <c r="BN106" s="203" t="s">
        <v>5792</v>
      </c>
      <c r="BO106" s="203" t="s">
        <v>5792</v>
      </c>
      <c r="BP106" s="202" t="s">
        <v>5792</v>
      </c>
      <c r="BQ106" s="203" t="s">
        <v>5792</v>
      </c>
      <c r="BR106" s="203" t="s">
        <v>5792</v>
      </c>
      <c r="BS106" s="203" t="s">
        <v>5792</v>
      </c>
      <c r="BT106" s="203" t="s">
        <v>5792</v>
      </c>
      <c r="BU106" s="203" t="s">
        <v>5792</v>
      </c>
      <c r="BV106" s="218" t="s">
        <v>5792</v>
      </c>
      <c r="BW106" s="203" t="s">
        <v>5792</v>
      </c>
      <c r="BX106" s="203" t="s">
        <v>5792</v>
      </c>
      <c r="BY106" s="203" t="s">
        <v>5792</v>
      </c>
      <c r="BZ106" s="203" t="s">
        <v>5792</v>
      </c>
      <c r="CA106" s="203" t="s">
        <v>5792</v>
      </c>
      <c r="CB106" s="218" t="s">
        <v>5792</v>
      </c>
      <c r="CC106" s="203" t="s">
        <v>5792</v>
      </c>
      <c r="CD106" s="203" t="s">
        <v>5792</v>
      </c>
      <c r="CE106" s="203" t="s">
        <v>5792</v>
      </c>
      <c r="CF106" s="203" t="s">
        <v>5792</v>
      </c>
      <c r="CG106" s="203" t="s">
        <v>5792</v>
      </c>
      <c r="CH106" s="209" t="s">
        <v>5792</v>
      </c>
      <c r="CI106" s="306" t="s">
        <v>4536</v>
      </c>
      <c r="CJ106" s="163">
        <v>345</v>
      </c>
      <c r="CK106" s="32">
        <v>420</v>
      </c>
      <c r="CL106" s="60">
        <v>450</v>
      </c>
      <c r="CM106" s="32">
        <v>630</v>
      </c>
      <c r="CN106" s="67">
        <v>200000</v>
      </c>
      <c r="CO106" s="163" t="s">
        <v>4536</v>
      </c>
      <c r="CP106" s="60">
        <v>345</v>
      </c>
      <c r="CQ106" s="21">
        <v>385.4</v>
      </c>
      <c r="CR106" s="60">
        <v>450</v>
      </c>
      <c r="CS106" s="33">
        <f t="shared" si="29"/>
        <v>502.695652173913</v>
      </c>
      <c r="CT106" s="61">
        <v>200000</v>
      </c>
      <c r="CU106" s="207" t="s">
        <v>5792</v>
      </c>
      <c r="CV106" s="208" t="s">
        <v>5792</v>
      </c>
      <c r="CW106" s="208" t="s">
        <v>5792</v>
      </c>
      <c r="CX106" s="209" t="s">
        <v>5792</v>
      </c>
      <c r="CY106" s="207" t="s">
        <v>5792</v>
      </c>
      <c r="CZ106" s="208" t="s">
        <v>5792</v>
      </c>
      <c r="DA106" s="209" t="s">
        <v>5792</v>
      </c>
      <c r="DB106" s="283" t="s">
        <v>5792</v>
      </c>
      <c r="DC106" s="163" t="s">
        <v>4422</v>
      </c>
      <c r="DD106" s="163">
        <v>640</v>
      </c>
      <c r="DE106" s="32">
        <v>730</v>
      </c>
      <c r="DF106" s="163">
        <v>800</v>
      </c>
      <c r="DG106" s="32">
        <v>940</v>
      </c>
      <c r="DH106" s="61">
        <v>200000</v>
      </c>
      <c r="DI106" s="153" t="s">
        <v>5836</v>
      </c>
      <c r="DJ106" s="163" t="s">
        <v>4435</v>
      </c>
      <c r="DK106" s="297" t="s">
        <v>4566</v>
      </c>
    </row>
    <row r="107" spans="1:115">
      <c r="A107" s="18">
        <v>102</v>
      </c>
      <c r="B107" s="326"/>
      <c r="C107" s="326"/>
      <c r="D107" s="346"/>
      <c r="E107" s="334"/>
      <c r="F107" s="326"/>
      <c r="G107" s="329"/>
      <c r="H107" s="326"/>
      <c r="I107" s="326"/>
      <c r="J107" s="41" t="s">
        <v>4551</v>
      </c>
      <c r="K107" s="306" t="s">
        <v>4383</v>
      </c>
      <c r="L107" s="163" t="s">
        <v>5792</v>
      </c>
      <c r="M107" s="306" t="s">
        <v>4552</v>
      </c>
      <c r="N107" s="163" t="s">
        <v>4707</v>
      </c>
      <c r="O107" s="18" t="s">
        <v>4507</v>
      </c>
      <c r="P107" s="163" t="s">
        <v>4420</v>
      </c>
      <c r="Q107" s="163" t="s">
        <v>4420</v>
      </c>
      <c r="R107" s="163" t="s">
        <v>4420</v>
      </c>
      <c r="S107" s="163" t="s">
        <v>5792</v>
      </c>
      <c r="T107" s="163" t="s">
        <v>4420</v>
      </c>
      <c r="U107" s="163" t="s">
        <v>5792</v>
      </c>
      <c r="V107" s="163" t="s">
        <v>4559</v>
      </c>
      <c r="W107" s="18">
        <v>6</v>
      </c>
      <c r="X107" s="231">
        <v>0</v>
      </c>
      <c r="Y107" s="142" t="s">
        <v>5792</v>
      </c>
      <c r="Z107" s="202" t="s">
        <v>5792</v>
      </c>
      <c r="AA107" s="203" t="s">
        <v>5792</v>
      </c>
      <c r="AB107" s="203" t="s">
        <v>5792</v>
      </c>
      <c r="AC107" s="203" t="s">
        <v>5792</v>
      </c>
      <c r="AD107" s="203" t="s">
        <v>5792</v>
      </c>
      <c r="AE107" s="203" t="s">
        <v>5792</v>
      </c>
      <c r="AF107" s="306" t="s">
        <v>4812</v>
      </c>
      <c r="AG107" s="21">
        <f>23*25.4</f>
        <v>584.19999999999993</v>
      </c>
      <c r="AH107" s="21">
        <f t="shared" si="27"/>
        <v>152.39999999999998</v>
      </c>
      <c r="AI107" s="21">
        <f>3/8*25.4</f>
        <v>9.5249999999999986</v>
      </c>
      <c r="AJ107" s="21">
        <f>3/8*25.4</f>
        <v>9.5249999999999986</v>
      </c>
      <c r="AK107" s="21">
        <f>408*25.4/2</f>
        <v>5181.5999999999995</v>
      </c>
      <c r="AL107" s="21">
        <f t="shared" si="18"/>
        <v>382996525.04624367</v>
      </c>
      <c r="AM107" s="18">
        <v>1594762</v>
      </c>
      <c r="AN107" s="21">
        <f>0.507*25.4</f>
        <v>12.877799999999999</v>
      </c>
      <c r="AO107" s="21">
        <f t="shared" si="19"/>
        <v>152.39999999999998</v>
      </c>
      <c r="AP107" s="21">
        <f t="shared" si="20"/>
        <v>584.19999999999993</v>
      </c>
      <c r="AQ107" s="163">
        <v>0</v>
      </c>
      <c r="AR107" s="163">
        <v>0</v>
      </c>
      <c r="AS107" s="306" t="s">
        <v>5807</v>
      </c>
      <c r="AT107" s="163" t="s">
        <v>6134</v>
      </c>
      <c r="AU107" s="163" t="s">
        <v>6134</v>
      </c>
      <c r="AV107" s="21">
        <f t="shared" si="26"/>
        <v>19.049999999999997</v>
      </c>
      <c r="AW107" s="163">
        <v>241</v>
      </c>
      <c r="AX107" s="21">
        <f>1.75*25.4+AI107</f>
        <v>53.974999999999994</v>
      </c>
      <c r="AY107" s="21">
        <f>1.75*25.4+AI107</f>
        <v>53.974999999999994</v>
      </c>
      <c r="AZ107" s="33">
        <f t="shared" si="25"/>
        <v>63.5</v>
      </c>
      <c r="BA107" s="21">
        <f>3.25*25.4</f>
        <v>82.55</v>
      </c>
      <c r="BB107" s="21">
        <f t="shared" si="21"/>
        <v>412.74999999999989</v>
      </c>
      <c r="BC107" s="163" t="s">
        <v>4420</v>
      </c>
      <c r="BD107" s="163" t="s">
        <v>4465</v>
      </c>
      <c r="BE107" s="163" t="s">
        <v>6209</v>
      </c>
      <c r="BF107" s="163">
        <v>4</v>
      </c>
      <c r="BG107" s="163">
        <v>6</v>
      </c>
      <c r="BH107" s="202" t="s">
        <v>5792</v>
      </c>
      <c r="BI107" s="203" t="s">
        <v>5792</v>
      </c>
      <c r="BJ107" s="203" t="s">
        <v>5792</v>
      </c>
      <c r="BK107" s="203" t="s">
        <v>5792</v>
      </c>
      <c r="BL107" s="203" t="s">
        <v>5792</v>
      </c>
      <c r="BM107" s="203" t="s">
        <v>5792</v>
      </c>
      <c r="BN107" s="203" t="s">
        <v>5792</v>
      </c>
      <c r="BO107" s="203" t="s">
        <v>5792</v>
      </c>
      <c r="BP107" s="202" t="s">
        <v>5792</v>
      </c>
      <c r="BQ107" s="203" t="s">
        <v>5792</v>
      </c>
      <c r="BR107" s="203" t="s">
        <v>5792</v>
      </c>
      <c r="BS107" s="203" t="s">
        <v>5792</v>
      </c>
      <c r="BT107" s="203" t="s">
        <v>5792</v>
      </c>
      <c r="BU107" s="203" t="s">
        <v>5792</v>
      </c>
      <c r="BV107" s="218" t="s">
        <v>5792</v>
      </c>
      <c r="BW107" s="203" t="s">
        <v>5792</v>
      </c>
      <c r="BX107" s="203" t="s">
        <v>5792</v>
      </c>
      <c r="BY107" s="203" t="s">
        <v>5792</v>
      </c>
      <c r="BZ107" s="203" t="s">
        <v>5792</v>
      </c>
      <c r="CA107" s="203" t="s">
        <v>5792</v>
      </c>
      <c r="CB107" s="218" t="s">
        <v>5792</v>
      </c>
      <c r="CC107" s="203" t="s">
        <v>5792</v>
      </c>
      <c r="CD107" s="203" t="s">
        <v>5792</v>
      </c>
      <c r="CE107" s="203" t="s">
        <v>5792</v>
      </c>
      <c r="CF107" s="203" t="s">
        <v>5792</v>
      </c>
      <c r="CG107" s="203" t="s">
        <v>5792</v>
      </c>
      <c r="CH107" s="209" t="s">
        <v>5792</v>
      </c>
      <c r="CI107" s="306" t="s">
        <v>4536</v>
      </c>
      <c r="CJ107" s="163">
        <v>345</v>
      </c>
      <c r="CK107" s="32">
        <v>420</v>
      </c>
      <c r="CL107" s="60">
        <v>450</v>
      </c>
      <c r="CM107" s="32">
        <v>630</v>
      </c>
      <c r="CN107" s="67">
        <v>200000</v>
      </c>
      <c r="CO107" s="163" t="s">
        <v>4536</v>
      </c>
      <c r="CP107" s="60">
        <v>345</v>
      </c>
      <c r="CQ107" s="21">
        <v>345.2</v>
      </c>
      <c r="CR107" s="60">
        <v>450</v>
      </c>
      <c r="CS107" s="33">
        <f t="shared" si="29"/>
        <v>450.26086956521738</v>
      </c>
      <c r="CT107" s="61">
        <v>200000</v>
      </c>
      <c r="CU107" s="207" t="s">
        <v>5792</v>
      </c>
      <c r="CV107" s="208" t="s">
        <v>5792</v>
      </c>
      <c r="CW107" s="208" t="s">
        <v>5792</v>
      </c>
      <c r="CX107" s="209" t="s">
        <v>5792</v>
      </c>
      <c r="CY107" s="207" t="s">
        <v>5792</v>
      </c>
      <c r="CZ107" s="208" t="s">
        <v>5792</v>
      </c>
      <c r="DA107" s="209" t="s">
        <v>5792</v>
      </c>
      <c r="DB107" s="283" t="s">
        <v>5792</v>
      </c>
      <c r="DC107" s="163" t="s">
        <v>4422</v>
      </c>
      <c r="DD107" s="163">
        <v>640</v>
      </c>
      <c r="DE107" s="32">
        <v>730</v>
      </c>
      <c r="DF107" s="163">
        <v>800</v>
      </c>
      <c r="DG107" s="32">
        <v>940</v>
      </c>
      <c r="DH107" s="61">
        <v>200000</v>
      </c>
      <c r="DI107" s="153" t="s">
        <v>5836</v>
      </c>
      <c r="DJ107" s="163" t="s">
        <v>4435</v>
      </c>
      <c r="DK107" s="297" t="s">
        <v>4566</v>
      </c>
    </row>
    <row r="108" spans="1:115" ht="16.2" thickBot="1">
      <c r="A108" s="14">
        <v>103</v>
      </c>
      <c r="B108" s="327"/>
      <c r="C108" s="327"/>
      <c r="D108" s="347"/>
      <c r="E108" s="335"/>
      <c r="F108" s="327"/>
      <c r="G108" s="330"/>
      <c r="H108" s="327"/>
      <c r="I108" s="327"/>
      <c r="J108" s="42" t="s">
        <v>4550</v>
      </c>
      <c r="K108" s="143" t="s">
        <v>4383</v>
      </c>
      <c r="L108" s="164" t="s">
        <v>5792</v>
      </c>
      <c r="M108" s="143" t="s">
        <v>4552</v>
      </c>
      <c r="N108" s="164" t="s">
        <v>4707</v>
      </c>
      <c r="O108" s="14" t="s">
        <v>4507</v>
      </c>
      <c r="P108" s="164" t="s">
        <v>4420</v>
      </c>
      <c r="Q108" s="164" t="s">
        <v>4420</v>
      </c>
      <c r="R108" s="164" t="s">
        <v>4420</v>
      </c>
      <c r="S108" s="164" t="s">
        <v>5792</v>
      </c>
      <c r="T108" s="164" t="s">
        <v>4420</v>
      </c>
      <c r="U108" s="164" t="s">
        <v>5792</v>
      </c>
      <c r="V108" s="164" t="s">
        <v>4559</v>
      </c>
      <c r="W108" s="14">
        <v>6</v>
      </c>
      <c r="X108" s="233">
        <v>0</v>
      </c>
      <c r="Y108" s="156" t="s">
        <v>5792</v>
      </c>
      <c r="Z108" s="197" t="s">
        <v>5792</v>
      </c>
      <c r="AA108" s="198" t="s">
        <v>5792</v>
      </c>
      <c r="AB108" s="198" t="s">
        <v>5792</v>
      </c>
      <c r="AC108" s="199" t="s">
        <v>5792</v>
      </c>
      <c r="AD108" s="199" t="s">
        <v>5792</v>
      </c>
      <c r="AE108" s="199" t="s">
        <v>5792</v>
      </c>
      <c r="AF108" s="143" t="s">
        <v>4812</v>
      </c>
      <c r="AG108" s="23">
        <f>23*25.4</f>
        <v>584.19999999999993</v>
      </c>
      <c r="AH108" s="23">
        <f t="shared" si="27"/>
        <v>152.39999999999998</v>
      </c>
      <c r="AI108" s="23">
        <f>3/8*25.4</f>
        <v>9.5249999999999986</v>
      </c>
      <c r="AJ108" s="23">
        <f>3/8*25.4</f>
        <v>9.5249999999999986</v>
      </c>
      <c r="AK108" s="23">
        <f>408*25.4/2</f>
        <v>5181.5999999999995</v>
      </c>
      <c r="AL108" s="23">
        <f t="shared" si="18"/>
        <v>382996525.04624367</v>
      </c>
      <c r="AM108" s="14">
        <v>1594762</v>
      </c>
      <c r="AN108" s="23">
        <f>0.507*25.4</f>
        <v>12.877799999999999</v>
      </c>
      <c r="AO108" s="23">
        <f t="shared" si="19"/>
        <v>152.39999999999998</v>
      </c>
      <c r="AP108" s="23">
        <f t="shared" si="20"/>
        <v>584.19999999999993</v>
      </c>
      <c r="AQ108" s="164">
        <v>0</v>
      </c>
      <c r="AR108" s="164">
        <v>0</v>
      </c>
      <c r="AS108" s="143" t="s">
        <v>5807</v>
      </c>
      <c r="AT108" s="164" t="s">
        <v>6134</v>
      </c>
      <c r="AU108" s="164" t="s">
        <v>6134</v>
      </c>
      <c r="AV108" s="23">
        <f t="shared" si="26"/>
        <v>19.049999999999997</v>
      </c>
      <c r="AW108" s="164">
        <v>241</v>
      </c>
      <c r="AX108" s="23">
        <f>1.75*25.4+AI108</f>
        <v>53.974999999999994</v>
      </c>
      <c r="AY108" s="23">
        <f>1.75*25.4+AI108</f>
        <v>53.974999999999994</v>
      </c>
      <c r="AZ108" s="35">
        <f t="shared" si="25"/>
        <v>63.5</v>
      </c>
      <c r="BA108" s="23">
        <f>3.25*25.4</f>
        <v>82.55</v>
      </c>
      <c r="BB108" s="23">
        <f t="shared" si="21"/>
        <v>412.74999999999989</v>
      </c>
      <c r="BC108" s="164" t="s">
        <v>4420</v>
      </c>
      <c r="BD108" s="164" t="s">
        <v>4465</v>
      </c>
      <c r="BE108" s="164" t="s">
        <v>6209</v>
      </c>
      <c r="BF108" s="164">
        <v>4</v>
      </c>
      <c r="BG108" s="164">
        <v>6</v>
      </c>
      <c r="BH108" s="197" t="s">
        <v>5792</v>
      </c>
      <c r="BI108" s="198" t="s">
        <v>5792</v>
      </c>
      <c r="BJ108" s="198" t="s">
        <v>5792</v>
      </c>
      <c r="BK108" s="198" t="s">
        <v>5792</v>
      </c>
      <c r="BL108" s="198" t="s">
        <v>5792</v>
      </c>
      <c r="BM108" s="198" t="s">
        <v>5792</v>
      </c>
      <c r="BN108" s="198" t="s">
        <v>5792</v>
      </c>
      <c r="BO108" s="198" t="s">
        <v>5792</v>
      </c>
      <c r="BP108" s="197" t="s">
        <v>5792</v>
      </c>
      <c r="BQ108" s="198" t="s">
        <v>5792</v>
      </c>
      <c r="BR108" s="198" t="s">
        <v>5792</v>
      </c>
      <c r="BS108" s="198" t="s">
        <v>5792</v>
      </c>
      <c r="BT108" s="198" t="s">
        <v>5792</v>
      </c>
      <c r="BU108" s="198" t="s">
        <v>5792</v>
      </c>
      <c r="BV108" s="220" t="s">
        <v>5792</v>
      </c>
      <c r="BW108" s="198" t="s">
        <v>5792</v>
      </c>
      <c r="BX108" s="198" t="s">
        <v>5792</v>
      </c>
      <c r="BY108" s="198" t="s">
        <v>5792</v>
      </c>
      <c r="BZ108" s="198" t="s">
        <v>5792</v>
      </c>
      <c r="CA108" s="198" t="s">
        <v>5792</v>
      </c>
      <c r="CB108" s="220" t="s">
        <v>5792</v>
      </c>
      <c r="CC108" s="198" t="s">
        <v>5792</v>
      </c>
      <c r="CD108" s="198" t="s">
        <v>5792</v>
      </c>
      <c r="CE108" s="198" t="s">
        <v>5792</v>
      </c>
      <c r="CF108" s="198" t="s">
        <v>5792</v>
      </c>
      <c r="CG108" s="198" t="s">
        <v>5792</v>
      </c>
      <c r="CH108" s="212" t="s">
        <v>5792</v>
      </c>
      <c r="CI108" s="143" t="s">
        <v>4536</v>
      </c>
      <c r="CJ108" s="164">
        <v>345</v>
      </c>
      <c r="CK108" s="34">
        <v>420</v>
      </c>
      <c r="CL108" s="87">
        <v>450</v>
      </c>
      <c r="CM108" s="34">
        <v>630</v>
      </c>
      <c r="CN108" s="70">
        <v>200000</v>
      </c>
      <c r="CO108" s="164" t="s">
        <v>4536</v>
      </c>
      <c r="CP108" s="87">
        <v>345</v>
      </c>
      <c r="CQ108" s="23">
        <v>345.2</v>
      </c>
      <c r="CR108" s="87">
        <v>450</v>
      </c>
      <c r="CS108" s="35">
        <f t="shared" si="29"/>
        <v>450.26086956521738</v>
      </c>
      <c r="CT108" s="77">
        <v>200000</v>
      </c>
      <c r="CU108" s="210" t="s">
        <v>5792</v>
      </c>
      <c r="CV108" s="211" t="s">
        <v>5792</v>
      </c>
      <c r="CW108" s="211" t="s">
        <v>5792</v>
      </c>
      <c r="CX108" s="212" t="s">
        <v>5792</v>
      </c>
      <c r="CY108" s="210" t="s">
        <v>5792</v>
      </c>
      <c r="CZ108" s="211" t="s">
        <v>5792</v>
      </c>
      <c r="DA108" s="212" t="s">
        <v>5792</v>
      </c>
      <c r="DB108" s="284" t="s">
        <v>5792</v>
      </c>
      <c r="DC108" s="164" t="s">
        <v>4422</v>
      </c>
      <c r="DD108" s="164">
        <v>640</v>
      </c>
      <c r="DE108" s="34">
        <v>730</v>
      </c>
      <c r="DF108" s="164">
        <v>800</v>
      </c>
      <c r="DG108" s="34">
        <v>940</v>
      </c>
      <c r="DH108" s="77">
        <v>200000</v>
      </c>
      <c r="DI108" s="154" t="s">
        <v>5836</v>
      </c>
      <c r="DJ108" s="164" t="s">
        <v>4435</v>
      </c>
      <c r="DK108" s="297" t="s">
        <v>4566</v>
      </c>
    </row>
    <row r="109" spans="1:115" ht="15.6" customHeight="1">
      <c r="A109" s="18">
        <v>104</v>
      </c>
      <c r="B109" s="326">
        <v>11</v>
      </c>
      <c r="C109" s="326">
        <v>1985</v>
      </c>
      <c r="D109" s="346" t="s">
        <v>4513</v>
      </c>
      <c r="E109" s="334" t="s">
        <v>4868</v>
      </c>
      <c r="F109" s="326">
        <v>6</v>
      </c>
      <c r="G109" s="329" t="s">
        <v>5906</v>
      </c>
      <c r="H109" s="329" t="s">
        <v>5902</v>
      </c>
      <c r="I109" s="329" t="s">
        <v>6224</v>
      </c>
      <c r="J109" s="41" t="s">
        <v>4512</v>
      </c>
      <c r="K109" s="306" t="s">
        <v>4383</v>
      </c>
      <c r="L109" s="163" t="s">
        <v>5792</v>
      </c>
      <c r="M109" s="305" t="s">
        <v>4508</v>
      </c>
      <c r="N109" s="162" t="s">
        <v>4751</v>
      </c>
      <c r="O109" s="18" t="s">
        <v>4507</v>
      </c>
      <c r="P109" s="163" t="s">
        <v>4420</v>
      </c>
      <c r="Q109" s="163" t="s">
        <v>4420</v>
      </c>
      <c r="R109" s="163" t="s">
        <v>6169</v>
      </c>
      <c r="S109" s="163">
        <v>10</v>
      </c>
      <c r="T109" s="163" t="s">
        <v>4420</v>
      </c>
      <c r="U109" s="163" t="s">
        <v>5792</v>
      </c>
      <c r="V109" s="163" t="s">
        <v>4559</v>
      </c>
      <c r="W109" s="18">
        <v>10</v>
      </c>
      <c r="X109" s="231">
        <v>0</v>
      </c>
      <c r="Y109" s="142">
        <v>0</v>
      </c>
      <c r="Z109" s="306" t="s">
        <v>4348</v>
      </c>
      <c r="AA109" s="16">
        <f>INDEX('[2]Cross-Section Database'!$C$2:$V$2928,MATCH(Z109,'[2]Cross-Section Database'!$B$2:$B$2928,0),3)</f>
        <v>260.3</v>
      </c>
      <c r="AB109" s="16">
        <f>INDEX('[2]Cross-Section Database'!$C$2:$V$2928,MATCH(Z109,'[2]Cross-Section Database'!$B$2:$B$2928,0),4)</f>
        <v>256.3</v>
      </c>
      <c r="AC109" s="16">
        <f>INDEX('[2]Cross-Section Database'!$C$2:$V$2928,MATCH(Z109,'[2]Cross-Section Database'!$B$2:$B$2928,0),6)</f>
        <v>17.3</v>
      </c>
      <c r="AD109" s="16">
        <f>INDEX('[2]Cross-Section Database'!$C$2:$V$2928,MATCH(Z109,'[2]Cross-Section Database'!$B$2:$B$2928,0),5)</f>
        <v>10.3</v>
      </c>
      <c r="AE109" s="31">
        <v>660</v>
      </c>
      <c r="AF109" s="306" t="s">
        <v>4217</v>
      </c>
      <c r="AG109" s="16">
        <f>INDEX('[2]Cross-Section Database'!$C$2:$V$2928,MATCH(AF109,'[2]Cross-Section Database'!$B$2:$B$2928,0),3)</f>
        <v>303.39999999999998</v>
      </c>
      <c r="AH109" s="16">
        <f>INDEX('[2]Cross-Section Database'!$C$2:$V$2928,MATCH(AF109,'[2]Cross-Section Database'!$B$2:$B$2928,0),4)</f>
        <v>165</v>
      </c>
      <c r="AI109" s="16">
        <f>INDEX('[2]Cross-Section Database'!$C$2:$V$2928,MATCH(AF109,'[2]Cross-Section Database'!$B$2:$B$2928,0),6)</f>
        <v>10.199999999999999</v>
      </c>
      <c r="AJ109" s="16">
        <f>INDEX('[2]Cross-Section Database'!$C$2:$V$2928,MATCH(AF109,'[2]Cross-Section Database'!$B$2:$B$2928,0),5)</f>
        <v>6</v>
      </c>
      <c r="AK109" s="253">
        <v>1350</v>
      </c>
      <c r="AL109" s="21">
        <f>INDEX('[2]Cross-Section Database'!$C$2:$V$3928,MATCH(AF109,'[2]Cross-Section Database'!$B$2:$B$3928,0),11)</f>
        <v>85030000</v>
      </c>
      <c r="AM109" s="26">
        <f>INDEX('[2]Cross-Section Database'!$C$2:$V$3928,MATCH(AF109,'[2]Cross-Section Database'!$B$2:$B$3928,0),12)</f>
        <v>623100</v>
      </c>
      <c r="AN109" s="21">
        <v>8</v>
      </c>
      <c r="AO109" s="21">
        <v>200</v>
      </c>
      <c r="AP109" s="21">
        <v>290</v>
      </c>
      <c r="AQ109" s="21">
        <v>12</v>
      </c>
      <c r="AR109" s="21">
        <v>12</v>
      </c>
      <c r="AS109" s="306" t="s">
        <v>5807</v>
      </c>
      <c r="AT109" s="60" t="s">
        <v>6134</v>
      </c>
      <c r="AU109" s="163">
        <v>25</v>
      </c>
      <c r="AV109" s="163">
        <v>20</v>
      </c>
      <c r="AW109" s="163">
        <f t="shared" ref="AW109:AW131" si="30">IF(AV109=24,353,IF(AV109=22,303,IF(AV109=20,245,IF(AV109=16,157,0))))</f>
        <v>245</v>
      </c>
      <c r="AX109" s="21">
        <v>50</v>
      </c>
      <c r="AY109" s="21">
        <v>50</v>
      </c>
      <c r="AZ109" s="21">
        <v>0</v>
      </c>
      <c r="BA109" s="21">
        <v>125</v>
      </c>
      <c r="BB109" s="21">
        <v>190</v>
      </c>
      <c r="BC109" s="15" t="s">
        <v>4470</v>
      </c>
      <c r="BD109" s="163" t="s">
        <v>6209</v>
      </c>
      <c r="BE109" s="163" t="s">
        <v>6209</v>
      </c>
      <c r="BF109" s="163">
        <v>2</v>
      </c>
      <c r="BG109" s="163">
        <v>4</v>
      </c>
      <c r="BH109" s="202" t="s">
        <v>5792</v>
      </c>
      <c r="BI109" s="203" t="s">
        <v>5792</v>
      </c>
      <c r="BJ109" s="203" t="s">
        <v>5792</v>
      </c>
      <c r="BK109" s="203" t="s">
        <v>5792</v>
      </c>
      <c r="BL109" s="203" t="s">
        <v>5792</v>
      </c>
      <c r="BM109" s="203" t="s">
        <v>5792</v>
      </c>
      <c r="BN109" s="203" t="s">
        <v>5792</v>
      </c>
      <c r="BO109" s="203" t="s">
        <v>5792</v>
      </c>
      <c r="BP109" s="202" t="s">
        <v>5792</v>
      </c>
      <c r="BQ109" s="203" t="s">
        <v>5792</v>
      </c>
      <c r="BR109" s="203" t="s">
        <v>5792</v>
      </c>
      <c r="BS109" s="203" t="s">
        <v>5792</v>
      </c>
      <c r="BT109" s="203" t="s">
        <v>5792</v>
      </c>
      <c r="BU109" s="203" t="s">
        <v>5792</v>
      </c>
      <c r="BV109" s="218" t="s">
        <v>5792</v>
      </c>
      <c r="BW109" s="203" t="s">
        <v>5792</v>
      </c>
      <c r="BX109" s="203" t="s">
        <v>5792</v>
      </c>
      <c r="BY109" s="203" t="s">
        <v>5792</v>
      </c>
      <c r="BZ109" s="203" t="s">
        <v>5792</v>
      </c>
      <c r="CA109" s="203" t="s">
        <v>5792</v>
      </c>
      <c r="CB109" s="218" t="s">
        <v>5792</v>
      </c>
      <c r="CC109" s="32" t="s">
        <v>4449</v>
      </c>
      <c r="CD109" s="47">
        <v>235</v>
      </c>
      <c r="CE109" s="32">
        <v>300</v>
      </c>
      <c r="CF109" s="47">
        <v>360</v>
      </c>
      <c r="CG109" s="32">
        <v>450</v>
      </c>
      <c r="CH109" s="67">
        <v>200000</v>
      </c>
      <c r="CI109" s="107" t="s">
        <v>4449</v>
      </c>
      <c r="CJ109" s="47">
        <v>235</v>
      </c>
      <c r="CK109" s="32">
        <v>300</v>
      </c>
      <c r="CL109" s="60">
        <v>360</v>
      </c>
      <c r="CM109" s="32">
        <v>450</v>
      </c>
      <c r="CN109" s="67">
        <v>200000</v>
      </c>
      <c r="CO109" s="32" t="s">
        <v>4449</v>
      </c>
      <c r="CP109" s="47">
        <v>235</v>
      </c>
      <c r="CQ109" s="32">
        <v>300</v>
      </c>
      <c r="CR109" s="60">
        <v>360</v>
      </c>
      <c r="CS109" s="32">
        <v>450</v>
      </c>
      <c r="CT109" s="61">
        <v>200000</v>
      </c>
      <c r="CU109" s="207" t="s">
        <v>5792</v>
      </c>
      <c r="CV109" s="208" t="s">
        <v>5792</v>
      </c>
      <c r="CW109" s="208" t="s">
        <v>5792</v>
      </c>
      <c r="CX109" s="209" t="s">
        <v>5792</v>
      </c>
      <c r="CY109" s="207" t="s">
        <v>5792</v>
      </c>
      <c r="CZ109" s="208" t="s">
        <v>5792</v>
      </c>
      <c r="DA109" s="209" t="s">
        <v>5792</v>
      </c>
      <c r="DB109" s="283" t="s">
        <v>5792</v>
      </c>
      <c r="DC109" s="163">
        <v>8.8000000000000007</v>
      </c>
      <c r="DD109" s="163">
        <v>640</v>
      </c>
      <c r="DE109" s="32">
        <v>730</v>
      </c>
      <c r="DF109" s="163">
        <v>800</v>
      </c>
      <c r="DG109" s="32">
        <v>940</v>
      </c>
      <c r="DH109" s="61">
        <v>200000</v>
      </c>
      <c r="DI109" s="29" t="s">
        <v>5832</v>
      </c>
      <c r="DJ109" s="32" t="s">
        <v>4435</v>
      </c>
      <c r="DK109" s="296" t="s">
        <v>4566</v>
      </c>
    </row>
    <row r="110" spans="1:115">
      <c r="A110" s="18">
        <v>105</v>
      </c>
      <c r="B110" s="326"/>
      <c r="C110" s="326"/>
      <c r="D110" s="346"/>
      <c r="E110" s="334"/>
      <c r="F110" s="326"/>
      <c r="G110" s="329"/>
      <c r="H110" s="329"/>
      <c r="I110" s="329"/>
      <c r="J110" s="41" t="s">
        <v>4398</v>
      </c>
      <c r="K110" s="306" t="s">
        <v>4383</v>
      </c>
      <c r="L110" s="163" t="s">
        <v>5792</v>
      </c>
      <c r="M110" s="306" t="s">
        <v>4508</v>
      </c>
      <c r="N110" s="163" t="s">
        <v>4751</v>
      </c>
      <c r="O110" s="18" t="s">
        <v>4507</v>
      </c>
      <c r="P110" s="163" t="s">
        <v>4420</v>
      </c>
      <c r="Q110" s="163" t="s">
        <v>4420</v>
      </c>
      <c r="R110" s="163" t="s">
        <v>6169</v>
      </c>
      <c r="S110" s="163">
        <v>10</v>
      </c>
      <c r="T110" s="163" t="s">
        <v>4420</v>
      </c>
      <c r="U110" s="163" t="s">
        <v>5792</v>
      </c>
      <c r="V110" s="163" t="s">
        <v>4559</v>
      </c>
      <c r="W110" s="18">
        <v>10</v>
      </c>
      <c r="X110" s="231">
        <v>0</v>
      </c>
      <c r="Y110" s="142">
        <v>0</v>
      </c>
      <c r="Z110" s="306" t="s">
        <v>4348</v>
      </c>
      <c r="AA110" s="21">
        <f>INDEX('[2]Cross-Section Database'!$C$2:$V$2928,MATCH(Z110,'[2]Cross-Section Database'!$B$2:$B$2928,0),3)</f>
        <v>260.3</v>
      </c>
      <c r="AB110" s="21">
        <f>INDEX('[2]Cross-Section Database'!$C$2:$V$2928,MATCH(Z110,'[2]Cross-Section Database'!$B$2:$B$2928,0),4)</f>
        <v>256.3</v>
      </c>
      <c r="AC110" s="21">
        <f>INDEX('[2]Cross-Section Database'!$C$2:$V$2928,MATCH(Z110,'[2]Cross-Section Database'!$B$2:$B$2928,0),6)</f>
        <v>17.3</v>
      </c>
      <c r="AD110" s="21">
        <f>INDEX('[2]Cross-Section Database'!$C$2:$V$2928,MATCH(Z110,'[2]Cross-Section Database'!$B$2:$B$2928,0),5)</f>
        <v>10.3</v>
      </c>
      <c r="AE110" s="33">
        <v>660</v>
      </c>
      <c r="AF110" s="306" t="s">
        <v>4217</v>
      </c>
      <c r="AG110" s="21">
        <f>INDEX('[2]Cross-Section Database'!$C$2:$V$2928,MATCH(AF110,'[2]Cross-Section Database'!$B$2:$B$2928,0),3)</f>
        <v>303.39999999999998</v>
      </c>
      <c r="AH110" s="21">
        <f>INDEX('[2]Cross-Section Database'!$C$2:$V$2928,MATCH(AF110,'[2]Cross-Section Database'!$B$2:$B$2928,0),4)</f>
        <v>165</v>
      </c>
      <c r="AI110" s="21">
        <f>INDEX('[2]Cross-Section Database'!$C$2:$V$2928,MATCH(AF110,'[2]Cross-Section Database'!$B$2:$B$2928,0),6)</f>
        <v>10.199999999999999</v>
      </c>
      <c r="AJ110" s="21">
        <f>INDEX('[2]Cross-Section Database'!$C$2:$V$2928,MATCH(AF110,'[2]Cross-Section Database'!$B$2:$B$2928,0),5)</f>
        <v>6</v>
      </c>
      <c r="AK110" s="253">
        <v>1350</v>
      </c>
      <c r="AL110" s="21">
        <f>INDEX('[2]Cross-Section Database'!$C$2:$V$3928,MATCH(AF110,'[2]Cross-Section Database'!$B$2:$B$3928,0),11)</f>
        <v>85030000</v>
      </c>
      <c r="AM110" s="24">
        <f>INDEX('[2]Cross-Section Database'!$C$2:$V$3928,MATCH(AF110,'[2]Cross-Section Database'!$B$2:$B$3928,0),12)</f>
        <v>623100</v>
      </c>
      <c r="AN110" s="21">
        <v>12</v>
      </c>
      <c r="AO110" s="21">
        <v>240</v>
      </c>
      <c r="AP110" s="21">
        <v>340</v>
      </c>
      <c r="AQ110" s="21">
        <v>15</v>
      </c>
      <c r="AR110" s="21">
        <v>15</v>
      </c>
      <c r="AS110" s="306" t="s">
        <v>5807</v>
      </c>
      <c r="AT110" s="60" t="s">
        <v>6134</v>
      </c>
      <c r="AU110" s="163">
        <v>25</v>
      </c>
      <c r="AV110" s="163">
        <v>20</v>
      </c>
      <c r="AW110" s="163">
        <f t="shared" si="30"/>
        <v>245</v>
      </c>
      <c r="AX110" s="21">
        <v>80</v>
      </c>
      <c r="AY110" s="21">
        <v>80</v>
      </c>
      <c r="AZ110" s="21">
        <v>70</v>
      </c>
      <c r="BA110" s="21">
        <v>120</v>
      </c>
      <c r="BB110" s="21">
        <v>105</v>
      </c>
      <c r="BC110" s="15" t="s">
        <v>4420</v>
      </c>
      <c r="BD110" s="163" t="s">
        <v>4465</v>
      </c>
      <c r="BE110" s="163" t="s">
        <v>6209</v>
      </c>
      <c r="BF110" s="163">
        <v>4</v>
      </c>
      <c r="BG110" s="163">
        <v>6</v>
      </c>
      <c r="BH110" s="202" t="s">
        <v>5792</v>
      </c>
      <c r="BI110" s="203" t="s">
        <v>5792</v>
      </c>
      <c r="BJ110" s="203" t="s">
        <v>5792</v>
      </c>
      <c r="BK110" s="203" t="s">
        <v>5792</v>
      </c>
      <c r="BL110" s="203" t="s">
        <v>5792</v>
      </c>
      <c r="BM110" s="203" t="s">
        <v>5792</v>
      </c>
      <c r="BN110" s="203" t="s">
        <v>5792</v>
      </c>
      <c r="BO110" s="203" t="s">
        <v>5792</v>
      </c>
      <c r="BP110" s="202" t="s">
        <v>5792</v>
      </c>
      <c r="BQ110" s="203" t="s">
        <v>5792</v>
      </c>
      <c r="BR110" s="203" t="s">
        <v>5792</v>
      </c>
      <c r="BS110" s="203" t="s">
        <v>5792</v>
      </c>
      <c r="BT110" s="203" t="s">
        <v>5792</v>
      </c>
      <c r="BU110" s="203" t="s">
        <v>5792</v>
      </c>
      <c r="BV110" s="218" t="s">
        <v>5792</v>
      </c>
      <c r="BW110" s="203" t="s">
        <v>5792</v>
      </c>
      <c r="BX110" s="203" t="s">
        <v>5792</v>
      </c>
      <c r="BY110" s="203" t="s">
        <v>5792</v>
      </c>
      <c r="BZ110" s="203" t="s">
        <v>5792</v>
      </c>
      <c r="CA110" s="203" t="s">
        <v>5792</v>
      </c>
      <c r="CB110" s="218" t="s">
        <v>5792</v>
      </c>
      <c r="CC110" s="32" t="s">
        <v>4449</v>
      </c>
      <c r="CD110" s="47">
        <v>235</v>
      </c>
      <c r="CE110" s="32">
        <v>300</v>
      </c>
      <c r="CF110" s="47">
        <v>360</v>
      </c>
      <c r="CG110" s="32">
        <v>450</v>
      </c>
      <c r="CH110" s="67">
        <v>200000</v>
      </c>
      <c r="CI110" s="107" t="s">
        <v>4449</v>
      </c>
      <c r="CJ110" s="47">
        <v>235</v>
      </c>
      <c r="CK110" s="32">
        <v>300</v>
      </c>
      <c r="CL110" s="60">
        <v>360</v>
      </c>
      <c r="CM110" s="32">
        <v>450</v>
      </c>
      <c r="CN110" s="67">
        <v>200000</v>
      </c>
      <c r="CO110" s="32" t="s">
        <v>4449</v>
      </c>
      <c r="CP110" s="47">
        <v>235</v>
      </c>
      <c r="CQ110" s="32">
        <v>300</v>
      </c>
      <c r="CR110" s="60">
        <v>360</v>
      </c>
      <c r="CS110" s="32">
        <v>450</v>
      </c>
      <c r="CT110" s="61">
        <v>200000</v>
      </c>
      <c r="CU110" s="207" t="s">
        <v>5792</v>
      </c>
      <c r="CV110" s="208" t="s">
        <v>5792</v>
      </c>
      <c r="CW110" s="208" t="s">
        <v>5792</v>
      </c>
      <c r="CX110" s="209" t="s">
        <v>5792</v>
      </c>
      <c r="CY110" s="207" t="s">
        <v>5792</v>
      </c>
      <c r="CZ110" s="208" t="s">
        <v>5792</v>
      </c>
      <c r="DA110" s="209" t="s">
        <v>5792</v>
      </c>
      <c r="DB110" s="283" t="s">
        <v>5792</v>
      </c>
      <c r="DC110" s="163">
        <v>8.8000000000000007</v>
      </c>
      <c r="DD110" s="163">
        <v>640</v>
      </c>
      <c r="DE110" s="32">
        <v>730</v>
      </c>
      <c r="DF110" s="163">
        <v>800</v>
      </c>
      <c r="DG110" s="32">
        <v>940</v>
      </c>
      <c r="DH110" s="61">
        <v>200000</v>
      </c>
      <c r="DI110" s="29" t="s">
        <v>4770</v>
      </c>
      <c r="DJ110" s="32" t="s">
        <v>4435</v>
      </c>
      <c r="DK110" s="297" t="s">
        <v>4566</v>
      </c>
    </row>
    <row r="111" spans="1:115">
      <c r="A111" s="18">
        <v>106</v>
      </c>
      <c r="B111" s="326"/>
      <c r="C111" s="326"/>
      <c r="D111" s="346"/>
      <c r="E111" s="334"/>
      <c r="F111" s="326"/>
      <c r="G111" s="329"/>
      <c r="H111" s="329"/>
      <c r="I111" s="329"/>
      <c r="J111" s="41" t="s">
        <v>4400</v>
      </c>
      <c r="K111" s="306" t="s">
        <v>4383</v>
      </c>
      <c r="L111" s="163" t="s">
        <v>5792</v>
      </c>
      <c r="M111" s="306" t="s">
        <v>4508</v>
      </c>
      <c r="N111" s="163" t="s">
        <v>4751</v>
      </c>
      <c r="O111" s="18" t="s">
        <v>4507</v>
      </c>
      <c r="P111" s="163" t="s">
        <v>4420</v>
      </c>
      <c r="Q111" s="163" t="s">
        <v>4420</v>
      </c>
      <c r="R111" s="163" t="s">
        <v>6169</v>
      </c>
      <c r="S111" s="163">
        <v>10</v>
      </c>
      <c r="T111" s="163" t="s">
        <v>4420</v>
      </c>
      <c r="U111" s="163" t="s">
        <v>5792</v>
      </c>
      <c r="V111" s="163" t="s">
        <v>4559</v>
      </c>
      <c r="W111" s="18">
        <v>10</v>
      </c>
      <c r="X111" s="231">
        <v>0</v>
      </c>
      <c r="Y111" s="142">
        <v>0</v>
      </c>
      <c r="Z111" s="306" t="s">
        <v>4348</v>
      </c>
      <c r="AA111" s="21">
        <f>INDEX('[2]Cross-Section Database'!$C$2:$V$2928,MATCH(Z111,'[2]Cross-Section Database'!$B$2:$B$2928,0),3)</f>
        <v>260.3</v>
      </c>
      <c r="AB111" s="21">
        <f>INDEX('[2]Cross-Section Database'!$C$2:$V$2928,MATCH(Z111,'[2]Cross-Section Database'!$B$2:$B$2928,0),4)</f>
        <v>256.3</v>
      </c>
      <c r="AC111" s="21">
        <f>INDEX('[2]Cross-Section Database'!$C$2:$V$2928,MATCH(Z111,'[2]Cross-Section Database'!$B$2:$B$2928,0),6)</f>
        <v>17.3</v>
      </c>
      <c r="AD111" s="21">
        <f>INDEX('[2]Cross-Section Database'!$C$2:$V$2928,MATCH(Z111,'[2]Cross-Section Database'!$B$2:$B$2928,0),5)</f>
        <v>10.3</v>
      </c>
      <c r="AE111" s="33">
        <v>660</v>
      </c>
      <c r="AF111" s="306" t="s">
        <v>4217</v>
      </c>
      <c r="AG111" s="21">
        <f>INDEX('[2]Cross-Section Database'!$C$2:$V$2928,MATCH(AF111,'[2]Cross-Section Database'!$B$2:$B$2928,0),3)</f>
        <v>303.39999999999998</v>
      </c>
      <c r="AH111" s="21">
        <f>INDEX('[2]Cross-Section Database'!$C$2:$V$2928,MATCH(AF111,'[2]Cross-Section Database'!$B$2:$B$2928,0),4)</f>
        <v>165</v>
      </c>
      <c r="AI111" s="21">
        <f>INDEX('[2]Cross-Section Database'!$C$2:$V$2928,MATCH(AF111,'[2]Cross-Section Database'!$B$2:$B$2928,0),6)</f>
        <v>10.199999999999999</v>
      </c>
      <c r="AJ111" s="21">
        <f>INDEX('[2]Cross-Section Database'!$C$2:$V$2928,MATCH(AF111,'[2]Cross-Section Database'!$B$2:$B$2928,0),5)</f>
        <v>6</v>
      </c>
      <c r="AK111" s="253">
        <v>1350</v>
      </c>
      <c r="AL111" s="21">
        <f>INDEX('[2]Cross-Section Database'!$C$2:$V$3928,MATCH(AF111,'[2]Cross-Section Database'!$B$2:$B$3928,0),11)</f>
        <v>85030000</v>
      </c>
      <c r="AM111" s="24">
        <f>INDEX('[2]Cross-Section Database'!$C$2:$V$3928,MATCH(AF111,'[2]Cross-Section Database'!$B$2:$B$3928,0),12)</f>
        <v>623100</v>
      </c>
      <c r="AN111" s="21">
        <v>25</v>
      </c>
      <c r="AO111" s="21">
        <v>240</v>
      </c>
      <c r="AP111" s="21">
        <v>340</v>
      </c>
      <c r="AQ111" s="21">
        <v>15</v>
      </c>
      <c r="AR111" s="21">
        <v>15</v>
      </c>
      <c r="AS111" s="306" t="s">
        <v>5807</v>
      </c>
      <c r="AT111" s="60" t="s">
        <v>6134</v>
      </c>
      <c r="AU111" s="163">
        <v>25</v>
      </c>
      <c r="AV111" s="163">
        <v>20</v>
      </c>
      <c r="AW111" s="163">
        <f t="shared" si="30"/>
        <v>245</v>
      </c>
      <c r="AX111" s="21">
        <v>80</v>
      </c>
      <c r="AY111" s="21">
        <v>80</v>
      </c>
      <c r="AZ111" s="21">
        <v>70</v>
      </c>
      <c r="BA111" s="21">
        <v>120</v>
      </c>
      <c r="BB111" s="21">
        <v>105</v>
      </c>
      <c r="BC111" s="15" t="s">
        <v>4420</v>
      </c>
      <c r="BD111" s="163" t="s">
        <v>4465</v>
      </c>
      <c r="BE111" s="163" t="s">
        <v>6209</v>
      </c>
      <c r="BF111" s="163">
        <v>4</v>
      </c>
      <c r="BG111" s="163">
        <v>6</v>
      </c>
      <c r="BH111" s="202" t="s">
        <v>5792</v>
      </c>
      <c r="BI111" s="203" t="s">
        <v>5792</v>
      </c>
      <c r="BJ111" s="203" t="s">
        <v>5792</v>
      </c>
      <c r="BK111" s="203" t="s">
        <v>5792</v>
      </c>
      <c r="BL111" s="203" t="s">
        <v>5792</v>
      </c>
      <c r="BM111" s="203" t="s">
        <v>5792</v>
      </c>
      <c r="BN111" s="203" t="s">
        <v>5792</v>
      </c>
      <c r="BO111" s="203" t="s">
        <v>5792</v>
      </c>
      <c r="BP111" s="202" t="s">
        <v>5792</v>
      </c>
      <c r="BQ111" s="203" t="s">
        <v>5792</v>
      </c>
      <c r="BR111" s="203" t="s">
        <v>5792</v>
      </c>
      <c r="BS111" s="203" t="s">
        <v>5792</v>
      </c>
      <c r="BT111" s="203" t="s">
        <v>5792</v>
      </c>
      <c r="BU111" s="203" t="s">
        <v>5792</v>
      </c>
      <c r="BV111" s="218" t="s">
        <v>5792</v>
      </c>
      <c r="BW111" s="203" t="s">
        <v>5792</v>
      </c>
      <c r="BX111" s="203" t="s">
        <v>5792</v>
      </c>
      <c r="BY111" s="203" t="s">
        <v>5792</v>
      </c>
      <c r="BZ111" s="203" t="s">
        <v>5792</v>
      </c>
      <c r="CA111" s="203" t="s">
        <v>5792</v>
      </c>
      <c r="CB111" s="218" t="s">
        <v>5792</v>
      </c>
      <c r="CC111" s="32" t="s">
        <v>4449</v>
      </c>
      <c r="CD111" s="47">
        <v>235</v>
      </c>
      <c r="CE111" s="32">
        <v>300</v>
      </c>
      <c r="CF111" s="47">
        <v>360</v>
      </c>
      <c r="CG111" s="32">
        <v>450</v>
      </c>
      <c r="CH111" s="67">
        <v>200000</v>
      </c>
      <c r="CI111" s="107" t="s">
        <v>4449</v>
      </c>
      <c r="CJ111" s="47">
        <v>235</v>
      </c>
      <c r="CK111" s="32">
        <v>300</v>
      </c>
      <c r="CL111" s="60">
        <v>360</v>
      </c>
      <c r="CM111" s="32">
        <v>450</v>
      </c>
      <c r="CN111" s="67">
        <v>200000</v>
      </c>
      <c r="CO111" s="32" t="s">
        <v>4449</v>
      </c>
      <c r="CP111" s="47">
        <v>235</v>
      </c>
      <c r="CQ111" s="32">
        <v>300</v>
      </c>
      <c r="CR111" s="60">
        <v>360</v>
      </c>
      <c r="CS111" s="32">
        <v>450</v>
      </c>
      <c r="CT111" s="61">
        <v>200000</v>
      </c>
      <c r="CU111" s="207" t="s">
        <v>5792</v>
      </c>
      <c r="CV111" s="208" t="s">
        <v>5792</v>
      </c>
      <c r="CW111" s="208" t="s">
        <v>5792</v>
      </c>
      <c r="CX111" s="209" t="s">
        <v>5792</v>
      </c>
      <c r="CY111" s="207" t="s">
        <v>5792</v>
      </c>
      <c r="CZ111" s="208" t="s">
        <v>5792</v>
      </c>
      <c r="DA111" s="209" t="s">
        <v>5792</v>
      </c>
      <c r="DB111" s="283" t="s">
        <v>5792</v>
      </c>
      <c r="DC111" s="163">
        <v>8.8000000000000007</v>
      </c>
      <c r="DD111" s="163">
        <v>640</v>
      </c>
      <c r="DE111" s="32">
        <v>730</v>
      </c>
      <c r="DF111" s="163">
        <v>800</v>
      </c>
      <c r="DG111" s="32">
        <v>940</v>
      </c>
      <c r="DH111" s="61">
        <v>200000</v>
      </c>
      <c r="DI111" s="29" t="s">
        <v>15</v>
      </c>
      <c r="DJ111" s="32" t="s">
        <v>4435</v>
      </c>
      <c r="DK111" s="297" t="s">
        <v>4566</v>
      </c>
    </row>
    <row r="112" spans="1:115">
      <c r="A112" s="18">
        <v>107</v>
      </c>
      <c r="B112" s="326"/>
      <c r="C112" s="326"/>
      <c r="D112" s="346"/>
      <c r="E112" s="334"/>
      <c r="F112" s="326"/>
      <c r="G112" s="329"/>
      <c r="H112" s="329"/>
      <c r="I112" s="329"/>
      <c r="J112" s="41" t="s">
        <v>4407</v>
      </c>
      <c r="K112" s="306" t="s">
        <v>4383</v>
      </c>
      <c r="L112" s="163" t="s">
        <v>5792</v>
      </c>
      <c r="M112" s="306" t="s">
        <v>4508</v>
      </c>
      <c r="N112" s="163" t="s">
        <v>4751</v>
      </c>
      <c r="O112" s="18" t="s">
        <v>4507</v>
      </c>
      <c r="P112" s="163" t="s">
        <v>4420</v>
      </c>
      <c r="Q112" s="163" t="s">
        <v>4420</v>
      </c>
      <c r="R112" s="163" t="s">
        <v>6169</v>
      </c>
      <c r="S112" s="163">
        <v>10</v>
      </c>
      <c r="T112" s="163" t="s">
        <v>4420</v>
      </c>
      <c r="U112" s="163" t="s">
        <v>5792</v>
      </c>
      <c r="V112" s="163" t="s">
        <v>4559</v>
      </c>
      <c r="W112" s="18">
        <v>10</v>
      </c>
      <c r="X112" s="231">
        <v>0</v>
      </c>
      <c r="Y112" s="142">
        <v>0</v>
      </c>
      <c r="Z112" s="306" t="s">
        <v>4348</v>
      </c>
      <c r="AA112" s="21">
        <f>INDEX('[2]Cross-Section Database'!$C$2:$V$2928,MATCH(Z112,'[2]Cross-Section Database'!$B$2:$B$2928,0),3)</f>
        <v>260.3</v>
      </c>
      <c r="AB112" s="21">
        <f>INDEX('[2]Cross-Section Database'!$C$2:$V$2928,MATCH(Z112,'[2]Cross-Section Database'!$B$2:$B$2928,0),4)</f>
        <v>256.3</v>
      </c>
      <c r="AC112" s="21">
        <f>INDEX('[2]Cross-Section Database'!$C$2:$V$2928,MATCH(Z112,'[2]Cross-Section Database'!$B$2:$B$2928,0),6)</f>
        <v>17.3</v>
      </c>
      <c r="AD112" s="21">
        <f>INDEX('[2]Cross-Section Database'!$C$2:$V$2928,MATCH(Z112,'[2]Cross-Section Database'!$B$2:$B$2928,0),5)</f>
        <v>10.3</v>
      </c>
      <c r="AE112" s="33">
        <v>660</v>
      </c>
      <c r="AF112" s="306" t="s">
        <v>4217</v>
      </c>
      <c r="AG112" s="21">
        <f>INDEX('[2]Cross-Section Database'!$C$2:$V$2928,MATCH(AF112,'[2]Cross-Section Database'!$B$2:$B$2928,0),3)</f>
        <v>303.39999999999998</v>
      </c>
      <c r="AH112" s="21">
        <f>INDEX('[2]Cross-Section Database'!$C$2:$V$2928,MATCH(AF112,'[2]Cross-Section Database'!$B$2:$B$2928,0),4)</f>
        <v>165</v>
      </c>
      <c r="AI112" s="21">
        <f>INDEX('[2]Cross-Section Database'!$C$2:$V$2928,MATCH(AF112,'[2]Cross-Section Database'!$B$2:$B$2928,0),6)</f>
        <v>10.199999999999999</v>
      </c>
      <c r="AJ112" s="21">
        <f>INDEX('[2]Cross-Section Database'!$C$2:$V$2928,MATCH(AF112,'[2]Cross-Section Database'!$B$2:$B$2928,0),5)</f>
        <v>6</v>
      </c>
      <c r="AK112" s="253">
        <v>1350</v>
      </c>
      <c r="AL112" s="21">
        <f>INDEX('[2]Cross-Section Database'!$C$2:$V$3928,MATCH(AF112,'[2]Cross-Section Database'!$B$2:$B$3928,0),11)</f>
        <v>85030000</v>
      </c>
      <c r="AM112" s="24">
        <f>INDEX('[2]Cross-Section Database'!$C$2:$V$3928,MATCH(AF112,'[2]Cross-Section Database'!$B$2:$B$3928,0),12)</f>
        <v>623100</v>
      </c>
      <c r="AN112" s="21">
        <v>12</v>
      </c>
      <c r="AO112" s="21">
        <v>200</v>
      </c>
      <c r="AP112" s="21">
        <v>340</v>
      </c>
      <c r="AQ112" s="21">
        <v>15</v>
      </c>
      <c r="AR112" s="21">
        <v>15</v>
      </c>
      <c r="AS112" s="306" t="s">
        <v>5807</v>
      </c>
      <c r="AT112" s="60" t="s">
        <v>6134</v>
      </c>
      <c r="AU112" s="163">
        <v>25</v>
      </c>
      <c r="AV112" s="163">
        <v>20</v>
      </c>
      <c r="AW112" s="163">
        <f t="shared" si="30"/>
        <v>245</v>
      </c>
      <c r="AX112" s="21">
        <v>80</v>
      </c>
      <c r="AY112" s="21">
        <v>80</v>
      </c>
      <c r="AZ112" s="21">
        <v>60</v>
      </c>
      <c r="BA112" s="21">
        <v>100</v>
      </c>
      <c r="BB112" s="21">
        <v>115</v>
      </c>
      <c r="BC112" s="15" t="s">
        <v>4420</v>
      </c>
      <c r="BD112" s="163" t="s">
        <v>4465</v>
      </c>
      <c r="BE112" s="163" t="s">
        <v>6209</v>
      </c>
      <c r="BF112" s="163">
        <v>4</v>
      </c>
      <c r="BG112" s="163">
        <v>6</v>
      </c>
      <c r="BH112" s="202" t="s">
        <v>5792</v>
      </c>
      <c r="BI112" s="203" t="s">
        <v>5792</v>
      </c>
      <c r="BJ112" s="203" t="s">
        <v>5792</v>
      </c>
      <c r="BK112" s="203" t="s">
        <v>5792</v>
      </c>
      <c r="BL112" s="203" t="s">
        <v>5792</v>
      </c>
      <c r="BM112" s="203" t="s">
        <v>5792</v>
      </c>
      <c r="BN112" s="203" t="s">
        <v>5792</v>
      </c>
      <c r="BO112" s="203" t="s">
        <v>5792</v>
      </c>
      <c r="BP112" s="202" t="s">
        <v>5792</v>
      </c>
      <c r="BQ112" s="203" t="s">
        <v>5792</v>
      </c>
      <c r="BR112" s="203" t="s">
        <v>5792</v>
      </c>
      <c r="BS112" s="203" t="s">
        <v>5792</v>
      </c>
      <c r="BT112" s="203" t="s">
        <v>5792</v>
      </c>
      <c r="BU112" s="203" t="s">
        <v>5792</v>
      </c>
      <c r="BV112" s="218" t="s">
        <v>5792</v>
      </c>
      <c r="BW112" s="203" t="s">
        <v>5792</v>
      </c>
      <c r="BX112" s="203" t="s">
        <v>5792</v>
      </c>
      <c r="BY112" s="203" t="s">
        <v>5792</v>
      </c>
      <c r="BZ112" s="203" t="s">
        <v>5792</v>
      </c>
      <c r="CA112" s="203" t="s">
        <v>5792</v>
      </c>
      <c r="CB112" s="218" t="s">
        <v>5792</v>
      </c>
      <c r="CC112" s="32" t="s">
        <v>4449</v>
      </c>
      <c r="CD112" s="47">
        <v>235</v>
      </c>
      <c r="CE112" s="32">
        <v>300</v>
      </c>
      <c r="CF112" s="47">
        <v>360</v>
      </c>
      <c r="CG112" s="32">
        <v>450</v>
      </c>
      <c r="CH112" s="67">
        <v>200000</v>
      </c>
      <c r="CI112" s="107" t="s">
        <v>4449</v>
      </c>
      <c r="CJ112" s="47">
        <v>235</v>
      </c>
      <c r="CK112" s="32">
        <v>300</v>
      </c>
      <c r="CL112" s="60">
        <v>360</v>
      </c>
      <c r="CM112" s="32">
        <v>450</v>
      </c>
      <c r="CN112" s="67">
        <v>200000</v>
      </c>
      <c r="CO112" s="32" t="s">
        <v>4449</v>
      </c>
      <c r="CP112" s="47">
        <v>235</v>
      </c>
      <c r="CQ112" s="32">
        <v>300</v>
      </c>
      <c r="CR112" s="60">
        <v>360</v>
      </c>
      <c r="CS112" s="32">
        <v>450</v>
      </c>
      <c r="CT112" s="61">
        <v>200000</v>
      </c>
      <c r="CU112" s="207" t="s">
        <v>5792</v>
      </c>
      <c r="CV112" s="208" t="s">
        <v>5792</v>
      </c>
      <c r="CW112" s="208" t="s">
        <v>5792</v>
      </c>
      <c r="CX112" s="209" t="s">
        <v>5792</v>
      </c>
      <c r="CY112" s="207" t="s">
        <v>5792</v>
      </c>
      <c r="CZ112" s="208" t="s">
        <v>5792</v>
      </c>
      <c r="DA112" s="209" t="s">
        <v>5792</v>
      </c>
      <c r="DB112" s="283" t="s">
        <v>5792</v>
      </c>
      <c r="DC112" s="163">
        <v>8.8000000000000007</v>
      </c>
      <c r="DD112" s="163">
        <v>640</v>
      </c>
      <c r="DE112" s="32">
        <v>730</v>
      </c>
      <c r="DF112" s="163">
        <v>800</v>
      </c>
      <c r="DG112" s="32">
        <v>940</v>
      </c>
      <c r="DH112" s="61">
        <v>200000</v>
      </c>
      <c r="DI112" s="29" t="s">
        <v>4573</v>
      </c>
      <c r="DJ112" s="32" t="s">
        <v>4435</v>
      </c>
      <c r="DK112" s="297" t="s">
        <v>4566</v>
      </c>
    </row>
    <row r="113" spans="1:115">
      <c r="A113" s="18">
        <v>108</v>
      </c>
      <c r="B113" s="326"/>
      <c r="C113" s="326"/>
      <c r="D113" s="346"/>
      <c r="E113" s="334"/>
      <c r="F113" s="326"/>
      <c r="G113" s="329"/>
      <c r="H113" s="329"/>
      <c r="I113" s="329"/>
      <c r="J113" s="41" t="s">
        <v>4411</v>
      </c>
      <c r="K113" s="306" t="s">
        <v>4383</v>
      </c>
      <c r="L113" s="163" t="s">
        <v>5792</v>
      </c>
      <c r="M113" s="306" t="s">
        <v>4508</v>
      </c>
      <c r="N113" s="163" t="s">
        <v>4751</v>
      </c>
      <c r="O113" s="18" t="s">
        <v>4507</v>
      </c>
      <c r="P113" s="163" t="s">
        <v>4420</v>
      </c>
      <c r="Q113" s="163" t="s">
        <v>4420</v>
      </c>
      <c r="R113" s="163" t="s">
        <v>6169</v>
      </c>
      <c r="S113" s="163">
        <v>10</v>
      </c>
      <c r="T113" s="163" t="s">
        <v>4420</v>
      </c>
      <c r="U113" s="163" t="s">
        <v>5792</v>
      </c>
      <c r="V113" s="163" t="s">
        <v>4559</v>
      </c>
      <c r="W113" s="18">
        <v>10</v>
      </c>
      <c r="X113" s="231">
        <v>0</v>
      </c>
      <c r="Y113" s="142">
        <v>0</v>
      </c>
      <c r="Z113" s="306" t="s">
        <v>4348</v>
      </c>
      <c r="AA113" s="21">
        <f>INDEX('[2]Cross-Section Database'!$C$2:$V$2928,MATCH(Z113,'[2]Cross-Section Database'!$B$2:$B$2928,0),3)</f>
        <v>260.3</v>
      </c>
      <c r="AB113" s="21">
        <f>INDEX('[2]Cross-Section Database'!$C$2:$V$2928,MATCH(Z113,'[2]Cross-Section Database'!$B$2:$B$2928,0),4)</f>
        <v>256.3</v>
      </c>
      <c r="AC113" s="21">
        <f>INDEX('[2]Cross-Section Database'!$C$2:$V$2928,MATCH(Z113,'[2]Cross-Section Database'!$B$2:$B$2928,0),6)</f>
        <v>17.3</v>
      </c>
      <c r="AD113" s="21">
        <f>INDEX('[2]Cross-Section Database'!$C$2:$V$2928,MATCH(Z113,'[2]Cross-Section Database'!$B$2:$B$2928,0),5)</f>
        <v>10.3</v>
      </c>
      <c r="AE113" s="33">
        <v>660</v>
      </c>
      <c r="AF113" s="306" t="s">
        <v>4217</v>
      </c>
      <c r="AG113" s="21">
        <f>INDEX('[2]Cross-Section Database'!$C$2:$V$2928,MATCH(AF113,'[2]Cross-Section Database'!$B$2:$B$2928,0),3)</f>
        <v>303.39999999999998</v>
      </c>
      <c r="AH113" s="21">
        <f>INDEX('[2]Cross-Section Database'!$C$2:$V$2928,MATCH(AF113,'[2]Cross-Section Database'!$B$2:$B$2928,0),4)</f>
        <v>165</v>
      </c>
      <c r="AI113" s="21">
        <f>INDEX('[2]Cross-Section Database'!$C$2:$V$2928,MATCH(AF113,'[2]Cross-Section Database'!$B$2:$B$2928,0),6)</f>
        <v>10.199999999999999</v>
      </c>
      <c r="AJ113" s="21">
        <f>INDEX('[2]Cross-Section Database'!$C$2:$V$2928,MATCH(AF113,'[2]Cross-Section Database'!$B$2:$B$2928,0),5)</f>
        <v>6</v>
      </c>
      <c r="AK113" s="253">
        <v>1350</v>
      </c>
      <c r="AL113" s="21">
        <f>INDEX('[2]Cross-Section Database'!$C$2:$V$3928,MATCH(AF113,'[2]Cross-Section Database'!$B$2:$B$3928,0),11)</f>
        <v>85030000</v>
      </c>
      <c r="AM113" s="24">
        <f>INDEX('[2]Cross-Section Database'!$C$2:$V$3928,MATCH(AF113,'[2]Cross-Section Database'!$B$2:$B$3928,0),12)</f>
        <v>623100</v>
      </c>
      <c r="AN113" s="21">
        <v>15</v>
      </c>
      <c r="AO113" s="21">
        <v>240</v>
      </c>
      <c r="AP113" s="21">
        <v>340</v>
      </c>
      <c r="AQ113" s="21">
        <v>15</v>
      </c>
      <c r="AR113" s="21">
        <v>15</v>
      </c>
      <c r="AS113" s="306" t="s">
        <v>5807</v>
      </c>
      <c r="AT113" s="60" t="s">
        <v>6134</v>
      </c>
      <c r="AU113" s="163">
        <v>25</v>
      </c>
      <c r="AV113" s="163">
        <v>20</v>
      </c>
      <c r="AW113" s="163">
        <f t="shared" si="30"/>
        <v>245</v>
      </c>
      <c r="AX113" s="21">
        <v>80</v>
      </c>
      <c r="AY113" s="21">
        <v>80</v>
      </c>
      <c r="AZ113" s="21">
        <v>70</v>
      </c>
      <c r="BA113" s="21">
        <v>120</v>
      </c>
      <c r="BB113" s="21">
        <v>105</v>
      </c>
      <c r="BC113" s="15" t="s">
        <v>4420</v>
      </c>
      <c r="BD113" s="163" t="s">
        <v>4465</v>
      </c>
      <c r="BE113" s="163" t="s">
        <v>6209</v>
      </c>
      <c r="BF113" s="163">
        <v>4</v>
      </c>
      <c r="BG113" s="163">
        <v>6</v>
      </c>
      <c r="BH113" s="202" t="s">
        <v>5792</v>
      </c>
      <c r="BI113" s="203" t="s">
        <v>5792</v>
      </c>
      <c r="BJ113" s="203" t="s">
        <v>5792</v>
      </c>
      <c r="BK113" s="203" t="s">
        <v>5792</v>
      </c>
      <c r="BL113" s="203" t="s">
        <v>5792</v>
      </c>
      <c r="BM113" s="203" t="s">
        <v>5792</v>
      </c>
      <c r="BN113" s="203" t="s">
        <v>5792</v>
      </c>
      <c r="BO113" s="203" t="s">
        <v>5792</v>
      </c>
      <c r="BP113" s="202" t="s">
        <v>5792</v>
      </c>
      <c r="BQ113" s="203" t="s">
        <v>5792</v>
      </c>
      <c r="BR113" s="203" t="s">
        <v>5792</v>
      </c>
      <c r="BS113" s="203" t="s">
        <v>5792</v>
      </c>
      <c r="BT113" s="203" t="s">
        <v>5792</v>
      </c>
      <c r="BU113" s="203" t="s">
        <v>5792</v>
      </c>
      <c r="BV113" s="218" t="s">
        <v>5792</v>
      </c>
      <c r="BW113" s="203" t="s">
        <v>5792</v>
      </c>
      <c r="BX113" s="203" t="s">
        <v>5792</v>
      </c>
      <c r="BY113" s="203" t="s">
        <v>5792</v>
      </c>
      <c r="BZ113" s="203" t="s">
        <v>5792</v>
      </c>
      <c r="CA113" s="203" t="s">
        <v>5792</v>
      </c>
      <c r="CB113" s="218" t="s">
        <v>5792</v>
      </c>
      <c r="CC113" s="32" t="s">
        <v>4449</v>
      </c>
      <c r="CD113" s="47">
        <v>235</v>
      </c>
      <c r="CE113" s="32">
        <v>300</v>
      </c>
      <c r="CF113" s="47">
        <v>360</v>
      </c>
      <c r="CG113" s="32">
        <v>450</v>
      </c>
      <c r="CH113" s="67">
        <v>200000</v>
      </c>
      <c r="CI113" s="107" t="s">
        <v>4449</v>
      </c>
      <c r="CJ113" s="47">
        <v>235</v>
      </c>
      <c r="CK113" s="32">
        <v>300</v>
      </c>
      <c r="CL113" s="60">
        <v>360</v>
      </c>
      <c r="CM113" s="32">
        <v>450</v>
      </c>
      <c r="CN113" s="67">
        <v>200000</v>
      </c>
      <c r="CO113" s="32" t="s">
        <v>4449</v>
      </c>
      <c r="CP113" s="47">
        <v>235</v>
      </c>
      <c r="CQ113" s="32">
        <v>300</v>
      </c>
      <c r="CR113" s="60">
        <v>360</v>
      </c>
      <c r="CS113" s="32">
        <v>450</v>
      </c>
      <c r="CT113" s="61">
        <v>200000</v>
      </c>
      <c r="CU113" s="207" t="s">
        <v>5792</v>
      </c>
      <c r="CV113" s="208" t="s">
        <v>5792</v>
      </c>
      <c r="CW113" s="208" t="s">
        <v>5792</v>
      </c>
      <c r="CX113" s="209" t="s">
        <v>5792</v>
      </c>
      <c r="CY113" s="207" t="s">
        <v>5792</v>
      </c>
      <c r="CZ113" s="208" t="s">
        <v>5792</v>
      </c>
      <c r="DA113" s="209" t="s">
        <v>5792</v>
      </c>
      <c r="DB113" s="283" t="s">
        <v>5792</v>
      </c>
      <c r="DC113" s="163">
        <v>8.8000000000000007</v>
      </c>
      <c r="DD113" s="163">
        <v>640</v>
      </c>
      <c r="DE113" s="32">
        <v>730</v>
      </c>
      <c r="DF113" s="163">
        <v>800</v>
      </c>
      <c r="DG113" s="32">
        <v>940</v>
      </c>
      <c r="DH113" s="61">
        <v>200000</v>
      </c>
      <c r="DI113" s="29" t="s">
        <v>15</v>
      </c>
      <c r="DJ113" s="32" t="s">
        <v>4435</v>
      </c>
      <c r="DK113" s="297" t="s">
        <v>4566</v>
      </c>
    </row>
    <row r="114" spans="1:115" ht="16.2" thickBot="1">
      <c r="A114" s="18">
        <v>109</v>
      </c>
      <c r="B114" s="327"/>
      <c r="C114" s="327"/>
      <c r="D114" s="347"/>
      <c r="E114" s="335"/>
      <c r="F114" s="326"/>
      <c r="G114" s="330"/>
      <c r="H114" s="330"/>
      <c r="I114" s="330"/>
      <c r="J114" s="41" t="s">
        <v>4412</v>
      </c>
      <c r="K114" s="306" t="s">
        <v>4383</v>
      </c>
      <c r="L114" s="163" t="s">
        <v>5792</v>
      </c>
      <c r="M114" s="306" t="s">
        <v>4508</v>
      </c>
      <c r="N114" s="163" t="s">
        <v>4751</v>
      </c>
      <c r="O114" s="18" t="s">
        <v>4507</v>
      </c>
      <c r="P114" s="163" t="s">
        <v>4420</v>
      </c>
      <c r="Q114" s="163" t="s">
        <v>4420</v>
      </c>
      <c r="R114" s="163" t="s">
        <v>6169</v>
      </c>
      <c r="S114" s="163">
        <v>10</v>
      </c>
      <c r="T114" s="163" t="s">
        <v>4420</v>
      </c>
      <c r="U114" s="163" t="s">
        <v>5792</v>
      </c>
      <c r="V114" s="163" t="s">
        <v>4559</v>
      </c>
      <c r="W114" s="18">
        <v>10</v>
      </c>
      <c r="X114" s="231">
        <v>0</v>
      </c>
      <c r="Y114" s="142">
        <v>0</v>
      </c>
      <c r="Z114" s="306" t="s">
        <v>4348</v>
      </c>
      <c r="AA114" s="21">
        <f>INDEX('[2]Cross-Section Database'!$C$2:$V$2928,MATCH(Z114,'[2]Cross-Section Database'!$B$2:$B$2928,0),3)</f>
        <v>260.3</v>
      </c>
      <c r="AB114" s="21">
        <f>INDEX('[2]Cross-Section Database'!$C$2:$V$2928,MATCH(Z114,'[2]Cross-Section Database'!$B$2:$B$2928,0),4)</f>
        <v>256.3</v>
      </c>
      <c r="AC114" s="21">
        <f>INDEX('[2]Cross-Section Database'!$C$2:$V$2928,MATCH(Z114,'[2]Cross-Section Database'!$B$2:$B$2928,0),6)</f>
        <v>17.3</v>
      </c>
      <c r="AD114" s="21">
        <f>INDEX('[2]Cross-Section Database'!$C$2:$V$2928,MATCH(Z114,'[2]Cross-Section Database'!$B$2:$B$2928,0),5)</f>
        <v>10.3</v>
      </c>
      <c r="AE114" s="33">
        <v>660</v>
      </c>
      <c r="AF114" s="306" t="s">
        <v>4217</v>
      </c>
      <c r="AG114" s="21">
        <f>INDEX('[2]Cross-Section Database'!$C$2:$V$2928,MATCH(AF114,'[2]Cross-Section Database'!$B$2:$B$2928,0),3)</f>
        <v>303.39999999999998</v>
      </c>
      <c r="AH114" s="21">
        <f>INDEX('[2]Cross-Section Database'!$C$2:$V$2928,MATCH(AF114,'[2]Cross-Section Database'!$B$2:$B$2928,0),4)</f>
        <v>165</v>
      </c>
      <c r="AI114" s="21">
        <f>INDEX('[2]Cross-Section Database'!$C$2:$V$2928,MATCH(AF114,'[2]Cross-Section Database'!$B$2:$B$2928,0),6)</f>
        <v>10.199999999999999</v>
      </c>
      <c r="AJ114" s="21">
        <f>INDEX('[2]Cross-Section Database'!$C$2:$V$2928,MATCH(AF114,'[2]Cross-Section Database'!$B$2:$B$2928,0),5)</f>
        <v>6</v>
      </c>
      <c r="AK114" s="253">
        <v>1350</v>
      </c>
      <c r="AL114" s="21">
        <f>INDEX('[2]Cross-Section Database'!$C$2:$V$3928,MATCH(AF114,'[2]Cross-Section Database'!$B$2:$B$3928,0),11)</f>
        <v>85030000</v>
      </c>
      <c r="AM114" s="24">
        <f>INDEX('[2]Cross-Section Database'!$C$2:$V$3928,MATCH(AF114,'[2]Cross-Section Database'!$B$2:$B$3928,0),12)</f>
        <v>623100</v>
      </c>
      <c r="AN114" s="21">
        <v>20</v>
      </c>
      <c r="AO114" s="21">
        <v>240</v>
      </c>
      <c r="AP114" s="21">
        <v>340</v>
      </c>
      <c r="AQ114" s="21">
        <v>15</v>
      </c>
      <c r="AR114" s="21">
        <v>15</v>
      </c>
      <c r="AS114" s="306" t="s">
        <v>5807</v>
      </c>
      <c r="AT114" s="60" t="s">
        <v>6134</v>
      </c>
      <c r="AU114" s="163">
        <v>25</v>
      </c>
      <c r="AV114" s="163">
        <v>20</v>
      </c>
      <c r="AW114" s="163">
        <f t="shared" si="30"/>
        <v>245</v>
      </c>
      <c r="AX114" s="21">
        <v>80</v>
      </c>
      <c r="AY114" s="21">
        <v>80</v>
      </c>
      <c r="AZ114" s="21">
        <v>70</v>
      </c>
      <c r="BA114" s="21">
        <v>120</v>
      </c>
      <c r="BB114" s="21">
        <v>105</v>
      </c>
      <c r="BC114" s="15" t="s">
        <v>4420</v>
      </c>
      <c r="BD114" s="163" t="s">
        <v>4465</v>
      </c>
      <c r="BE114" s="163" t="s">
        <v>6209</v>
      </c>
      <c r="BF114" s="163">
        <v>4</v>
      </c>
      <c r="BG114" s="163">
        <v>6</v>
      </c>
      <c r="BH114" s="202" t="s">
        <v>5792</v>
      </c>
      <c r="BI114" s="203" t="s">
        <v>5792</v>
      </c>
      <c r="BJ114" s="203" t="s">
        <v>5792</v>
      </c>
      <c r="BK114" s="203" t="s">
        <v>5792</v>
      </c>
      <c r="BL114" s="203" t="s">
        <v>5792</v>
      </c>
      <c r="BM114" s="203" t="s">
        <v>5792</v>
      </c>
      <c r="BN114" s="203" t="s">
        <v>5792</v>
      </c>
      <c r="BO114" s="203" t="s">
        <v>5792</v>
      </c>
      <c r="BP114" s="202" t="s">
        <v>5792</v>
      </c>
      <c r="BQ114" s="203" t="s">
        <v>5792</v>
      </c>
      <c r="BR114" s="203" t="s">
        <v>5792</v>
      </c>
      <c r="BS114" s="203" t="s">
        <v>5792</v>
      </c>
      <c r="BT114" s="203" t="s">
        <v>5792</v>
      </c>
      <c r="BU114" s="203" t="s">
        <v>5792</v>
      </c>
      <c r="BV114" s="218" t="s">
        <v>5792</v>
      </c>
      <c r="BW114" s="203" t="s">
        <v>5792</v>
      </c>
      <c r="BX114" s="203" t="s">
        <v>5792</v>
      </c>
      <c r="BY114" s="203" t="s">
        <v>5792</v>
      </c>
      <c r="BZ114" s="203" t="s">
        <v>5792</v>
      </c>
      <c r="CA114" s="203" t="s">
        <v>5792</v>
      </c>
      <c r="CB114" s="218" t="s">
        <v>5792</v>
      </c>
      <c r="CC114" s="32" t="s">
        <v>4449</v>
      </c>
      <c r="CD114" s="47">
        <v>235</v>
      </c>
      <c r="CE114" s="32">
        <v>300</v>
      </c>
      <c r="CF114" s="47">
        <v>360</v>
      </c>
      <c r="CG114" s="32">
        <v>450</v>
      </c>
      <c r="CH114" s="67">
        <v>200000</v>
      </c>
      <c r="CI114" s="107" t="s">
        <v>4449</v>
      </c>
      <c r="CJ114" s="47">
        <v>235</v>
      </c>
      <c r="CK114" s="32">
        <v>300</v>
      </c>
      <c r="CL114" s="60">
        <v>360</v>
      </c>
      <c r="CM114" s="32">
        <v>450</v>
      </c>
      <c r="CN114" s="67">
        <v>200000</v>
      </c>
      <c r="CO114" s="32" t="s">
        <v>4449</v>
      </c>
      <c r="CP114" s="47">
        <v>235</v>
      </c>
      <c r="CQ114" s="32">
        <v>300</v>
      </c>
      <c r="CR114" s="60">
        <v>360</v>
      </c>
      <c r="CS114" s="32">
        <v>450</v>
      </c>
      <c r="CT114" s="61">
        <v>200000</v>
      </c>
      <c r="CU114" s="207" t="s">
        <v>5792</v>
      </c>
      <c r="CV114" s="208" t="s">
        <v>5792</v>
      </c>
      <c r="CW114" s="208" t="s">
        <v>5792</v>
      </c>
      <c r="CX114" s="209" t="s">
        <v>5792</v>
      </c>
      <c r="CY114" s="207" t="s">
        <v>5792</v>
      </c>
      <c r="CZ114" s="208" t="s">
        <v>5792</v>
      </c>
      <c r="DA114" s="209" t="s">
        <v>5792</v>
      </c>
      <c r="DB114" s="283" t="s">
        <v>5792</v>
      </c>
      <c r="DC114" s="163">
        <v>8.8000000000000007</v>
      </c>
      <c r="DD114" s="163">
        <v>640</v>
      </c>
      <c r="DE114" s="32">
        <v>730</v>
      </c>
      <c r="DF114" s="163">
        <v>800</v>
      </c>
      <c r="DG114" s="32">
        <v>940</v>
      </c>
      <c r="DH114" s="61">
        <v>200000</v>
      </c>
      <c r="DI114" s="29" t="s">
        <v>15</v>
      </c>
      <c r="DJ114" s="32" t="s">
        <v>4435</v>
      </c>
      <c r="DK114" s="298" t="s">
        <v>4566</v>
      </c>
    </row>
    <row r="115" spans="1:115" ht="15.6" customHeight="1">
      <c r="A115" s="17">
        <v>110</v>
      </c>
      <c r="B115" s="326">
        <v>12</v>
      </c>
      <c r="C115" s="326">
        <v>1986</v>
      </c>
      <c r="D115" s="346" t="s">
        <v>4668</v>
      </c>
      <c r="E115" s="334" t="s">
        <v>4867</v>
      </c>
      <c r="F115" s="325">
        <v>4</v>
      </c>
      <c r="G115" s="329" t="s">
        <v>5906</v>
      </c>
      <c r="H115" s="326" t="s">
        <v>5902</v>
      </c>
      <c r="I115" s="326" t="s">
        <v>5687</v>
      </c>
      <c r="J115" s="43" t="s">
        <v>4457</v>
      </c>
      <c r="K115" s="305" t="s">
        <v>4383</v>
      </c>
      <c r="L115" s="30" t="s">
        <v>5792</v>
      </c>
      <c r="M115" s="305" t="s">
        <v>4508</v>
      </c>
      <c r="N115" s="162" t="s">
        <v>4751</v>
      </c>
      <c r="O115" s="17" t="s">
        <v>4507</v>
      </c>
      <c r="P115" s="162" t="s">
        <v>4420</v>
      </c>
      <c r="Q115" s="162" t="s">
        <v>4420</v>
      </c>
      <c r="R115" s="162" t="s">
        <v>6169</v>
      </c>
      <c r="S115" s="30">
        <v>15</v>
      </c>
      <c r="T115" s="162" t="s">
        <v>4420</v>
      </c>
      <c r="U115" s="162" t="s">
        <v>5792</v>
      </c>
      <c r="V115" s="30" t="s">
        <v>4559</v>
      </c>
      <c r="W115" s="88">
        <v>6</v>
      </c>
      <c r="X115" s="232">
        <v>0</v>
      </c>
      <c r="Y115" s="155">
        <v>0</v>
      </c>
      <c r="Z115" s="305" t="s">
        <v>4350</v>
      </c>
      <c r="AA115" s="16">
        <f>INDEX('[2]Cross-Section Database'!$C$2:$V$2928,MATCH(Z115,'[2]Cross-Section Database'!$B$2:$B$2928,0),3)</f>
        <v>276.3</v>
      </c>
      <c r="AB115" s="16">
        <f>INDEX('[2]Cross-Section Database'!$C$2:$V$2928,MATCH(Z115,'[2]Cross-Section Database'!$B$2:$B$2928,0),4)</f>
        <v>261.3</v>
      </c>
      <c r="AC115" s="16">
        <f>INDEX('[2]Cross-Section Database'!$C$2:$V$2928,MATCH(Z115,'[2]Cross-Section Database'!$B$2:$B$2928,0),6)</f>
        <v>25.3</v>
      </c>
      <c r="AD115" s="16">
        <f>INDEX('[2]Cross-Section Database'!$C$2:$V$2928,MATCH(Z115,'[2]Cross-Section Database'!$B$2:$B$2928,0),5)</f>
        <v>15.3</v>
      </c>
      <c r="AE115" s="31">
        <v>660</v>
      </c>
      <c r="AF115" s="305" t="s">
        <v>4219</v>
      </c>
      <c r="AG115" s="16">
        <f>INDEX('[2]Cross-Section Database'!$C$2:$V$2928,MATCH(AF115,'[2]Cross-Section Database'!$B$2:$B$2928,0),3)</f>
        <v>310.39999999999998</v>
      </c>
      <c r="AH115" s="16">
        <f>INDEX('[2]Cross-Section Database'!$C$2:$V$2928,MATCH(AF115,'[2]Cross-Section Database'!$B$2:$B$2928,0),4)</f>
        <v>166.9</v>
      </c>
      <c r="AI115" s="16">
        <f>INDEX('[2]Cross-Section Database'!$C$2:$V$2928,MATCH(AF115,'[2]Cross-Section Database'!$B$2:$B$2928,0),6)</f>
        <v>13.7</v>
      </c>
      <c r="AJ115" s="16">
        <f>INDEX('[2]Cross-Section Database'!$C$2:$V$2928,MATCH(AF115,'[2]Cross-Section Database'!$B$2:$B$2928,0),5)</f>
        <v>7.9</v>
      </c>
      <c r="AK115" s="252">
        <v>1350</v>
      </c>
      <c r="AL115" s="16">
        <f>INDEX('[2]Cross-Section Database'!$C$2:$V$3928,MATCH(AF115,'[2]Cross-Section Database'!$B$2:$B$3928,0),11)</f>
        <v>117000000</v>
      </c>
      <c r="AM115" s="26">
        <f>INDEX('[2]Cross-Section Database'!$C$2:$V$3928,MATCH(AF115,'[2]Cross-Section Database'!$B$2:$B$3928,0),12)</f>
        <v>846100</v>
      </c>
      <c r="AN115" s="16">
        <v>12</v>
      </c>
      <c r="AO115" s="16">
        <v>200</v>
      </c>
      <c r="AP115" s="16">
        <v>325</v>
      </c>
      <c r="AQ115" s="16">
        <f>(AP115-AG115)-AR115</f>
        <v>7.3000000000000114</v>
      </c>
      <c r="AR115" s="16">
        <f>(AP115-AG115)/2</f>
        <v>7.3000000000000114</v>
      </c>
      <c r="AS115" s="305" t="s">
        <v>5807</v>
      </c>
      <c r="AT115" s="162" t="s">
        <v>4750</v>
      </c>
      <c r="AU115" s="162">
        <v>0</v>
      </c>
      <c r="AV115" s="162">
        <v>20</v>
      </c>
      <c r="AW115" s="162">
        <f t="shared" si="30"/>
        <v>245</v>
      </c>
      <c r="AX115" s="16">
        <v>80</v>
      </c>
      <c r="AY115" s="16">
        <f>AX115</f>
        <v>80</v>
      </c>
      <c r="AZ115" s="16">
        <v>70</v>
      </c>
      <c r="BA115" s="16">
        <v>120</v>
      </c>
      <c r="BB115" s="39">
        <f>AP115-AX115-AY115-AZ115</f>
        <v>95</v>
      </c>
      <c r="BC115" s="22" t="s">
        <v>4420</v>
      </c>
      <c r="BD115" s="162" t="s">
        <v>4465</v>
      </c>
      <c r="BE115" s="162" t="s">
        <v>6209</v>
      </c>
      <c r="BF115" s="162">
        <v>4</v>
      </c>
      <c r="BG115" s="162">
        <v>6</v>
      </c>
      <c r="BH115" s="200" t="s">
        <v>5792</v>
      </c>
      <c r="BI115" s="201" t="s">
        <v>5792</v>
      </c>
      <c r="BJ115" s="201" t="s">
        <v>5792</v>
      </c>
      <c r="BK115" s="201" t="s">
        <v>5792</v>
      </c>
      <c r="BL115" s="201" t="s">
        <v>5792</v>
      </c>
      <c r="BM115" s="201" t="s">
        <v>5792</v>
      </c>
      <c r="BN115" s="201" t="s">
        <v>5792</v>
      </c>
      <c r="BO115" s="201" t="s">
        <v>5792</v>
      </c>
      <c r="BP115" s="200" t="s">
        <v>5792</v>
      </c>
      <c r="BQ115" s="201" t="s">
        <v>5792</v>
      </c>
      <c r="BR115" s="201" t="s">
        <v>5792</v>
      </c>
      <c r="BS115" s="201" t="s">
        <v>5792</v>
      </c>
      <c r="BT115" s="201" t="s">
        <v>5792</v>
      </c>
      <c r="BU115" s="201" t="s">
        <v>5792</v>
      </c>
      <c r="BV115" s="219" t="s">
        <v>5792</v>
      </c>
      <c r="BW115" s="201" t="s">
        <v>5792</v>
      </c>
      <c r="BX115" s="201" t="s">
        <v>5792</v>
      </c>
      <c r="BY115" s="201" t="s">
        <v>5792</v>
      </c>
      <c r="BZ115" s="201" t="s">
        <v>5792</v>
      </c>
      <c r="CA115" s="201" t="s">
        <v>5792</v>
      </c>
      <c r="CB115" s="219" t="s">
        <v>5792</v>
      </c>
      <c r="CC115" s="146" t="s">
        <v>5665</v>
      </c>
      <c r="CD115" s="72">
        <v>275</v>
      </c>
      <c r="CE115" s="30">
        <v>300</v>
      </c>
      <c r="CF115" s="72">
        <v>410</v>
      </c>
      <c r="CG115" s="30">
        <v>450</v>
      </c>
      <c r="CH115" s="66">
        <v>200000</v>
      </c>
      <c r="CI115" s="146" t="s">
        <v>5665</v>
      </c>
      <c r="CJ115" s="72">
        <v>275</v>
      </c>
      <c r="CK115" s="30">
        <v>300</v>
      </c>
      <c r="CL115" s="65">
        <v>410</v>
      </c>
      <c r="CM115" s="30">
        <v>450</v>
      </c>
      <c r="CN115" s="66">
        <v>200000</v>
      </c>
      <c r="CO115" s="146" t="s">
        <v>5665</v>
      </c>
      <c r="CP115" s="72">
        <v>275</v>
      </c>
      <c r="CQ115" s="30">
        <v>300</v>
      </c>
      <c r="CR115" s="65">
        <v>410</v>
      </c>
      <c r="CS115" s="30">
        <v>450</v>
      </c>
      <c r="CT115" s="66">
        <v>200000</v>
      </c>
      <c r="CU115" s="204" t="s">
        <v>5792</v>
      </c>
      <c r="CV115" s="205" t="s">
        <v>5792</v>
      </c>
      <c r="CW115" s="205" t="s">
        <v>5792</v>
      </c>
      <c r="CX115" s="206" t="s">
        <v>5792</v>
      </c>
      <c r="CY115" s="204" t="s">
        <v>5792</v>
      </c>
      <c r="CZ115" s="205" t="s">
        <v>5792</v>
      </c>
      <c r="DA115" s="206" t="s">
        <v>5792</v>
      </c>
      <c r="DB115" s="282" t="s">
        <v>5792</v>
      </c>
      <c r="DC115" s="162" t="s">
        <v>4422</v>
      </c>
      <c r="DD115" s="162">
        <v>640</v>
      </c>
      <c r="DE115" s="30">
        <v>730</v>
      </c>
      <c r="DF115" s="162">
        <v>800</v>
      </c>
      <c r="DG115" s="30">
        <v>940</v>
      </c>
      <c r="DH115" s="76">
        <v>200000</v>
      </c>
      <c r="DI115" s="28" t="s">
        <v>5837</v>
      </c>
      <c r="DJ115" s="30" t="s">
        <v>4435</v>
      </c>
      <c r="DK115" s="296" t="s">
        <v>4566</v>
      </c>
    </row>
    <row r="116" spans="1:115">
      <c r="A116" s="18">
        <v>111</v>
      </c>
      <c r="B116" s="326"/>
      <c r="C116" s="326"/>
      <c r="D116" s="346"/>
      <c r="E116" s="334"/>
      <c r="F116" s="326"/>
      <c r="G116" s="329"/>
      <c r="H116" s="326"/>
      <c r="I116" s="326"/>
      <c r="J116" s="41" t="s">
        <v>4458</v>
      </c>
      <c r="K116" s="306" t="s">
        <v>4383</v>
      </c>
      <c r="L116" s="32" t="s">
        <v>5792</v>
      </c>
      <c r="M116" s="306" t="s">
        <v>4508</v>
      </c>
      <c r="N116" s="163" t="s">
        <v>4751</v>
      </c>
      <c r="O116" s="18" t="s">
        <v>4507</v>
      </c>
      <c r="P116" s="163" t="s">
        <v>4420</v>
      </c>
      <c r="Q116" s="163" t="s">
        <v>4420</v>
      </c>
      <c r="R116" s="163" t="s">
        <v>6169</v>
      </c>
      <c r="S116" s="32">
        <v>15</v>
      </c>
      <c r="T116" s="163" t="s">
        <v>4420</v>
      </c>
      <c r="U116" s="163" t="s">
        <v>5792</v>
      </c>
      <c r="V116" s="32" t="s">
        <v>4559</v>
      </c>
      <c r="W116" s="73">
        <v>6</v>
      </c>
      <c r="X116" s="231">
        <v>0</v>
      </c>
      <c r="Y116" s="142">
        <v>0</v>
      </c>
      <c r="Z116" s="306" t="s">
        <v>4350</v>
      </c>
      <c r="AA116" s="21">
        <f>INDEX('[2]Cross-Section Database'!$C$2:$V$2928,MATCH(Z116,'[2]Cross-Section Database'!$B$2:$B$2928,0),3)</f>
        <v>276.3</v>
      </c>
      <c r="AB116" s="21">
        <f>INDEX('[2]Cross-Section Database'!$C$2:$V$2928,MATCH(Z116,'[2]Cross-Section Database'!$B$2:$B$2928,0),4)</f>
        <v>261.3</v>
      </c>
      <c r="AC116" s="21">
        <f>INDEX('[2]Cross-Section Database'!$C$2:$V$2928,MATCH(Z116,'[2]Cross-Section Database'!$B$2:$B$2928,0),6)</f>
        <v>25.3</v>
      </c>
      <c r="AD116" s="21">
        <f>INDEX('[2]Cross-Section Database'!$C$2:$V$2928,MATCH(Z116,'[2]Cross-Section Database'!$B$2:$B$2928,0),5)</f>
        <v>15.3</v>
      </c>
      <c r="AE116" s="33">
        <v>660</v>
      </c>
      <c r="AF116" s="306" t="s">
        <v>4219</v>
      </c>
      <c r="AG116" s="21">
        <f>INDEX('[2]Cross-Section Database'!$C$2:$V$2928,MATCH(AF116,'[2]Cross-Section Database'!$B$2:$B$2928,0),3)</f>
        <v>310.39999999999998</v>
      </c>
      <c r="AH116" s="21">
        <f>INDEX('[2]Cross-Section Database'!$C$2:$V$2928,MATCH(AF116,'[2]Cross-Section Database'!$B$2:$B$2928,0),4)</f>
        <v>166.9</v>
      </c>
      <c r="AI116" s="21">
        <f>INDEX('[2]Cross-Section Database'!$C$2:$V$2928,MATCH(AF116,'[2]Cross-Section Database'!$B$2:$B$2928,0),6)</f>
        <v>13.7</v>
      </c>
      <c r="AJ116" s="21">
        <f>INDEX('[2]Cross-Section Database'!$C$2:$V$2928,MATCH(AF116,'[2]Cross-Section Database'!$B$2:$B$2928,0),5)</f>
        <v>7.9</v>
      </c>
      <c r="AK116" s="253">
        <v>1350</v>
      </c>
      <c r="AL116" s="21">
        <f>INDEX('[2]Cross-Section Database'!$C$2:$V$3928,MATCH(AF116,'[2]Cross-Section Database'!$B$2:$B$3928,0),11)</f>
        <v>117000000</v>
      </c>
      <c r="AM116" s="24">
        <f>INDEX('[2]Cross-Section Database'!$C$2:$V$3928,MATCH(AF116,'[2]Cross-Section Database'!$B$2:$B$3928,0),12)</f>
        <v>846100</v>
      </c>
      <c r="AN116" s="21">
        <v>15</v>
      </c>
      <c r="AO116" s="21">
        <v>200</v>
      </c>
      <c r="AP116" s="21">
        <v>325</v>
      </c>
      <c r="AQ116" s="21">
        <f>(AP116-AG116)-AR116</f>
        <v>7.3000000000000114</v>
      </c>
      <c r="AR116" s="21">
        <f>(AP116-AG116)/2</f>
        <v>7.3000000000000114</v>
      </c>
      <c r="AS116" s="306" t="s">
        <v>5807</v>
      </c>
      <c r="AT116" s="163" t="s">
        <v>4750</v>
      </c>
      <c r="AU116" s="163">
        <v>0</v>
      </c>
      <c r="AV116" s="163">
        <v>20</v>
      </c>
      <c r="AW116" s="163">
        <f t="shared" si="30"/>
        <v>245</v>
      </c>
      <c r="AX116" s="21">
        <v>80</v>
      </c>
      <c r="AY116" s="21">
        <f>AX116</f>
        <v>80</v>
      </c>
      <c r="AZ116" s="21">
        <v>70</v>
      </c>
      <c r="BA116" s="21">
        <v>120</v>
      </c>
      <c r="BB116" s="21">
        <f>AP116-AX116-AY116-AZ116</f>
        <v>95</v>
      </c>
      <c r="BC116" s="15" t="s">
        <v>4420</v>
      </c>
      <c r="BD116" s="163" t="s">
        <v>4465</v>
      </c>
      <c r="BE116" s="163" t="s">
        <v>6209</v>
      </c>
      <c r="BF116" s="163">
        <v>4</v>
      </c>
      <c r="BG116" s="163">
        <v>6</v>
      </c>
      <c r="BH116" s="202" t="s">
        <v>5792</v>
      </c>
      <c r="BI116" s="203" t="s">
        <v>5792</v>
      </c>
      <c r="BJ116" s="203" t="s">
        <v>5792</v>
      </c>
      <c r="BK116" s="203" t="s">
        <v>5792</v>
      </c>
      <c r="BL116" s="203" t="s">
        <v>5792</v>
      </c>
      <c r="BM116" s="203" t="s">
        <v>5792</v>
      </c>
      <c r="BN116" s="203" t="s">
        <v>5792</v>
      </c>
      <c r="BO116" s="203" t="s">
        <v>5792</v>
      </c>
      <c r="BP116" s="202" t="s">
        <v>5792</v>
      </c>
      <c r="BQ116" s="203" t="s">
        <v>5792</v>
      </c>
      <c r="BR116" s="203" t="s">
        <v>5792</v>
      </c>
      <c r="BS116" s="203" t="s">
        <v>5792</v>
      </c>
      <c r="BT116" s="203" t="s">
        <v>5792</v>
      </c>
      <c r="BU116" s="203" t="s">
        <v>5792</v>
      </c>
      <c r="BV116" s="218" t="s">
        <v>5792</v>
      </c>
      <c r="BW116" s="203" t="s">
        <v>5792</v>
      </c>
      <c r="BX116" s="203" t="s">
        <v>5792</v>
      </c>
      <c r="BY116" s="203" t="s">
        <v>5792</v>
      </c>
      <c r="BZ116" s="203" t="s">
        <v>5792</v>
      </c>
      <c r="CA116" s="203" t="s">
        <v>5792</v>
      </c>
      <c r="CB116" s="218" t="s">
        <v>5792</v>
      </c>
      <c r="CC116" s="136" t="s">
        <v>5665</v>
      </c>
      <c r="CD116" s="47">
        <v>275</v>
      </c>
      <c r="CE116" s="32">
        <v>300</v>
      </c>
      <c r="CF116" s="47">
        <v>410</v>
      </c>
      <c r="CG116" s="32">
        <v>450</v>
      </c>
      <c r="CH116" s="67">
        <v>200000</v>
      </c>
      <c r="CI116" s="136" t="s">
        <v>5665</v>
      </c>
      <c r="CJ116" s="47">
        <v>275</v>
      </c>
      <c r="CK116" s="32">
        <v>300</v>
      </c>
      <c r="CL116" s="60">
        <v>410</v>
      </c>
      <c r="CM116" s="32">
        <v>450</v>
      </c>
      <c r="CN116" s="67">
        <v>200000</v>
      </c>
      <c r="CO116" s="136" t="s">
        <v>5665</v>
      </c>
      <c r="CP116" s="47">
        <v>275</v>
      </c>
      <c r="CQ116" s="32">
        <v>300</v>
      </c>
      <c r="CR116" s="60">
        <v>410</v>
      </c>
      <c r="CS116" s="32">
        <v>450</v>
      </c>
      <c r="CT116" s="67">
        <v>200000</v>
      </c>
      <c r="CU116" s="207" t="s">
        <v>5792</v>
      </c>
      <c r="CV116" s="208" t="s">
        <v>5792</v>
      </c>
      <c r="CW116" s="208" t="s">
        <v>5792</v>
      </c>
      <c r="CX116" s="209" t="s">
        <v>5792</v>
      </c>
      <c r="CY116" s="207" t="s">
        <v>5792</v>
      </c>
      <c r="CZ116" s="208" t="s">
        <v>5792</v>
      </c>
      <c r="DA116" s="209" t="s">
        <v>5792</v>
      </c>
      <c r="DB116" s="283" t="s">
        <v>5792</v>
      </c>
      <c r="DC116" s="163" t="s">
        <v>4422</v>
      </c>
      <c r="DD116" s="163">
        <v>640</v>
      </c>
      <c r="DE116" s="32">
        <v>730</v>
      </c>
      <c r="DF116" s="163">
        <v>800</v>
      </c>
      <c r="DG116" s="32">
        <v>940</v>
      </c>
      <c r="DH116" s="61">
        <v>200000</v>
      </c>
      <c r="DI116" s="29" t="s">
        <v>5838</v>
      </c>
      <c r="DJ116" s="32" t="s">
        <v>4435</v>
      </c>
      <c r="DK116" s="297" t="s">
        <v>4566</v>
      </c>
    </row>
    <row r="117" spans="1:115">
      <c r="A117" s="18">
        <v>112</v>
      </c>
      <c r="B117" s="326"/>
      <c r="C117" s="326"/>
      <c r="D117" s="346"/>
      <c r="E117" s="334"/>
      <c r="F117" s="326"/>
      <c r="G117" s="329"/>
      <c r="H117" s="326"/>
      <c r="I117" s="326"/>
      <c r="J117" s="41" t="s">
        <v>4459</v>
      </c>
      <c r="K117" s="306" t="s">
        <v>4383</v>
      </c>
      <c r="L117" s="32" t="s">
        <v>5792</v>
      </c>
      <c r="M117" s="306" t="s">
        <v>4508</v>
      </c>
      <c r="N117" s="163" t="s">
        <v>4751</v>
      </c>
      <c r="O117" s="18" t="s">
        <v>4507</v>
      </c>
      <c r="P117" s="163" t="s">
        <v>4420</v>
      </c>
      <c r="Q117" s="163" t="s">
        <v>4420</v>
      </c>
      <c r="R117" s="163" t="s">
        <v>6169</v>
      </c>
      <c r="S117" s="32">
        <v>15</v>
      </c>
      <c r="T117" s="163" t="s">
        <v>4420</v>
      </c>
      <c r="U117" s="163" t="s">
        <v>5792</v>
      </c>
      <c r="V117" s="32" t="s">
        <v>4559</v>
      </c>
      <c r="W117" s="73">
        <v>6</v>
      </c>
      <c r="X117" s="231">
        <v>0</v>
      </c>
      <c r="Y117" s="142">
        <v>0</v>
      </c>
      <c r="Z117" s="306" t="s">
        <v>4350</v>
      </c>
      <c r="AA117" s="21">
        <f>INDEX('[2]Cross-Section Database'!$C$2:$V$2928,MATCH(Z117,'[2]Cross-Section Database'!$B$2:$B$2928,0),3)</f>
        <v>276.3</v>
      </c>
      <c r="AB117" s="21">
        <f>INDEX('[2]Cross-Section Database'!$C$2:$V$2928,MATCH(Z117,'[2]Cross-Section Database'!$B$2:$B$2928,0),4)</f>
        <v>261.3</v>
      </c>
      <c r="AC117" s="21">
        <f>INDEX('[2]Cross-Section Database'!$C$2:$V$2928,MATCH(Z117,'[2]Cross-Section Database'!$B$2:$B$2928,0),6)</f>
        <v>25.3</v>
      </c>
      <c r="AD117" s="21">
        <f>INDEX('[2]Cross-Section Database'!$C$2:$V$2928,MATCH(Z117,'[2]Cross-Section Database'!$B$2:$B$2928,0),5)</f>
        <v>15.3</v>
      </c>
      <c r="AE117" s="33">
        <v>660</v>
      </c>
      <c r="AF117" s="306" t="s">
        <v>4219</v>
      </c>
      <c r="AG117" s="21">
        <f>INDEX('[2]Cross-Section Database'!$C$2:$V$2928,MATCH(AF117,'[2]Cross-Section Database'!$B$2:$B$2928,0),3)</f>
        <v>310.39999999999998</v>
      </c>
      <c r="AH117" s="21">
        <f>INDEX('[2]Cross-Section Database'!$C$2:$V$2928,MATCH(AF117,'[2]Cross-Section Database'!$B$2:$B$2928,0),4)</f>
        <v>166.9</v>
      </c>
      <c r="AI117" s="21">
        <f>INDEX('[2]Cross-Section Database'!$C$2:$V$2928,MATCH(AF117,'[2]Cross-Section Database'!$B$2:$B$2928,0),6)</f>
        <v>13.7</v>
      </c>
      <c r="AJ117" s="21">
        <f>INDEX('[2]Cross-Section Database'!$C$2:$V$2928,MATCH(AF117,'[2]Cross-Section Database'!$B$2:$B$2928,0),5)</f>
        <v>7.9</v>
      </c>
      <c r="AK117" s="253">
        <v>1350</v>
      </c>
      <c r="AL117" s="21">
        <f>INDEX('[2]Cross-Section Database'!$C$2:$V$3928,MATCH(AF117,'[2]Cross-Section Database'!$B$2:$B$3928,0),11)</f>
        <v>117000000</v>
      </c>
      <c r="AM117" s="24">
        <f>INDEX('[2]Cross-Section Database'!$C$2:$V$3928,MATCH(AF117,'[2]Cross-Section Database'!$B$2:$B$3928,0),12)</f>
        <v>846100</v>
      </c>
      <c r="AN117" s="21">
        <v>20</v>
      </c>
      <c r="AO117" s="21">
        <v>200</v>
      </c>
      <c r="AP117" s="21">
        <v>325</v>
      </c>
      <c r="AQ117" s="21">
        <f>(AP117-AG117)-AR117</f>
        <v>7.3000000000000114</v>
      </c>
      <c r="AR117" s="21">
        <f>(AP117-AG117)/2</f>
        <v>7.3000000000000114</v>
      </c>
      <c r="AS117" s="306" t="s">
        <v>5807</v>
      </c>
      <c r="AT117" s="163" t="s">
        <v>4750</v>
      </c>
      <c r="AU117" s="163">
        <v>0</v>
      </c>
      <c r="AV117" s="163">
        <v>20</v>
      </c>
      <c r="AW117" s="163">
        <f t="shared" si="30"/>
        <v>245</v>
      </c>
      <c r="AX117" s="21">
        <v>80</v>
      </c>
      <c r="AY117" s="21">
        <f>AX117</f>
        <v>80</v>
      </c>
      <c r="AZ117" s="21">
        <v>70</v>
      </c>
      <c r="BA117" s="21">
        <v>120</v>
      </c>
      <c r="BB117" s="21">
        <f>AP117-AX117-AY117-AZ117</f>
        <v>95</v>
      </c>
      <c r="BC117" s="15" t="s">
        <v>4420</v>
      </c>
      <c r="BD117" s="163" t="s">
        <v>4465</v>
      </c>
      <c r="BE117" s="163" t="s">
        <v>6209</v>
      </c>
      <c r="BF117" s="163">
        <v>4</v>
      </c>
      <c r="BG117" s="163">
        <v>6</v>
      </c>
      <c r="BH117" s="202" t="s">
        <v>5792</v>
      </c>
      <c r="BI117" s="203" t="s">
        <v>5792</v>
      </c>
      <c r="BJ117" s="203" t="s">
        <v>5792</v>
      </c>
      <c r="BK117" s="203" t="s">
        <v>5792</v>
      </c>
      <c r="BL117" s="203" t="s">
        <v>5792</v>
      </c>
      <c r="BM117" s="203" t="s">
        <v>5792</v>
      </c>
      <c r="BN117" s="203" t="s">
        <v>5792</v>
      </c>
      <c r="BO117" s="203" t="s">
        <v>5792</v>
      </c>
      <c r="BP117" s="202" t="s">
        <v>5792</v>
      </c>
      <c r="BQ117" s="203" t="s">
        <v>5792</v>
      </c>
      <c r="BR117" s="203" t="s">
        <v>5792</v>
      </c>
      <c r="BS117" s="203" t="s">
        <v>5792</v>
      </c>
      <c r="BT117" s="203" t="s">
        <v>5792</v>
      </c>
      <c r="BU117" s="203" t="s">
        <v>5792</v>
      </c>
      <c r="BV117" s="218" t="s">
        <v>5792</v>
      </c>
      <c r="BW117" s="203" t="s">
        <v>5792</v>
      </c>
      <c r="BX117" s="203" t="s">
        <v>5792</v>
      </c>
      <c r="BY117" s="203" t="s">
        <v>5792</v>
      </c>
      <c r="BZ117" s="203" t="s">
        <v>5792</v>
      </c>
      <c r="CA117" s="203" t="s">
        <v>5792</v>
      </c>
      <c r="CB117" s="218" t="s">
        <v>5792</v>
      </c>
      <c r="CC117" s="136" t="s">
        <v>5665</v>
      </c>
      <c r="CD117" s="47">
        <v>275</v>
      </c>
      <c r="CE117" s="32">
        <v>300</v>
      </c>
      <c r="CF117" s="47">
        <v>410</v>
      </c>
      <c r="CG117" s="32">
        <v>450</v>
      </c>
      <c r="CH117" s="67">
        <v>200000</v>
      </c>
      <c r="CI117" s="136" t="s">
        <v>5665</v>
      </c>
      <c r="CJ117" s="47">
        <v>275</v>
      </c>
      <c r="CK117" s="32">
        <v>300</v>
      </c>
      <c r="CL117" s="60">
        <v>410</v>
      </c>
      <c r="CM117" s="32">
        <v>450</v>
      </c>
      <c r="CN117" s="67">
        <v>200000</v>
      </c>
      <c r="CO117" s="136" t="s">
        <v>5665</v>
      </c>
      <c r="CP117" s="47">
        <v>275</v>
      </c>
      <c r="CQ117" s="32">
        <v>300</v>
      </c>
      <c r="CR117" s="60">
        <v>410</v>
      </c>
      <c r="CS117" s="32">
        <v>450</v>
      </c>
      <c r="CT117" s="67">
        <v>200000</v>
      </c>
      <c r="CU117" s="207" t="s">
        <v>5792</v>
      </c>
      <c r="CV117" s="208" t="s">
        <v>5792</v>
      </c>
      <c r="CW117" s="208" t="s">
        <v>5792</v>
      </c>
      <c r="CX117" s="209" t="s">
        <v>5792</v>
      </c>
      <c r="CY117" s="207" t="s">
        <v>5792</v>
      </c>
      <c r="CZ117" s="208" t="s">
        <v>5792</v>
      </c>
      <c r="DA117" s="209" t="s">
        <v>5792</v>
      </c>
      <c r="DB117" s="283" t="s">
        <v>5792</v>
      </c>
      <c r="DC117" s="163" t="s">
        <v>4422</v>
      </c>
      <c r="DD117" s="163">
        <v>640</v>
      </c>
      <c r="DE117" s="32">
        <v>730</v>
      </c>
      <c r="DF117" s="163">
        <v>800</v>
      </c>
      <c r="DG117" s="32">
        <v>940</v>
      </c>
      <c r="DH117" s="61">
        <v>200000</v>
      </c>
      <c r="DI117" s="29" t="s">
        <v>15</v>
      </c>
      <c r="DJ117" s="32" t="s">
        <v>4435</v>
      </c>
      <c r="DK117" s="297" t="s">
        <v>4566</v>
      </c>
    </row>
    <row r="118" spans="1:115" ht="16.2" thickBot="1">
      <c r="A118" s="18">
        <v>113</v>
      </c>
      <c r="B118" s="327"/>
      <c r="C118" s="327"/>
      <c r="D118" s="347"/>
      <c r="E118" s="335"/>
      <c r="F118" s="327"/>
      <c r="G118" s="330"/>
      <c r="H118" s="327"/>
      <c r="I118" s="327"/>
      <c r="J118" s="41" t="s">
        <v>4460</v>
      </c>
      <c r="K118" s="306" t="s">
        <v>4383</v>
      </c>
      <c r="L118" s="32" t="s">
        <v>5792</v>
      </c>
      <c r="M118" s="306" t="s">
        <v>4508</v>
      </c>
      <c r="N118" s="163" t="s">
        <v>4751</v>
      </c>
      <c r="O118" s="18" t="s">
        <v>4507</v>
      </c>
      <c r="P118" s="163" t="s">
        <v>4420</v>
      </c>
      <c r="Q118" s="163" t="s">
        <v>4420</v>
      </c>
      <c r="R118" s="163" t="s">
        <v>6169</v>
      </c>
      <c r="S118" s="32">
        <v>15</v>
      </c>
      <c r="T118" s="163" t="s">
        <v>4420</v>
      </c>
      <c r="U118" s="163" t="s">
        <v>5792</v>
      </c>
      <c r="V118" s="32" t="s">
        <v>4559</v>
      </c>
      <c r="W118" s="73">
        <v>6</v>
      </c>
      <c r="X118" s="231">
        <v>0</v>
      </c>
      <c r="Y118" s="142">
        <v>0</v>
      </c>
      <c r="Z118" s="306" t="s">
        <v>4350</v>
      </c>
      <c r="AA118" s="21">
        <f>INDEX('[2]Cross-Section Database'!$C$2:$V$2928,MATCH(Z118,'[2]Cross-Section Database'!$B$2:$B$2928,0),3)</f>
        <v>276.3</v>
      </c>
      <c r="AB118" s="21">
        <f>INDEX('[2]Cross-Section Database'!$C$2:$V$2928,MATCH(Z118,'[2]Cross-Section Database'!$B$2:$B$2928,0),4)</f>
        <v>261.3</v>
      </c>
      <c r="AC118" s="21">
        <f>INDEX('[2]Cross-Section Database'!$C$2:$V$2928,MATCH(Z118,'[2]Cross-Section Database'!$B$2:$B$2928,0),6)</f>
        <v>25.3</v>
      </c>
      <c r="AD118" s="21">
        <f>INDEX('[2]Cross-Section Database'!$C$2:$V$2928,MATCH(Z118,'[2]Cross-Section Database'!$B$2:$B$2928,0),5)</f>
        <v>15.3</v>
      </c>
      <c r="AE118" s="33">
        <v>660</v>
      </c>
      <c r="AF118" s="306" t="s">
        <v>4219</v>
      </c>
      <c r="AG118" s="21">
        <f>INDEX('[2]Cross-Section Database'!$C$2:$V$2928,MATCH(AF118,'[2]Cross-Section Database'!$B$2:$B$2928,0),3)</f>
        <v>310.39999999999998</v>
      </c>
      <c r="AH118" s="21">
        <f>INDEX('[2]Cross-Section Database'!$C$2:$V$2928,MATCH(AF118,'[2]Cross-Section Database'!$B$2:$B$2928,0),4)</f>
        <v>166.9</v>
      </c>
      <c r="AI118" s="21">
        <f>INDEX('[2]Cross-Section Database'!$C$2:$V$2928,MATCH(AF118,'[2]Cross-Section Database'!$B$2:$B$2928,0),6)</f>
        <v>13.7</v>
      </c>
      <c r="AJ118" s="21">
        <f>INDEX('[2]Cross-Section Database'!$C$2:$V$2928,MATCH(AF118,'[2]Cross-Section Database'!$B$2:$B$2928,0),5)</f>
        <v>7.9</v>
      </c>
      <c r="AK118" s="253">
        <v>1350</v>
      </c>
      <c r="AL118" s="21">
        <f>INDEX('[2]Cross-Section Database'!$C$2:$V$3928,MATCH(AF118,'[2]Cross-Section Database'!$B$2:$B$3928,0),11)</f>
        <v>117000000</v>
      </c>
      <c r="AM118" s="24">
        <f>INDEX('[2]Cross-Section Database'!$C$2:$V$3928,MATCH(AF118,'[2]Cross-Section Database'!$B$2:$B$3928,0),12)</f>
        <v>846100</v>
      </c>
      <c r="AN118" s="21">
        <v>25</v>
      </c>
      <c r="AO118" s="21">
        <v>200</v>
      </c>
      <c r="AP118" s="21">
        <v>325</v>
      </c>
      <c r="AQ118" s="21">
        <f>(AP118-AG118)-AR118</f>
        <v>7.3000000000000114</v>
      </c>
      <c r="AR118" s="21">
        <f>(AP118-AG118)/2</f>
        <v>7.3000000000000114</v>
      </c>
      <c r="AS118" s="306" t="s">
        <v>5807</v>
      </c>
      <c r="AT118" s="163" t="s">
        <v>4750</v>
      </c>
      <c r="AU118" s="163">
        <v>0</v>
      </c>
      <c r="AV118" s="163">
        <v>20</v>
      </c>
      <c r="AW118" s="163">
        <f t="shared" si="30"/>
        <v>245</v>
      </c>
      <c r="AX118" s="21">
        <v>80</v>
      </c>
      <c r="AY118" s="21">
        <f>AX118</f>
        <v>80</v>
      </c>
      <c r="AZ118" s="21">
        <v>70</v>
      </c>
      <c r="BA118" s="21">
        <v>120</v>
      </c>
      <c r="BB118" s="21">
        <f>AP118-AX118-AY118-AZ118</f>
        <v>95</v>
      </c>
      <c r="BC118" s="15" t="s">
        <v>4420</v>
      </c>
      <c r="BD118" s="163" t="s">
        <v>4465</v>
      </c>
      <c r="BE118" s="163" t="s">
        <v>6209</v>
      </c>
      <c r="BF118" s="163">
        <v>4</v>
      </c>
      <c r="BG118" s="163">
        <v>6</v>
      </c>
      <c r="BH118" s="202" t="s">
        <v>5792</v>
      </c>
      <c r="BI118" s="203" t="s">
        <v>5792</v>
      </c>
      <c r="BJ118" s="203" t="s">
        <v>5792</v>
      </c>
      <c r="BK118" s="203" t="s">
        <v>5792</v>
      </c>
      <c r="BL118" s="203" t="s">
        <v>5792</v>
      </c>
      <c r="BM118" s="203" t="s">
        <v>5792</v>
      </c>
      <c r="BN118" s="203" t="s">
        <v>5792</v>
      </c>
      <c r="BO118" s="203" t="s">
        <v>5792</v>
      </c>
      <c r="BP118" s="202" t="s">
        <v>5792</v>
      </c>
      <c r="BQ118" s="203" t="s">
        <v>5792</v>
      </c>
      <c r="BR118" s="203" t="s">
        <v>5792</v>
      </c>
      <c r="BS118" s="203" t="s">
        <v>5792</v>
      </c>
      <c r="BT118" s="203" t="s">
        <v>5792</v>
      </c>
      <c r="BU118" s="203" t="s">
        <v>5792</v>
      </c>
      <c r="BV118" s="218" t="s">
        <v>5792</v>
      </c>
      <c r="BW118" s="203" t="s">
        <v>5792</v>
      </c>
      <c r="BX118" s="203" t="s">
        <v>5792</v>
      </c>
      <c r="BY118" s="203" t="s">
        <v>5792</v>
      </c>
      <c r="BZ118" s="203" t="s">
        <v>5792</v>
      </c>
      <c r="CA118" s="203" t="s">
        <v>5792</v>
      </c>
      <c r="CB118" s="218" t="s">
        <v>5792</v>
      </c>
      <c r="CC118" s="136" t="s">
        <v>5665</v>
      </c>
      <c r="CD118" s="47">
        <v>275</v>
      </c>
      <c r="CE118" s="32">
        <v>300</v>
      </c>
      <c r="CF118" s="47">
        <v>410</v>
      </c>
      <c r="CG118" s="32">
        <v>450</v>
      </c>
      <c r="CH118" s="67">
        <v>200000</v>
      </c>
      <c r="CI118" s="136" t="s">
        <v>5665</v>
      </c>
      <c r="CJ118" s="47">
        <v>275</v>
      </c>
      <c r="CK118" s="32">
        <v>300</v>
      </c>
      <c r="CL118" s="60">
        <v>410</v>
      </c>
      <c r="CM118" s="32">
        <v>450</v>
      </c>
      <c r="CN118" s="67">
        <v>200000</v>
      </c>
      <c r="CO118" s="136" t="s">
        <v>5665</v>
      </c>
      <c r="CP118" s="47">
        <v>275</v>
      </c>
      <c r="CQ118" s="32">
        <v>300</v>
      </c>
      <c r="CR118" s="60">
        <v>410</v>
      </c>
      <c r="CS118" s="32">
        <v>450</v>
      </c>
      <c r="CT118" s="67">
        <v>200000</v>
      </c>
      <c r="CU118" s="207" t="s">
        <v>5792</v>
      </c>
      <c r="CV118" s="208" t="s">
        <v>5792</v>
      </c>
      <c r="CW118" s="208" t="s">
        <v>5792</v>
      </c>
      <c r="CX118" s="209" t="s">
        <v>5792</v>
      </c>
      <c r="CY118" s="207" t="s">
        <v>5792</v>
      </c>
      <c r="CZ118" s="208" t="s">
        <v>5792</v>
      </c>
      <c r="DA118" s="209" t="s">
        <v>5792</v>
      </c>
      <c r="DB118" s="283" t="s">
        <v>5792</v>
      </c>
      <c r="DC118" s="163" t="s">
        <v>4422</v>
      </c>
      <c r="DD118" s="163">
        <v>640</v>
      </c>
      <c r="DE118" s="32">
        <v>730</v>
      </c>
      <c r="DF118" s="163">
        <v>800</v>
      </c>
      <c r="DG118" s="32">
        <v>940</v>
      </c>
      <c r="DH118" s="61">
        <v>200000</v>
      </c>
      <c r="DI118" s="29" t="s">
        <v>15</v>
      </c>
      <c r="DJ118" s="32" t="s">
        <v>4435</v>
      </c>
      <c r="DK118" s="297" t="s">
        <v>4566</v>
      </c>
    </row>
    <row r="119" spans="1:115" ht="15.6" customHeight="1">
      <c r="A119" s="17">
        <v>114</v>
      </c>
      <c r="B119" s="325">
        <v>13</v>
      </c>
      <c r="C119" s="325">
        <v>1986</v>
      </c>
      <c r="D119" s="345" t="s">
        <v>4669</v>
      </c>
      <c r="E119" s="333" t="s">
        <v>4866</v>
      </c>
      <c r="F119" s="325">
        <v>3</v>
      </c>
      <c r="G119" s="328" t="s">
        <v>5908</v>
      </c>
      <c r="H119" s="325" t="s">
        <v>5907</v>
      </c>
      <c r="I119" s="325" t="s">
        <v>6228</v>
      </c>
      <c r="J119" s="43" t="s">
        <v>4475</v>
      </c>
      <c r="K119" s="305" t="s">
        <v>4383</v>
      </c>
      <c r="L119" s="162" t="s">
        <v>5792</v>
      </c>
      <c r="M119" s="305" t="s">
        <v>4509</v>
      </c>
      <c r="N119" s="162" t="s">
        <v>4703</v>
      </c>
      <c r="O119" s="17" t="s">
        <v>4507</v>
      </c>
      <c r="P119" s="162" t="s">
        <v>4420</v>
      </c>
      <c r="Q119" s="162" t="s">
        <v>4420</v>
      </c>
      <c r="R119" s="162" t="s">
        <v>4420</v>
      </c>
      <c r="S119" s="162" t="s">
        <v>5792</v>
      </c>
      <c r="T119" s="162" t="s">
        <v>4420</v>
      </c>
      <c r="U119" s="162" t="s">
        <v>5792</v>
      </c>
      <c r="V119" s="162" t="s">
        <v>4559</v>
      </c>
      <c r="W119" s="17">
        <v>10</v>
      </c>
      <c r="X119" s="232">
        <v>0</v>
      </c>
      <c r="Y119" s="155" t="s">
        <v>5792</v>
      </c>
      <c r="Z119" s="158" t="s">
        <v>4515</v>
      </c>
      <c r="AA119" s="201" t="s">
        <v>5792</v>
      </c>
      <c r="AB119" s="201" t="s">
        <v>5792</v>
      </c>
      <c r="AC119" s="201" t="s">
        <v>5792</v>
      </c>
      <c r="AD119" s="201" t="s">
        <v>5792</v>
      </c>
      <c r="AE119" s="201" t="s">
        <v>5792</v>
      </c>
      <c r="AF119" s="305" t="s">
        <v>3913</v>
      </c>
      <c r="AG119" s="16">
        <f>INDEX('[2]Cross-Section Database'!$C$2:$V$2928,MATCH(AF119,'[2]Cross-Section Database'!$B$2:$B$2928,0),3)</f>
        <v>300</v>
      </c>
      <c r="AH119" s="16">
        <f>INDEX('[2]Cross-Section Database'!$C$2:$V$2928,MATCH(AF119,'[2]Cross-Section Database'!$B$2:$B$2928,0),4)</f>
        <v>150</v>
      </c>
      <c r="AI119" s="16">
        <f>INDEX('[2]Cross-Section Database'!$C$2:$V$2928,MATCH(AF119,'[2]Cross-Section Database'!$B$2:$B$2928,0),6)</f>
        <v>10.7</v>
      </c>
      <c r="AJ119" s="16">
        <f>INDEX('[2]Cross-Section Database'!$C$2:$V$2928,MATCH(AF119,'[2]Cross-Section Database'!$B$2:$B$2928,0),5)</f>
        <v>7.1</v>
      </c>
      <c r="AK119" s="252">
        <v>900</v>
      </c>
      <c r="AL119" s="16">
        <f>INDEX('[2]Cross-Section Database'!$C$2:$V$3928,MATCH(AF119,'[2]Cross-Section Database'!$B$2:$B$3928,0),11)</f>
        <v>83560000</v>
      </c>
      <c r="AM119" s="26">
        <f>INDEX('[2]Cross-Section Database'!$C$2:$V$3928,MATCH(AF119,'[2]Cross-Section Database'!$B$2:$B$3928,0),12)</f>
        <v>628000</v>
      </c>
      <c r="AN119" s="16">
        <v>12</v>
      </c>
      <c r="AO119" s="16">
        <v>170</v>
      </c>
      <c r="AP119" s="16">
        <v>280</v>
      </c>
      <c r="AQ119" s="16">
        <v>0</v>
      </c>
      <c r="AR119" s="16">
        <v>0</v>
      </c>
      <c r="AS119" s="305" t="s">
        <v>5807</v>
      </c>
      <c r="AT119" s="65" t="s">
        <v>6134</v>
      </c>
      <c r="AU119" s="162">
        <v>40</v>
      </c>
      <c r="AV119" s="162">
        <v>20</v>
      </c>
      <c r="AW119" s="162">
        <f t="shared" si="30"/>
        <v>245</v>
      </c>
      <c r="AX119" s="16">
        <v>80</v>
      </c>
      <c r="AY119" s="16">
        <v>80</v>
      </c>
      <c r="AZ119" s="16">
        <v>80</v>
      </c>
      <c r="BA119" s="16">
        <v>105</v>
      </c>
      <c r="BB119" s="16">
        <v>120</v>
      </c>
      <c r="BC119" s="22" t="s">
        <v>4470</v>
      </c>
      <c r="BD119" s="162" t="s">
        <v>6209</v>
      </c>
      <c r="BE119" s="162" t="s">
        <v>6209</v>
      </c>
      <c r="BF119" s="162">
        <v>2</v>
      </c>
      <c r="BG119" s="162">
        <v>4</v>
      </c>
      <c r="BH119" s="200" t="s">
        <v>5792</v>
      </c>
      <c r="BI119" s="201" t="s">
        <v>5792</v>
      </c>
      <c r="BJ119" s="201" t="s">
        <v>5792</v>
      </c>
      <c r="BK119" s="201" t="s">
        <v>5792</v>
      </c>
      <c r="BL119" s="201" t="s">
        <v>5792</v>
      </c>
      <c r="BM119" s="201" t="s">
        <v>5792</v>
      </c>
      <c r="BN119" s="201" t="s">
        <v>5792</v>
      </c>
      <c r="BO119" s="201" t="s">
        <v>5792</v>
      </c>
      <c r="BP119" s="200" t="s">
        <v>5792</v>
      </c>
      <c r="BQ119" s="201" t="s">
        <v>5792</v>
      </c>
      <c r="BR119" s="201" t="s">
        <v>5792</v>
      </c>
      <c r="BS119" s="201" t="s">
        <v>5792</v>
      </c>
      <c r="BT119" s="201" t="s">
        <v>5792</v>
      </c>
      <c r="BU119" s="201" t="s">
        <v>5792</v>
      </c>
      <c r="BV119" s="219" t="s">
        <v>5792</v>
      </c>
      <c r="BW119" s="201" t="s">
        <v>5792</v>
      </c>
      <c r="BX119" s="201" t="s">
        <v>5792</v>
      </c>
      <c r="BY119" s="201" t="s">
        <v>5792</v>
      </c>
      <c r="BZ119" s="201" t="s">
        <v>5792</v>
      </c>
      <c r="CA119" s="201" t="s">
        <v>5792</v>
      </c>
      <c r="CB119" s="219" t="s">
        <v>5792</v>
      </c>
      <c r="CC119" s="30" t="s">
        <v>4449</v>
      </c>
      <c r="CD119" s="72">
        <v>235</v>
      </c>
      <c r="CE119" s="30">
        <v>300</v>
      </c>
      <c r="CF119" s="72">
        <v>360</v>
      </c>
      <c r="CG119" s="30">
        <v>450</v>
      </c>
      <c r="CH119" s="66">
        <v>200000</v>
      </c>
      <c r="CI119" s="106" t="s">
        <v>4449</v>
      </c>
      <c r="CJ119" s="72">
        <v>235</v>
      </c>
      <c r="CK119" s="16">
        <f>(304.5+327)/2</f>
        <v>315.75</v>
      </c>
      <c r="CL119" s="65">
        <v>360</v>
      </c>
      <c r="CM119" s="162">
        <f>(436+458)/2</f>
        <v>447</v>
      </c>
      <c r="CN119" s="66">
        <v>200000</v>
      </c>
      <c r="CO119" s="30" t="s">
        <v>4449</v>
      </c>
      <c r="CP119" s="72">
        <v>235</v>
      </c>
      <c r="CQ119" s="162">
        <v>356</v>
      </c>
      <c r="CR119" s="65">
        <v>360</v>
      </c>
      <c r="CS119" s="162">
        <v>576</v>
      </c>
      <c r="CT119" s="76">
        <v>200000</v>
      </c>
      <c r="CU119" s="204" t="s">
        <v>5792</v>
      </c>
      <c r="CV119" s="205" t="s">
        <v>5792</v>
      </c>
      <c r="CW119" s="205" t="s">
        <v>5792</v>
      </c>
      <c r="CX119" s="206" t="s">
        <v>5792</v>
      </c>
      <c r="CY119" s="204" t="s">
        <v>5792</v>
      </c>
      <c r="CZ119" s="205" t="s">
        <v>5792</v>
      </c>
      <c r="DA119" s="206" t="s">
        <v>5792</v>
      </c>
      <c r="DB119" s="282" t="s">
        <v>5792</v>
      </c>
      <c r="DC119" s="162">
        <v>4.8</v>
      </c>
      <c r="DD119" s="162">
        <v>320</v>
      </c>
      <c r="DE119" s="30">
        <v>360</v>
      </c>
      <c r="DF119" s="162">
        <v>400</v>
      </c>
      <c r="DG119" s="30">
        <v>440</v>
      </c>
      <c r="DH119" s="76">
        <v>200000</v>
      </c>
      <c r="DI119" s="28" t="s">
        <v>15</v>
      </c>
      <c r="DJ119" s="162" t="s">
        <v>6010</v>
      </c>
      <c r="DK119" s="296" t="s">
        <v>4566</v>
      </c>
    </row>
    <row r="120" spans="1:115">
      <c r="A120" s="18">
        <v>115</v>
      </c>
      <c r="B120" s="326"/>
      <c r="C120" s="326"/>
      <c r="D120" s="346"/>
      <c r="E120" s="334"/>
      <c r="F120" s="326"/>
      <c r="G120" s="326"/>
      <c r="H120" s="326"/>
      <c r="I120" s="326"/>
      <c r="J120" s="41" t="s">
        <v>4476</v>
      </c>
      <c r="K120" s="306" t="s">
        <v>4383</v>
      </c>
      <c r="L120" s="163" t="s">
        <v>5792</v>
      </c>
      <c r="M120" s="306" t="s">
        <v>4509</v>
      </c>
      <c r="N120" s="163" t="s">
        <v>4703</v>
      </c>
      <c r="O120" s="18" t="s">
        <v>4507</v>
      </c>
      <c r="P120" s="163" t="s">
        <v>4420</v>
      </c>
      <c r="Q120" s="163" t="s">
        <v>4420</v>
      </c>
      <c r="R120" s="163" t="s">
        <v>4420</v>
      </c>
      <c r="S120" s="163" t="s">
        <v>5792</v>
      </c>
      <c r="T120" s="163" t="s">
        <v>4420</v>
      </c>
      <c r="U120" s="163" t="s">
        <v>5792</v>
      </c>
      <c r="V120" s="163" t="s">
        <v>4559</v>
      </c>
      <c r="W120" s="18">
        <v>10</v>
      </c>
      <c r="X120" s="231">
        <v>0</v>
      </c>
      <c r="Y120" s="142" t="s">
        <v>5792</v>
      </c>
      <c r="Z120" s="159" t="s">
        <v>4515</v>
      </c>
      <c r="AA120" s="203" t="s">
        <v>5792</v>
      </c>
      <c r="AB120" s="203" t="s">
        <v>5792</v>
      </c>
      <c r="AC120" s="203" t="s">
        <v>5792</v>
      </c>
      <c r="AD120" s="203" t="s">
        <v>5792</v>
      </c>
      <c r="AE120" s="203" t="s">
        <v>5792</v>
      </c>
      <c r="AF120" s="306" t="s">
        <v>3913</v>
      </c>
      <c r="AG120" s="21">
        <f>INDEX('[2]Cross-Section Database'!$C$2:$V$2928,MATCH(AF120,'[2]Cross-Section Database'!$B$2:$B$2928,0),3)</f>
        <v>300</v>
      </c>
      <c r="AH120" s="21">
        <f>INDEX('[2]Cross-Section Database'!$C$2:$V$2928,MATCH(AF120,'[2]Cross-Section Database'!$B$2:$B$2928,0),4)</f>
        <v>150</v>
      </c>
      <c r="AI120" s="21">
        <f>INDEX('[2]Cross-Section Database'!$C$2:$V$2928,MATCH(AF120,'[2]Cross-Section Database'!$B$2:$B$2928,0),6)</f>
        <v>10.7</v>
      </c>
      <c r="AJ120" s="21">
        <f>INDEX('[2]Cross-Section Database'!$C$2:$V$2928,MATCH(AF120,'[2]Cross-Section Database'!$B$2:$B$2928,0),5)</f>
        <v>7.1</v>
      </c>
      <c r="AK120" s="253">
        <v>900</v>
      </c>
      <c r="AL120" s="21">
        <f>INDEX('[2]Cross-Section Database'!$C$2:$V$3928,MATCH(AF120,'[2]Cross-Section Database'!$B$2:$B$3928,0),11)</f>
        <v>83560000</v>
      </c>
      <c r="AM120" s="24">
        <f>INDEX('[2]Cross-Section Database'!$C$2:$V$3928,MATCH(AF120,'[2]Cross-Section Database'!$B$2:$B$3928,0),12)</f>
        <v>628000</v>
      </c>
      <c r="AN120" s="21">
        <v>12</v>
      </c>
      <c r="AO120" s="21">
        <v>170</v>
      </c>
      <c r="AP120" s="21">
        <v>280</v>
      </c>
      <c r="AQ120" s="21">
        <v>0</v>
      </c>
      <c r="AR120" s="21">
        <v>0</v>
      </c>
      <c r="AS120" s="306" t="s">
        <v>5807</v>
      </c>
      <c r="AT120" s="60" t="s">
        <v>6134</v>
      </c>
      <c r="AU120" s="163">
        <v>40</v>
      </c>
      <c r="AV120" s="163">
        <v>20</v>
      </c>
      <c r="AW120" s="163">
        <f t="shared" si="30"/>
        <v>245</v>
      </c>
      <c r="AX120" s="21">
        <v>80</v>
      </c>
      <c r="AY120" s="21">
        <v>80</v>
      </c>
      <c r="AZ120" s="21">
        <v>60</v>
      </c>
      <c r="BA120" s="21">
        <v>105</v>
      </c>
      <c r="BB120" s="21">
        <v>60</v>
      </c>
      <c r="BC120" s="15" t="s">
        <v>4420</v>
      </c>
      <c r="BD120" s="163" t="s">
        <v>4465</v>
      </c>
      <c r="BE120" s="163" t="s">
        <v>6209</v>
      </c>
      <c r="BF120" s="163">
        <v>4</v>
      </c>
      <c r="BG120" s="163">
        <v>6</v>
      </c>
      <c r="BH120" s="202" t="s">
        <v>5792</v>
      </c>
      <c r="BI120" s="203" t="s">
        <v>5792</v>
      </c>
      <c r="BJ120" s="203" t="s">
        <v>5792</v>
      </c>
      <c r="BK120" s="203" t="s">
        <v>5792</v>
      </c>
      <c r="BL120" s="203" t="s">
        <v>5792</v>
      </c>
      <c r="BM120" s="203" t="s">
        <v>5792</v>
      </c>
      <c r="BN120" s="203" t="s">
        <v>5792</v>
      </c>
      <c r="BO120" s="203" t="s">
        <v>5792</v>
      </c>
      <c r="BP120" s="202" t="s">
        <v>5792</v>
      </c>
      <c r="BQ120" s="203" t="s">
        <v>5792</v>
      </c>
      <c r="BR120" s="203" t="s">
        <v>5792</v>
      </c>
      <c r="BS120" s="203" t="s">
        <v>5792</v>
      </c>
      <c r="BT120" s="203" t="s">
        <v>5792</v>
      </c>
      <c r="BU120" s="203" t="s">
        <v>5792</v>
      </c>
      <c r="BV120" s="218" t="s">
        <v>5792</v>
      </c>
      <c r="BW120" s="203" t="s">
        <v>5792</v>
      </c>
      <c r="BX120" s="203" t="s">
        <v>5792</v>
      </c>
      <c r="BY120" s="203" t="s">
        <v>5792</v>
      </c>
      <c r="BZ120" s="203" t="s">
        <v>5792</v>
      </c>
      <c r="CA120" s="203" t="s">
        <v>5792</v>
      </c>
      <c r="CB120" s="218" t="s">
        <v>5792</v>
      </c>
      <c r="CC120" s="32" t="s">
        <v>4449</v>
      </c>
      <c r="CD120" s="47">
        <v>235</v>
      </c>
      <c r="CE120" s="32">
        <v>300</v>
      </c>
      <c r="CF120" s="47">
        <v>360</v>
      </c>
      <c r="CG120" s="32">
        <v>450</v>
      </c>
      <c r="CH120" s="67">
        <v>200000</v>
      </c>
      <c r="CI120" s="107" t="s">
        <v>4449</v>
      </c>
      <c r="CJ120" s="47">
        <v>235</v>
      </c>
      <c r="CK120" s="21">
        <f>(304.5+327)/2</f>
        <v>315.75</v>
      </c>
      <c r="CL120" s="60">
        <v>360</v>
      </c>
      <c r="CM120" s="163">
        <f>(436+458)/2</f>
        <v>447</v>
      </c>
      <c r="CN120" s="67">
        <v>200000</v>
      </c>
      <c r="CO120" s="32" t="s">
        <v>4449</v>
      </c>
      <c r="CP120" s="47">
        <v>235</v>
      </c>
      <c r="CQ120" s="163">
        <v>356</v>
      </c>
      <c r="CR120" s="60">
        <v>360</v>
      </c>
      <c r="CS120" s="163">
        <v>576</v>
      </c>
      <c r="CT120" s="61">
        <v>200000</v>
      </c>
      <c r="CU120" s="207" t="s">
        <v>5792</v>
      </c>
      <c r="CV120" s="208" t="s">
        <v>5792</v>
      </c>
      <c r="CW120" s="208" t="s">
        <v>5792</v>
      </c>
      <c r="CX120" s="209" t="s">
        <v>5792</v>
      </c>
      <c r="CY120" s="207" t="s">
        <v>5792</v>
      </c>
      <c r="CZ120" s="208" t="s">
        <v>5792</v>
      </c>
      <c r="DA120" s="209" t="s">
        <v>5792</v>
      </c>
      <c r="DB120" s="283" t="s">
        <v>5792</v>
      </c>
      <c r="DC120" s="163">
        <v>4.8</v>
      </c>
      <c r="DD120" s="163">
        <v>320</v>
      </c>
      <c r="DE120" s="32">
        <v>360</v>
      </c>
      <c r="DF120" s="163">
        <v>400</v>
      </c>
      <c r="DG120" s="32">
        <v>440</v>
      </c>
      <c r="DH120" s="61">
        <v>200000</v>
      </c>
      <c r="DI120" s="29" t="s">
        <v>15</v>
      </c>
      <c r="DJ120" s="163" t="s">
        <v>6010</v>
      </c>
      <c r="DK120" s="297" t="s">
        <v>4566</v>
      </c>
    </row>
    <row r="121" spans="1:115" ht="16.2" thickBot="1">
      <c r="A121" s="14">
        <v>116</v>
      </c>
      <c r="B121" s="327"/>
      <c r="C121" s="327"/>
      <c r="D121" s="347"/>
      <c r="E121" s="335"/>
      <c r="F121" s="327"/>
      <c r="G121" s="327"/>
      <c r="H121" s="327"/>
      <c r="I121" s="327"/>
      <c r="J121" s="42" t="s">
        <v>4477</v>
      </c>
      <c r="K121" s="143" t="s">
        <v>4383</v>
      </c>
      <c r="L121" s="164" t="s">
        <v>5792</v>
      </c>
      <c r="M121" s="143" t="s">
        <v>4509</v>
      </c>
      <c r="N121" s="164" t="s">
        <v>4703</v>
      </c>
      <c r="O121" s="14" t="s">
        <v>4507</v>
      </c>
      <c r="P121" s="164" t="s">
        <v>4420</v>
      </c>
      <c r="Q121" s="164" t="s">
        <v>4420</v>
      </c>
      <c r="R121" s="164" t="s">
        <v>4420</v>
      </c>
      <c r="S121" s="164" t="s">
        <v>5792</v>
      </c>
      <c r="T121" s="164" t="s">
        <v>4420</v>
      </c>
      <c r="U121" s="164" t="s">
        <v>5792</v>
      </c>
      <c r="V121" s="164" t="s">
        <v>4559</v>
      </c>
      <c r="W121" s="14">
        <v>10</v>
      </c>
      <c r="X121" s="233">
        <v>0</v>
      </c>
      <c r="Y121" s="156" t="s">
        <v>5792</v>
      </c>
      <c r="Z121" s="160" t="s">
        <v>4515</v>
      </c>
      <c r="AA121" s="203" t="s">
        <v>5792</v>
      </c>
      <c r="AB121" s="203" t="s">
        <v>5792</v>
      </c>
      <c r="AC121" s="203" t="s">
        <v>5792</v>
      </c>
      <c r="AD121" s="203" t="s">
        <v>5792</v>
      </c>
      <c r="AE121" s="203" t="s">
        <v>5792</v>
      </c>
      <c r="AF121" s="143" t="s">
        <v>3913</v>
      </c>
      <c r="AG121" s="23">
        <f>INDEX('[2]Cross-Section Database'!$C$2:$V$2928,MATCH(AF121,'[2]Cross-Section Database'!$B$2:$B$2928,0),3)</f>
        <v>300</v>
      </c>
      <c r="AH121" s="23">
        <f>INDEX('[2]Cross-Section Database'!$C$2:$V$2928,MATCH(AF121,'[2]Cross-Section Database'!$B$2:$B$2928,0),4)</f>
        <v>150</v>
      </c>
      <c r="AI121" s="23">
        <f>INDEX('[2]Cross-Section Database'!$C$2:$V$2928,MATCH(AF121,'[2]Cross-Section Database'!$B$2:$B$2928,0),6)</f>
        <v>10.7</v>
      </c>
      <c r="AJ121" s="23">
        <f>INDEX('[2]Cross-Section Database'!$C$2:$V$2928,MATCH(AF121,'[2]Cross-Section Database'!$B$2:$B$2928,0),5)</f>
        <v>7.1</v>
      </c>
      <c r="AK121" s="254">
        <v>900</v>
      </c>
      <c r="AL121" s="23">
        <f>INDEX('[2]Cross-Section Database'!$C$2:$V$3928,MATCH(AF121,'[2]Cross-Section Database'!$B$2:$B$3928,0),11)</f>
        <v>83560000</v>
      </c>
      <c r="AM121" s="25">
        <f>INDEX('[2]Cross-Section Database'!$C$2:$V$3928,MATCH(AF121,'[2]Cross-Section Database'!$B$2:$B$3928,0),12)</f>
        <v>628000</v>
      </c>
      <c r="AN121" s="23">
        <v>12</v>
      </c>
      <c r="AO121" s="23">
        <v>170</v>
      </c>
      <c r="AP121" s="23">
        <v>280</v>
      </c>
      <c r="AQ121" s="23">
        <v>0</v>
      </c>
      <c r="AR121" s="23">
        <v>0</v>
      </c>
      <c r="AS121" s="143" t="s">
        <v>5807</v>
      </c>
      <c r="AT121" s="87" t="s">
        <v>6134</v>
      </c>
      <c r="AU121" s="164">
        <v>40</v>
      </c>
      <c r="AV121" s="164">
        <v>20</v>
      </c>
      <c r="AW121" s="164">
        <f t="shared" si="30"/>
        <v>245</v>
      </c>
      <c r="AX121" s="23">
        <v>50</v>
      </c>
      <c r="AY121" s="23">
        <v>50</v>
      </c>
      <c r="AZ121" s="23">
        <v>60</v>
      </c>
      <c r="BA121" s="23">
        <v>105</v>
      </c>
      <c r="BB121" s="23">
        <v>60</v>
      </c>
      <c r="BC121" s="19" t="s">
        <v>4420</v>
      </c>
      <c r="BD121" s="164" t="s">
        <v>4465</v>
      </c>
      <c r="BE121" s="164" t="s">
        <v>4465</v>
      </c>
      <c r="BF121" s="164">
        <v>4</v>
      </c>
      <c r="BG121" s="164">
        <v>8</v>
      </c>
      <c r="BH121" s="197" t="s">
        <v>5792</v>
      </c>
      <c r="BI121" s="198" t="s">
        <v>5792</v>
      </c>
      <c r="BJ121" s="198" t="s">
        <v>5792</v>
      </c>
      <c r="BK121" s="198" t="s">
        <v>5792</v>
      </c>
      <c r="BL121" s="198" t="s">
        <v>5792</v>
      </c>
      <c r="BM121" s="198" t="s">
        <v>5792</v>
      </c>
      <c r="BN121" s="198" t="s">
        <v>5792</v>
      </c>
      <c r="BO121" s="198" t="s">
        <v>5792</v>
      </c>
      <c r="BP121" s="197" t="s">
        <v>5792</v>
      </c>
      <c r="BQ121" s="198" t="s">
        <v>5792</v>
      </c>
      <c r="BR121" s="198" t="s">
        <v>5792</v>
      </c>
      <c r="BS121" s="198" t="s">
        <v>5792</v>
      </c>
      <c r="BT121" s="198" t="s">
        <v>5792</v>
      </c>
      <c r="BU121" s="198" t="s">
        <v>5792</v>
      </c>
      <c r="BV121" s="220" t="s">
        <v>5792</v>
      </c>
      <c r="BW121" s="198" t="s">
        <v>5792</v>
      </c>
      <c r="BX121" s="198" t="s">
        <v>5792</v>
      </c>
      <c r="BY121" s="198" t="s">
        <v>5792</v>
      </c>
      <c r="BZ121" s="198" t="s">
        <v>5792</v>
      </c>
      <c r="CA121" s="198" t="s">
        <v>5792</v>
      </c>
      <c r="CB121" s="220" t="s">
        <v>5792</v>
      </c>
      <c r="CC121" s="34" t="s">
        <v>4449</v>
      </c>
      <c r="CD121" s="85">
        <v>235</v>
      </c>
      <c r="CE121" s="34">
        <v>300</v>
      </c>
      <c r="CF121" s="85">
        <v>360</v>
      </c>
      <c r="CG121" s="34">
        <v>450</v>
      </c>
      <c r="CH121" s="70">
        <v>200000</v>
      </c>
      <c r="CI121" s="132" t="s">
        <v>4449</v>
      </c>
      <c r="CJ121" s="85">
        <v>235</v>
      </c>
      <c r="CK121" s="23">
        <f>(304.5+327)/2</f>
        <v>315.75</v>
      </c>
      <c r="CL121" s="87">
        <v>360</v>
      </c>
      <c r="CM121" s="164">
        <f>(436+458)/2</f>
        <v>447</v>
      </c>
      <c r="CN121" s="70">
        <v>200000</v>
      </c>
      <c r="CO121" s="34" t="s">
        <v>4449</v>
      </c>
      <c r="CP121" s="85">
        <v>235</v>
      </c>
      <c r="CQ121" s="164">
        <v>356</v>
      </c>
      <c r="CR121" s="87">
        <v>360</v>
      </c>
      <c r="CS121" s="164">
        <v>576</v>
      </c>
      <c r="CT121" s="77">
        <v>200000</v>
      </c>
      <c r="CU121" s="210" t="s">
        <v>5792</v>
      </c>
      <c r="CV121" s="211" t="s">
        <v>5792</v>
      </c>
      <c r="CW121" s="211" t="s">
        <v>5792</v>
      </c>
      <c r="CX121" s="212" t="s">
        <v>5792</v>
      </c>
      <c r="CY121" s="210" t="s">
        <v>5792</v>
      </c>
      <c r="CZ121" s="211" t="s">
        <v>5792</v>
      </c>
      <c r="DA121" s="212" t="s">
        <v>5792</v>
      </c>
      <c r="DB121" s="284" t="s">
        <v>5792</v>
      </c>
      <c r="DC121" s="164">
        <v>4.8</v>
      </c>
      <c r="DD121" s="164">
        <v>320</v>
      </c>
      <c r="DE121" s="34">
        <v>360</v>
      </c>
      <c r="DF121" s="164">
        <v>400</v>
      </c>
      <c r="DG121" s="34">
        <v>440</v>
      </c>
      <c r="DH121" s="77">
        <v>200000</v>
      </c>
      <c r="DI121" s="27" t="s">
        <v>4759</v>
      </c>
      <c r="DJ121" s="164" t="s">
        <v>6010</v>
      </c>
      <c r="DK121" s="298" t="s">
        <v>4566</v>
      </c>
    </row>
    <row r="122" spans="1:115" ht="15.6" customHeight="1">
      <c r="A122" s="17">
        <v>117</v>
      </c>
      <c r="B122" s="325">
        <v>14</v>
      </c>
      <c r="C122" s="325">
        <v>1987</v>
      </c>
      <c r="D122" s="345" t="s">
        <v>4479</v>
      </c>
      <c r="E122" s="333" t="s">
        <v>4865</v>
      </c>
      <c r="F122" s="325">
        <v>6</v>
      </c>
      <c r="G122" s="328" t="s">
        <v>5906</v>
      </c>
      <c r="H122" s="325" t="s">
        <v>5902</v>
      </c>
      <c r="I122" s="325" t="s">
        <v>6229</v>
      </c>
      <c r="J122" s="43" t="s">
        <v>4414</v>
      </c>
      <c r="K122" s="305" t="s">
        <v>4383</v>
      </c>
      <c r="L122" s="162" t="s">
        <v>5792</v>
      </c>
      <c r="M122" s="305" t="s">
        <v>4509</v>
      </c>
      <c r="N122" s="162" t="s">
        <v>4701</v>
      </c>
      <c r="O122" s="17" t="s">
        <v>4507</v>
      </c>
      <c r="P122" s="162" t="s">
        <v>4420</v>
      </c>
      <c r="Q122" s="162" t="s">
        <v>4420</v>
      </c>
      <c r="R122" s="162" t="s">
        <v>6169</v>
      </c>
      <c r="S122" s="162">
        <v>12</v>
      </c>
      <c r="T122" s="162" t="s">
        <v>4420</v>
      </c>
      <c r="U122" s="162" t="s">
        <v>5792</v>
      </c>
      <c r="V122" s="162" t="s">
        <v>4559</v>
      </c>
      <c r="W122" s="17">
        <v>10</v>
      </c>
      <c r="X122" s="232">
        <v>0</v>
      </c>
      <c r="Y122" s="155">
        <v>0</v>
      </c>
      <c r="Z122" s="305" t="s">
        <v>4344</v>
      </c>
      <c r="AA122" s="16">
        <f>INDEX('[2]Cross-Section Database'!$C$2:$V$2928,MATCH(Z122,'[2]Cross-Section Database'!$B$2:$B$2928,0),3)</f>
        <v>215.8</v>
      </c>
      <c r="AB122" s="16">
        <f>INDEX('[2]Cross-Section Database'!$C$2:$V$2928,MATCH(Z122,'[2]Cross-Section Database'!$B$2:$B$2928,0),4)</f>
        <v>206.4</v>
      </c>
      <c r="AC122" s="16">
        <f>INDEX('[2]Cross-Section Database'!$C$2:$V$2928,MATCH(Z122,'[2]Cross-Section Database'!$B$2:$B$2928,0),6)</f>
        <v>17.3</v>
      </c>
      <c r="AD122" s="16">
        <f>INDEX('[2]Cross-Section Database'!$C$2:$V$2928,MATCH(Z122,'[2]Cross-Section Database'!$B$2:$B$2928,0),5)</f>
        <v>10</v>
      </c>
      <c r="AE122" s="31">
        <v>660</v>
      </c>
      <c r="AF122" s="305" t="s">
        <v>4210</v>
      </c>
      <c r="AG122" s="16">
        <f>INDEX('[2]Cross-Section Database'!$C$2:$V$2928,MATCH(AF122,'[2]Cross-Section Database'!$B$2:$B$2928,0),3)</f>
        <v>259.60000000000002</v>
      </c>
      <c r="AH122" s="16">
        <f>INDEX('[2]Cross-Section Database'!$C$2:$V$2928,MATCH(AF122,'[2]Cross-Section Database'!$B$2:$B$2928,0),4)</f>
        <v>147.30000000000001</v>
      </c>
      <c r="AI122" s="16">
        <f>INDEX('[2]Cross-Section Database'!$C$2:$V$2928,MATCH(AF122,'[2]Cross-Section Database'!$B$2:$B$2928,0),6)</f>
        <v>12.7</v>
      </c>
      <c r="AJ122" s="16">
        <f>INDEX('[2]Cross-Section Database'!$C$2:$V$2928,MATCH(AF122,'[2]Cross-Section Database'!$B$2:$B$2928,0),5)</f>
        <v>7.2</v>
      </c>
      <c r="AK122" s="253">
        <v>1350</v>
      </c>
      <c r="AL122" s="16">
        <f>INDEX('[2]Cross-Section Database'!$C$2:$V$3928,MATCH(AF122,'[2]Cross-Section Database'!$B$2:$B$3928,0),11)</f>
        <v>65440000</v>
      </c>
      <c r="AM122" s="26">
        <f>INDEX('[2]Cross-Section Database'!$C$2:$V$3928,MATCH(AF122,'[2]Cross-Section Database'!$B$2:$B$3928,0),12)</f>
        <v>566300</v>
      </c>
      <c r="AN122" s="16">
        <v>12</v>
      </c>
      <c r="AO122" s="16">
        <v>170</v>
      </c>
      <c r="AP122" s="16">
        <v>290</v>
      </c>
      <c r="AQ122" s="16">
        <f t="shared" ref="AQ122:AQ130" si="31">(AP122-AG122)-AR122</f>
        <v>15.399999999999977</v>
      </c>
      <c r="AR122" s="16">
        <v>15</v>
      </c>
      <c r="AS122" s="305" t="s">
        <v>5807</v>
      </c>
      <c r="AT122" s="65" t="s">
        <v>6134</v>
      </c>
      <c r="AU122" s="162">
        <v>25</v>
      </c>
      <c r="AV122" s="162">
        <v>20</v>
      </c>
      <c r="AW122" s="162">
        <f t="shared" si="30"/>
        <v>245</v>
      </c>
      <c r="AX122" s="16">
        <v>95</v>
      </c>
      <c r="AY122" s="16">
        <v>95</v>
      </c>
      <c r="AZ122" s="16">
        <v>60</v>
      </c>
      <c r="BA122" s="16">
        <v>100</v>
      </c>
      <c r="BB122" s="16">
        <v>65</v>
      </c>
      <c r="BC122" s="22" t="s">
        <v>4420</v>
      </c>
      <c r="BD122" s="162" t="s">
        <v>4465</v>
      </c>
      <c r="BE122" s="162" t="s">
        <v>6209</v>
      </c>
      <c r="BF122" s="162">
        <v>4</v>
      </c>
      <c r="BG122" s="162">
        <v>6</v>
      </c>
      <c r="BH122" s="200" t="s">
        <v>5792</v>
      </c>
      <c r="BI122" s="201" t="s">
        <v>5792</v>
      </c>
      <c r="BJ122" s="201" t="s">
        <v>5792</v>
      </c>
      <c r="BK122" s="201" t="s">
        <v>5792</v>
      </c>
      <c r="BL122" s="201" t="s">
        <v>5792</v>
      </c>
      <c r="BM122" s="201" t="s">
        <v>5792</v>
      </c>
      <c r="BN122" s="201" t="s">
        <v>5792</v>
      </c>
      <c r="BO122" s="201" t="s">
        <v>5792</v>
      </c>
      <c r="BP122" s="200" t="s">
        <v>5792</v>
      </c>
      <c r="BQ122" s="201" t="s">
        <v>5792</v>
      </c>
      <c r="BR122" s="201" t="s">
        <v>5792</v>
      </c>
      <c r="BS122" s="201" t="s">
        <v>5792</v>
      </c>
      <c r="BT122" s="201" t="s">
        <v>5792</v>
      </c>
      <c r="BU122" s="201" t="s">
        <v>5792</v>
      </c>
      <c r="BV122" s="219" t="s">
        <v>5792</v>
      </c>
      <c r="BW122" s="201" t="s">
        <v>5792</v>
      </c>
      <c r="BX122" s="201" t="s">
        <v>5792</v>
      </c>
      <c r="BY122" s="201" t="s">
        <v>5792</v>
      </c>
      <c r="BZ122" s="201" t="s">
        <v>5792</v>
      </c>
      <c r="CA122" s="201" t="s">
        <v>5792</v>
      </c>
      <c r="CB122" s="219" t="s">
        <v>5792</v>
      </c>
      <c r="CC122" s="30" t="s">
        <v>4449</v>
      </c>
      <c r="CD122" s="72">
        <v>235</v>
      </c>
      <c r="CE122" s="30">
        <v>300</v>
      </c>
      <c r="CF122" s="72">
        <v>360</v>
      </c>
      <c r="CG122" s="30">
        <v>450</v>
      </c>
      <c r="CH122" s="66">
        <v>200000</v>
      </c>
      <c r="CI122" s="106" t="s">
        <v>4449</v>
      </c>
      <c r="CJ122" s="72">
        <v>235</v>
      </c>
      <c r="CK122" s="30">
        <v>300</v>
      </c>
      <c r="CL122" s="65">
        <v>360</v>
      </c>
      <c r="CM122" s="30">
        <v>450</v>
      </c>
      <c r="CN122" s="66">
        <v>200000</v>
      </c>
      <c r="CO122" s="30" t="s">
        <v>4449</v>
      </c>
      <c r="CP122" s="72">
        <v>235</v>
      </c>
      <c r="CQ122" s="162">
        <v>300</v>
      </c>
      <c r="CR122" s="65">
        <v>360</v>
      </c>
      <c r="CS122" s="30">
        <v>450</v>
      </c>
      <c r="CT122" s="76">
        <v>200000</v>
      </c>
      <c r="CU122" s="204" t="s">
        <v>5792</v>
      </c>
      <c r="CV122" s="205" t="s">
        <v>5792</v>
      </c>
      <c r="CW122" s="205" t="s">
        <v>5792</v>
      </c>
      <c r="CX122" s="206" t="s">
        <v>5792</v>
      </c>
      <c r="CY122" s="204" t="s">
        <v>5792</v>
      </c>
      <c r="CZ122" s="205" t="s">
        <v>5792</v>
      </c>
      <c r="DA122" s="206" t="s">
        <v>5792</v>
      </c>
      <c r="DB122" s="282" t="s">
        <v>5792</v>
      </c>
      <c r="DC122" s="162">
        <v>8.8000000000000007</v>
      </c>
      <c r="DD122" s="162">
        <v>640</v>
      </c>
      <c r="DE122" s="30">
        <v>730</v>
      </c>
      <c r="DF122" s="162">
        <v>800</v>
      </c>
      <c r="DG122" s="30">
        <v>940</v>
      </c>
      <c r="DH122" s="76">
        <v>200000</v>
      </c>
      <c r="DI122" s="28" t="s">
        <v>15</v>
      </c>
      <c r="DJ122" s="30" t="s">
        <v>4435</v>
      </c>
      <c r="DK122" s="296" t="s">
        <v>4566</v>
      </c>
    </row>
    <row r="123" spans="1:115">
      <c r="A123" s="18">
        <v>118</v>
      </c>
      <c r="B123" s="326"/>
      <c r="C123" s="326"/>
      <c r="D123" s="346"/>
      <c r="E123" s="334"/>
      <c r="F123" s="326"/>
      <c r="G123" s="329"/>
      <c r="H123" s="326"/>
      <c r="I123" s="326"/>
      <c r="J123" s="41" t="s">
        <v>4415</v>
      </c>
      <c r="K123" s="306" t="s">
        <v>4383</v>
      </c>
      <c r="L123" s="163" t="s">
        <v>5792</v>
      </c>
      <c r="M123" s="306" t="s">
        <v>4509</v>
      </c>
      <c r="N123" s="163" t="s">
        <v>4701</v>
      </c>
      <c r="O123" s="18" t="s">
        <v>4507</v>
      </c>
      <c r="P123" s="163" t="s">
        <v>4420</v>
      </c>
      <c r="Q123" s="163" t="s">
        <v>4420</v>
      </c>
      <c r="R123" s="163" t="s">
        <v>6169</v>
      </c>
      <c r="S123" s="163">
        <v>12</v>
      </c>
      <c r="T123" s="163" t="s">
        <v>4420</v>
      </c>
      <c r="U123" s="163" t="s">
        <v>5792</v>
      </c>
      <c r="V123" s="163" t="s">
        <v>4559</v>
      </c>
      <c r="W123" s="18">
        <v>10</v>
      </c>
      <c r="X123" s="231">
        <v>0</v>
      </c>
      <c r="Y123" s="142">
        <v>0</v>
      </c>
      <c r="Z123" s="306" t="s">
        <v>4344</v>
      </c>
      <c r="AA123" s="21">
        <f>INDEX('[2]Cross-Section Database'!$C$2:$V$2928,MATCH(Z123,'[2]Cross-Section Database'!$B$2:$B$2928,0),3)</f>
        <v>215.8</v>
      </c>
      <c r="AB123" s="21">
        <f>INDEX('[2]Cross-Section Database'!$C$2:$V$2928,MATCH(Z123,'[2]Cross-Section Database'!$B$2:$B$2928,0),4)</f>
        <v>206.4</v>
      </c>
      <c r="AC123" s="21">
        <f>INDEX('[2]Cross-Section Database'!$C$2:$V$2928,MATCH(Z123,'[2]Cross-Section Database'!$B$2:$B$2928,0),6)</f>
        <v>17.3</v>
      </c>
      <c r="AD123" s="21">
        <f>INDEX('[2]Cross-Section Database'!$C$2:$V$2928,MATCH(Z123,'[2]Cross-Section Database'!$B$2:$B$2928,0),5)</f>
        <v>10</v>
      </c>
      <c r="AE123" s="33">
        <v>660</v>
      </c>
      <c r="AF123" s="306" t="s">
        <v>4210</v>
      </c>
      <c r="AG123" s="21">
        <f>INDEX('[2]Cross-Section Database'!$C$2:$V$2928,MATCH(AF123,'[2]Cross-Section Database'!$B$2:$B$2928,0),3)</f>
        <v>259.60000000000002</v>
      </c>
      <c r="AH123" s="21">
        <f>INDEX('[2]Cross-Section Database'!$C$2:$V$2928,MATCH(AF123,'[2]Cross-Section Database'!$B$2:$B$2928,0),4)</f>
        <v>147.30000000000001</v>
      </c>
      <c r="AI123" s="21">
        <f>INDEX('[2]Cross-Section Database'!$C$2:$V$2928,MATCH(AF123,'[2]Cross-Section Database'!$B$2:$B$2928,0),6)</f>
        <v>12.7</v>
      </c>
      <c r="AJ123" s="21">
        <f>INDEX('[2]Cross-Section Database'!$C$2:$V$2928,MATCH(AF123,'[2]Cross-Section Database'!$B$2:$B$2928,0),5)</f>
        <v>7.2</v>
      </c>
      <c r="AK123" s="253">
        <v>1350</v>
      </c>
      <c r="AL123" s="21">
        <f>INDEX('[2]Cross-Section Database'!$C$2:$V$3928,MATCH(AF123,'[2]Cross-Section Database'!$B$2:$B$3928,0),11)</f>
        <v>65440000</v>
      </c>
      <c r="AM123" s="24">
        <f>INDEX('[2]Cross-Section Database'!$C$2:$V$3928,MATCH(AF123,'[2]Cross-Section Database'!$B$2:$B$3928,0),12)</f>
        <v>566300</v>
      </c>
      <c r="AN123" s="21">
        <v>15</v>
      </c>
      <c r="AO123" s="21">
        <v>170</v>
      </c>
      <c r="AP123" s="21">
        <v>290</v>
      </c>
      <c r="AQ123" s="21">
        <f t="shared" si="31"/>
        <v>15.399999999999977</v>
      </c>
      <c r="AR123" s="21">
        <v>15</v>
      </c>
      <c r="AS123" s="306" t="s">
        <v>5807</v>
      </c>
      <c r="AT123" s="60" t="s">
        <v>6134</v>
      </c>
      <c r="AU123" s="163">
        <v>25</v>
      </c>
      <c r="AV123" s="163">
        <v>20</v>
      </c>
      <c r="AW123" s="163">
        <f t="shared" si="30"/>
        <v>245</v>
      </c>
      <c r="AX123" s="21">
        <v>95</v>
      </c>
      <c r="AY123" s="21">
        <v>95</v>
      </c>
      <c r="AZ123" s="21">
        <v>60</v>
      </c>
      <c r="BA123" s="21">
        <v>100</v>
      </c>
      <c r="BB123" s="21">
        <v>65</v>
      </c>
      <c r="BC123" s="15" t="s">
        <v>4420</v>
      </c>
      <c r="BD123" s="163" t="s">
        <v>4465</v>
      </c>
      <c r="BE123" s="163" t="s">
        <v>6209</v>
      </c>
      <c r="BF123" s="163">
        <v>4</v>
      </c>
      <c r="BG123" s="163">
        <v>6</v>
      </c>
      <c r="BH123" s="202" t="s">
        <v>5792</v>
      </c>
      <c r="BI123" s="203" t="s">
        <v>5792</v>
      </c>
      <c r="BJ123" s="203" t="s">
        <v>5792</v>
      </c>
      <c r="BK123" s="203" t="s">
        <v>5792</v>
      </c>
      <c r="BL123" s="203" t="s">
        <v>5792</v>
      </c>
      <c r="BM123" s="203" t="s">
        <v>5792</v>
      </c>
      <c r="BN123" s="203" t="s">
        <v>5792</v>
      </c>
      <c r="BO123" s="203" t="s">
        <v>5792</v>
      </c>
      <c r="BP123" s="202" t="s">
        <v>5792</v>
      </c>
      <c r="BQ123" s="203" t="s">
        <v>5792</v>
      </c>
      <c r="BR123" s="203" t="s">
        <v>5792</v>
      </c>
      <c r="BS123" s="203" t="s">
        <v>5792</v>
      </c>
      <c r="BT123" s="203" t="s">
        <v>5792</v>
      </c>
      <c r="BU123" s="203" t="s">
        <v>5792</v>
      </c>
      <c r="BV123" s="218" t="s">
        <v>5792</v>
      </c>
      <c r="BW123" s="203" t="s">
        <v>5792</v>
      </c>
      <c r="BX123" s="203" t="s">
        <v>5792</v>
      </c>
      <c r="BY123" s="203" t="s">
        <v>5792</v>
      </c>
      <c r="BZ123" s="203" t="s">
        <v>5792</v>
      </c>
      <c r="CA123" s="203" t="s">
        <v>5792</v>
      </c>
      <c r="CB123" s="218" t="s">
        <v>5792</v>
      </c>
      <c r="CC123" s="32" t="s">
        <v>4449</v>
      </c>
      <c r="CD123" s="47">
        <v>235</v>
      </c>
      <c r="CE123" s="32">
        <v>300</v>
      </c>
      <c r="CF123" s="47">
        <v>360</v>
      </c>
      <c r="CG123" s="32">
        <v>450</v>
      </c>
      <c r="CH123" s="67">
        <v>200000</v>
      </c>
      <c r="CI123" s="107" t="s">
        <v>4449</v>
      </c>
      <c r="CJ123" s="47">
        <v>235</v>
      </c>
      <c r="CK123" s="32">
        <v>300</v>
      </c>
      <c r="CL123" s="60">
        <v>360</v>
      </c>
      <c r="CM123" s="32">
        <v>450</v>
      </c>
      <c r="CN123" s="67">
        <v>200000</v>
      </c>
      <c r="CO123" s="32" t="s">
        <v>4449</v>
      </c>
      <c r="CP123" s="47">
        <v>235</v>
      </c>
      <c r="CQ123" s="163">
        <v>300</v>
      </c>
      <c r="CR123" s="60">
        <v>360</v>
      </c>
      <c r="CS123" s="32">
        <v>450</v>
      </c>
      <c r="CT123" s="61">
        <v>200000</v>
      </c>
      <c r="CU123" s="207" t="s">
        <v>5792</v>
      </c>
      <c r="CV123" s="208" t="s">
        <v>5792</v>
      </c>
      <c r="CW123" s="208" t="s">
        <v>5792</v>
      </c>
      <c r="CX123" s="209" t="s">
        <v>5792</v>
      </c>
      <c r="CY123" s="207" t="s">
        <v>5792</v>
      </c>
      <c r="CZ123" s="208" t="s">
        <v>5792</v>
      </c>
      <c r="DA123" s="209" t="s">
        <v>5792</v>
      </c>
      <c r="DB123" s="283" t="s">
        <v>5792</v>
      </c>
      <c r="DC123" s="163">
        <v>8.8000000000000007</v>
      </c>
      <c r="DD123" s="163">
        <v>640</v>
      </c>
      <c r="DE123" s="32">
        <v>730</v>
      </c>
      <c r="DF123" s="163">
        <v>800</v>
      </c>
      <c r="DG123" s="32">
        <v>940</v>
      </c>
      <c r="DH123" s="61">
        <v>200000</v>
      </c>
      <c r="DI123" s="29" t="s">
        <v>15</v>
      </c>
      <c r="DJ123" s="32" t="s">
        <v>4435</v>
      </c>
      <c r="DK123" s="297" t="s">
        <v>4566</v>
      </c>
    </row>
    <row r="124" spans="1:115">
      <c r="A124" s="18">
        <v>119</v>
      </c>
      <c r="B124" s="326"/>
      <c r="C124" s="326"/>
      <c r="D124" s="346"/>
      <c r="E124" s="334"/>
      <c r="F124" s="326"/>
      <c r="G124" s="329"/>
      <c r="H124" s="326"/>
      <c r="I124" s="326"/>
      <c r="J124" s="41" t="s">
        <v>4416</v>
      </c>
      <c r="K124" s="306" t="s">
        <v>4383</v>
      </c>
      <c r="L124" s="163" t="s">
        <v>5792</v>
      </c>
      <c r="M124" s="306" t="s">
        <v>4509</v>
      </c>
      <c r="N124" s="163" t="s">
        <v>4701</v>
      </c>
      <c r="O124" s="18" t="s">
        <v>4507</v>
      </c>
      <c r="P124" s="163" t="s">
        <v>4420</v>
      </c>
      <c r="Q124" s="163" t="s">
        <v>4420</v>
      </c>
      <c r="R124" s="163" t="s">
        <v>6169</v>
      </c>
      <c r="S124" s="163">
        <v>12</v>
      </c>
      <c r="T124" s="163" t="s">
        <v>4420</v>
      </c>
      <c r="U124" s="163" t="s">
        <v>5792</v>
      </c>
      <c r="V124" s="163" t="s">
        <v>4559</v>
      </c>
      <c r="W124" s="18">
        <v>10</v>
      </c>
      <c r="X124" s="231">
        <v>0</v>
      </c>
      <c r="Y124" s="142">
        <v>0</v>
      </c>
      <c r="Z124" s="306" t="s">
        <v>4344</v>
      </c>
      <c r="AA124" s="21">
        <f>INDEX('[2]Cross-Section Database'!$C$2:$V$2928,MATCH(Z124,'[2]Cross-Section Database'!$B$2:$B$2928,0),3)</f>
        <v>215.8</v>
      </c>
      <c r="AB124" s="21">
        <f>INDEX('[2]Cross-Section Database'!$C$2:$V$2928,MATCH(Z124,'[2]Cross-Section Database'!$B$2:$B$2928,0),4)</f>
        <v>206.4</v>
      </c>
      <c r="AC124" s="21">
        <f>INDEX('[2]Cross-Section Database'!$C$2:$V$2928,MATCH(Z124,'[2]Cross-Section Database'!$B$2:$B$2928,0),6)</f>
        <v>17.3</v>
      </c>
      <c r="AD124" s="21">
        <f>INDEX('[2]Cross-Section Database'!$C$2:$V$2928,MATCH(Z124,'[2]Cross-Section Database'!$B$2:$B$2928,0),5)</f>
        <v>10</v>
      </c>
      <c r="AE124" s="33">
        <v>660</v>
      </c>
      <c r="AF124" s="306" t="s">
        <v>4210</v>
      </c>
      <c r="AG124" s="21">
        <f>INDEX('[2]Cross-Section Database'!$C$2:$V$2928,MATCH(AF124,'[2]Cross-Section Database'!$B$2:$B$2928,0),3)</f>
        <v>259.60000000000002</v>
      </c>
      <c r="AH124" s="21">
        <f>INDEX('[2]Cross-Section Database'!$C$2:$V$2928,MATCH(AF124,'[2]Cross-Section Database'!$B$2:$B$2928,0),4)</f>
        <v>147.30000000000001</v>
      </c>
      <c r="AI124" s="21">
        <f>INDEX('[2]Cross-Section Database'!$C$2:$V$2928,MATCH(AF124,'[2]Cross-Section Database'!$B$2:$B$2928,0),6)</f>
        <v>12.7</v>
      </c>
      <c r="AJ124" s="21">
        <f>INDEX('[2]Cross-Section Database'!$C$2:$V$2928,MATCH(AF124,'[2]Cross-Section Database'!$B$2:$B$2928,0),5)</f>
        <v>7.2</v>
      </c>
      <c r="AK124" s="253">
        <v>1350</v>
      </c>
      <c r="AL124" s="21">
        <f>INDEX('[2]Cross-Section Database'!$C$2:$V$3928,MATCH(AF124,'[2]Cross-Section Database'!$B$2:$B$3928,0),11)</f>
        <v>65440000</v>
      </c>
      <c r="AM124" s="24">
        <f>INDEX('[2]Cross-Section Database'!$C$2:$V$3928,MATCH(AF124,'[2]Cross-Section Database'!$B$2:$B$3928,0),12)</f>
        <v>566300</v>
      </c>
      <c r="AN124" s="21">
        <v>20</v>
      </c>
      <c r="AO124" s="21">
        <v>170</v>
      </c>
      <c r="AP124" s="21">
        <v>290</v>
      </c>
      <c r="AQ124" s="21">
        <f t="shared" si="31"/>
        <v>15.399999999999977</v>
      </c>
      <c r="AR124" s="21">
        <v>15</v>
      </c>
      <c r="AS124" s="306" t="s">
        <v>5807</v>
      </c>
      <c r="AT124" s="60" t="s">
        <v>6134</v>
      </c>
      <c r="AU124" s="163">
        <v>25</v>
      </c>
      <c r="AV124" s="163">
        <v>20</v>
      </c>
      <c r="AW124" s="163">
        <f t="shared" si="30"/>
        <v>245</v>
      </c>
      <c r="AX124" s="21">
        <v>95</v>
      </c>
      <c r="AY124" s="21">
        <v>95</v>
      </c>
      <c r="AZ124" s="21">
        <v>60</v>
      </c>
      <c r="BA124" s="21">
        <v>100</v>
      </c>
      <c r="BB124" s="21">
        <v>65</v>
      </c>
      <c r="BC124" s="15" t="s">
        <v>4420</v>
      </c>
      <c r="BD124" s="163" t="s">
        <v>4465</v>
      </c>
      <c r="BE124" s="163" t="s">
        <v>6209</v>
      </c>
      <c r="BF124" s="163">
        <v>4</v>
      </c>
      <c r="BG124" s="163">
        <v>6</v>
      </c>
      <c r="BH124" s="202" t="s">
        <v>5792</v>
      </c>
      <c r="BI124" s="203" t="s">
        <v>5792</v>
      </c>
      <c r="BJ124" s="203" t="s">
        <v>5792</v>
      </c>
      <c r="BK124" s="203" t="s">
        <v>5792</v>
      </c>
      <c r="BL124" s="203" t="s">
        <v>5792</v>
      </c>
      <c r="BM124" s="203" t="s">
        <v>5792</v>
      </c>
      <c r="BN124" s="203" t="s">
        <v>5792</v>
      </c>
      <c r="BO124" s="203" t="s">
        <v>5792</v>
      </c>
      <c r="BP124" s="202" t="s">
        <v>5792</v>
      </c>
      <c r="BQ124" s="203" t="s">
        <v>5792</v>
      </c>
      <c r="BR124" s="203" t="s">
        <v>5792</v>
      </c>
      <c r="BS124" s="203" t="s">
        <v>5792</v>
      </c>
      <c r="BT124" s="203" t="s">
        <v>5792</v>
      </c>
      <c r="BU124" s="203" t="s">
        <v>5792</v>
      </c>
      <c r="BV124" s="218" t="s">
        <v>5792</v>
      </c>
      <c r="BW124" s="203" t="s">
        <v>5792</v>
      </c>
      <c r="BX124" s="203" t="s">
        <v>5792</v>
      </c>
      <c r="BY124" s="203" t="s">
        <v>5792</v>
      </c>
      <c r="BZ124" s="203" t="s">
        <v>5792</v>
      </c>
      <c r="CA124" s="203" t="s">
        <v>5792</v>
      </c>
      <c r="CB124" s="218" t="s">
        <v>5792</v>
      </c>
      <c r="CC124" s="32" t="s">
        <v>4449</v>
      </c>
      <c r="CD124" s="47">
        <v>235</v>
      </c>
      <c r="CE124" s="32">
        <v>300</v>
      </c>
      <c r="CF124" s="47">
        <v>360</v>
      </c>
      <c r="CG124" s="32">
        <v>450</v>
      </c>
      <c r="CH124" s="67">
        <v>200000</v>
      </c>
      <c r="CI124" s="107" t="s">
        <v>4449</v>
      </c>
      <c r="CJ124" s="47">
        <v>235</v>
      </c>
      <c r="CK124" s="32">
        <v>300</v>
      </c>
      <c r="CL124" s="60">
        <v>360</v>
      </c>
      <c r="CM124" s="32">
        <v>450</v>
      </c>
      <c r="CN124" s="67">
        <v>200000</v>
      </c>
      <c r="CO124" s="32" t="s">
        <v>4449</v>
      </c>
      <c r="CP124" s="47">
        <v>235</v>
      </c>
      <c r="CQ124" s="163">
        <v>300</v>
      </c>
      <c r="CR124" s="60">
        <v>360</v>
      </c>
      <c r="CS124" s="32">
        <v>450</v>
      </c>
      <c r="CT124" s="61">
        <v>200000</v>
      </c>
      <c r="CU124" s="207" t="s">
        <v>5792</v>
      </c>
      <c r="CV124" s="208" t="s">
        <v>5792</v>
      </c>
      <c r="CW124" s="208" t="s">
        <v>5792</v>
      </c>
      <c r="CX124" s="209" t="s">
        <v>5792</v>
      </c>
      <c r="CY124" s="207" t="s">
        <v>5792</v>
      </c>
      <c r="CZ124" s="208" t="s">
        <v>5792</v>
      </c>
      <c r="DA124" s="209" t="s">
        <v>5792</v>
      </c>
      <c r="DB124" s="283" t="s">
        <v>5792</v>
      </c>
      <c r="DC124" s="163">
        <v>8.8000000000000007</v>
      </c>
      <c r="DD124" s="163">
        <v>640</v>
      </c>
      <c r="DE124" s="32">
        <v>730</v>
      </c>
      <c r="DF124" s="163">
        <v>800</v>
      </c>
      <c r="DG124" s="32">
        <v>940</v>
      </c>
      <c r="DH124" s="61">
        <v>200000</v>
      </c>
      <c r="DI124" s="29" t="s">
        <v>15</v>
      </c>
      <c r="DJ124" s="32" t="s">
        <v>4435</v>
      </c>
      <c r="DK124" s="297" t="s">
        <v>4566</v>
      </c>
    </row>
    <row r="125" spans="1:115">
      <c r="A125" s="18">
        <v>120</v>
      </c>
      <c r="B125" s="326"/>
      <c r="C125" s="326"/>
      <c r="D125" s="346"/>
      <c r="E125" s="334"/>
      <c r="F125" s="326"/>
      <c r="G125" s="329"/>
      <c r="H125" s="326"/>
      <c r="I125" s="326"/>
      <c r="J125" s="41" t="s">
        <v>4419</v>
      </c>
      <c r="K125" s="306" t="s">
        <v>4383</v>
      </c>
      <c r="L125" s="163" t="s">
        <v>5792</v>
      </c>
      <c r="M125" s="306" t="s">
        <v>4509</v>
      </c>
      <c r="N125" s="163" t="s">
        <v>4701</v>
      </c>
      <c r="O125" s="18" t="s">
        <v>4507</v>
      </c>
      <c r="P125" s="163" t="s">
        <v>4420</v>
      </c>
      <c r="Q125" s="163" t="s">
        <v>4420</v>
      </c>
      <c r="R125" s="163" t="s">
        <v>6169</v>
      </c>
      <c r="S125" s="163">
        <v>12</v>
      </c>
      <c r="T125" s="163" t="s">
        <v>4420</v>
      </c>
      <c r="U125" s="163" t="s">
        <v>5792</v>
      </c>
      <c r="V125" s="163" t="s">
        <v>4559</v>
      </c>
      <c r="W125" s="18">
        <v>10</v>
      </c>
      <c r="X125" s="231">
        <v>0</v>
      </c>
      <c r="Y125" s="142">
        <v>0</v>
      </c>
      <c r="Z125" s="306" t="s">
        <v>4344</v>
      </c>
      <c r="AA125" s="21">
        <f>INDEX('[2]Cross-Section Database'!$C$2:$V$2928,MATCH(Z125,'[2]Cross-Section Database'!$B$2:$B$2928,0),3)</f>
        <v>215.8</v>
      </c>
      <c r="AB125" s="21">
        <f>INDEX('[2]Cross-Section Database'!$C$2:$V$2928,MATCH(Z125,'[2]Cross-Section Database'!$B$2:$B$2928,0),4)</f>
        <v>206.4</v>
      </c>
      <c r="AC125" s="21">
        <f>INDEX('[2]Cross-Section Database'!$C$2:$V$2928,MATCH(Z125,'[2]Cross-Section Database'!$B$2:$B$2928,0),6)</f>
        <v>17.3</v>
      </c>
      <c r="AD125" s="21">
        <f>INDEX('[2]Cross-Section Database'!$C$2:$V$2928,MATCH(Z125,'[2]Cross-Section Database'!$B$2:$B$2928,0),5)</f>
        <v>10</v>
      </c>
      <c r="AE125" s="33">
        <v>660</v>
      </c>
      <c r="AF125" s="306" t="s">
        <v>4210</v>
      </c>
      <c r="AG125" s="21">
        <f>INDEX('[2]Cross-Section Database'!$C$2:$V$2928,MATCH(AF125,'[2]Cross-Section Database'!$B$2:$B$2928,0),3)</f>
        <v>259.60000000000002</v>
      </c>
      <c r="AH125" s="21">
        <f>INDEX('[2]Cross-Section Database'!$C$2:$V$2928,MATCH(AF125,'[2]Cross-Section Database'!$B$2:$B$2928,0),4)</f>
        <v>147.30000000000001</v>
      </c>
      <c r="AI125" s="21">
        <f>INDEX('[2]Cross-Section Database'!$C$2:$V$2928,MATCH(AF125,'[2]Cross-Section Database'!$B$2:$B$2928,0),6)</f>
        <v>12.7</v>
      </c>
      <c r="AJ125" s="21">
        <f>INDEX('[2]Cross-Section Database'!$C$2:$V$2928,MATCH(AF125,'[2]Cross-Section Database'!$B$2:$B$2928,0),5)</f>
        <v>7.2</v>
      </c>
      <c r="AK125" s="253">
        <v>1350</v>
      </c>
      <c r="AL125" s="21">
        <f>INDEX('[2]Cross-Section Database'!$C$2:$V$3928,MATCH(AF125,'[2]Cross-Section Database'!$B$2:$B$3928,0),11)</f>
        <v>65440000</v>
      </c>
      <c r="AM125" s="24">
        <f>INDEX('[2]Cross-Section Database'!$C$2:$V$3928,MATCH(AF125,'[2]Cross-Section Database'!$B$2:$B$3928,0),12)</f>
        <v>566300</v>
      </c>
      <c r="AN125" s="21">
        <v>12</v>
      </c>
      <c r="AO125" s="21">
        <v>170</v>
      </c>
      <c r="AP125" s="21">
        <v>290</v>
      </c>
      <c r="AQ125" s="21">
        <f t="shared" si="31"/>
        <v>15.399999999999977</v>
      </c>
      <c r="AR125" s="21">
        <v>15</v>
      </c>
      <c r="AS125" s="306" t="s">
        <v>5807</v>
      </c>
      <c r="AT125" s="60" t="s">
        <v>6134</v>
      </c>
      <c r="AU125" s="163">
        <v>100</v>
      </c>
      <c r="AV125" s="163">
        <v>20</v>
      </c>
      <c r="AW125" s="163">
        <f t="shared" si="30"/>
        <v>245</v>
      </c>
      <c r="AX125" s="21">
        <v>95</v>
      </c>
      <c r="AY125" s="21">
        <v>95</v>
      </c>
      <c r="AZ125" s="21">
        <v>60</v>
      </c>
      <c r="BA125" s="21">
        <v>100</v>
      </c>
      <c r="BB125" s="21">
        <v>65</v>
      </c>
      <c r="BC125" s="15" t="s">
        <v>4420</v>
      </c>
      <c r="BD125" s="163" t="s">
        <v>4465</v>
      </c>
      <c r="BE125" s="163" t="s">
        <v>6209</v>
      </c>
      <c r="BF125" s="163">
        <v>4</v>
      </c>
      <c r="BG125" s="163">
        <v>6</v>
      </c>
      <c r="BH125" s="202" t="s">
        <v>5792</v>
      </c>
      <c r="BI125" s="203" t="s">
        <v>5792</v>
      </c>
      <c r="BJ125" s="203" t="s">
        <v>5792</v>
      </c>
      <c r="BK125" s="203" t="s">
        <v>5792</v>
      </c>
      <c r="BL125" s="203" t="s">
        <v>5792</v>
      </c>
      <c r="BM125" s="203" t="s">
        <v>5792</v>
      </c>
      <c r="BN125" s="203" t="s">
        <v>5792</v>
      </c>
      <c r="BO125" s="203" t="s">
        <v>5792</v>
      </c>
      <c r="BP125" s="202" t="s">
        <v>5792</v>
      </c>
      <c r="BQ125" s="203" t="s">
        <v>5792</v>
      </c>
      <c r="BR125" s="203" t="s">
        <v>5792</v>
      </c>
      <c r="BS125" s="203" t="s">
        <v>5792</v>
      </c>
      <c r="BT125" s="203" t="s">
        <v>5792</v>
      </c>
      <c r="BU125" s="203" t="s">
        <v>5792</v>
      </c>
      <c r="BV125" s="218" t="s">
        <v>5792</v>
      </c>
      <c r="BW125" s="203" t="s">
        <v>5792</v>
      </c>
      <c r="BX125" s="203" t="s">
        <v>5792</v>
      </c>
      <c r="BY125" s="203" t="s">
        <v>5792</v>
      </c>
      <c r="BZ125" s="203" t="s">
        <v>5792</v>
      </c>
      <c r="CA125" s="203" t="s">
        <v>5792</v>
      </c>
      <c r="CB125" s="218" t="s">
        <v>5792</v>
      </c>
      <c r="CC125" s="32" t="s">
        <v>4449</v>
      </c>
      <c r="CD125" s="47">
        <v>235</v>
      </c>
      <c r="CE125" s="32">
        <v>300</v>
      </c>
      <c r="CF125" s="47">
        <v>360</v>
      </c>
      <c r="CG125" s="32">
        <v>450</v>
      </c>
      <c r="CH125" s="67">
        <v>200000</v>
      </c>
      <c r="CI125" s="107" t="s">
        <v>4449</v>
      </c>
      <c r="CJ125" s="47">
        <v>235</v>
      </c>
      <c r="CK125" s="32">
        <v>300</v>
      </c>
      <c r="CL125" s="60">
        <v>360</v>
      </c>
      <c r="CM125" s="32">
        <v>450</v>
      </c>
      <c r="CN125" s="67">
        <v>200000</v>
      </c>
      <c r="CO125" s="32" t="s">
        <v>4449</v>
      </c>
      <c r="CP125" s="47">
        <v>235</v>
      </c>
      <c r="CQ125" s="163">
        <v>300</v>
      </c>
      <c r="CR125" s="60">
        <v>360</v>
      </c>
      <c r="CS125" s="32">
        <v>450</v>
      </c>
      <c r="CT125" s="61">
        <v>200000</v>
      </c>
      <c r="CU125" s="207" t="s">
        <v>5792</v>
      </c>
      <c r="CV125" s="208" t="s">
        <v>5792</v>
      </c>
      <c r="CW125" s="208" t="s">
        <v>5792</v>
      </c>
      <c r="CX125" s="209" t="s">
        <v>5792</v>
      </c>
      <c r="CY125" s="207" t="s">
        <v>5792</v>
      </c>
      <c r="CZ125" s="208" t="s">
        <v>5792</v>
      </c>
      <c r="DA125" s="209" t="s">
        <v>5792</v>
      </c>
      <c r="DB125" s="283" t="s">
        <v>5792</v>
      </c>
      <c r="DC125" s="163">
        <v>8.8000000000000007</v>
      </c>
      <c r="DD125" s="163">
        <v>640</v>
      </c>
      <c r="DE125" s="32">
        <v>730</v>
      </c>
      <c r="DF125" s="163">
        <v>800</v>
      </c>
      <c r="DG125" s="32">
        <v>940</v>
      </c>
      <c r="DH125" s="61">
        <v>200000</v>
      </c>
      <c r="DI125" s="29" t="s">
        <v>15</v>
      </c>
      <c r="DJ125" s="32" t="s">
        <v>4435</v>
      </c>
      <c r="DK125" s="297" t="s">
        <v>4566</v>
      </c>
    </row>
    <row r="126" spans="1:115">
      <c r="A126" s="18">
        <v>121</v>
      </c>
      <c r="B126" s="326"/>
      <c r="C126" s="326"/>
      <c r="D126" s="346"/>
      <c r="E126" s="334"/>
      <c r="F126" s="326"/>
      <c r="G126" s="329"/>
      <c r="H126" s="326"/>
      <c r="I126" s="326"/>
      <c r="J126" s="41" t="s">
        <v>4480</v>
      </c>
      <c r="K126" s="306" t="s">
        <v>4383</v>
      </c>
      <c r="L126" s="163" t="s">
        <v>5792</v>
      </c>
      <c r="M126" s="306" t="s">
        <v>4509</v>
      </c>
      <c r="N126" s="163" t="s">
        <v>4701</v>
      </c>
      <c r="O126" s="18" t="s">
        <v>4507</v>
      </c>
      <c r="P126" s="163" t="s">
        <v>4420</v>
      </c>
      <c r="Q126" s="163" t="s">
        <v>4420</v>
      </c>
      <c r="R126" s="163" t="s">
        <v>6169</v>
      </c>
      <c r="S126" s="163">
        <v>12</v>
      </c>
      <c r="T126" s="163" t="s">
        <v>4420</v>
      </c>
      <c r="U126" s="163" t="s">
        <v>5792</v>
      </c>
      <c r="V126" s="163" t="s">
        <v>4559</v>
      </c>
      <c r="W126" s="18">
        <v>10</v>
      </c>
      <c r="X126" s="231">
        <v>0</v>
      </c>
      <c r="Y126" s="142">
        <v>0</v>
      </c>
      <c r="Z126" s="306" t="s">
        <v>4344</v>
      </c>
      <c r="AA126" s="21">
        <f>INDEX('[2]Cross-Section Database'!$C$2:$V$2928,MATCH(Z126,'[2]Cross-Section Database'!$B$2:$B$2928,0),3)</f>
        <v>215.8</v>
      </c>
      <c r="AB126" s="21">
        <f>INDEX('[2]Cross-Section Database'!$C$2:$V$2928,MATCH(Z126,'[2]Cross-Section Database'!$B$2:$B$2928,0),4)</f>
        <v>206.4</v>
      </c>
      <c r="AC126" s="21">
        <f>INDEX('[2]Cross-Section Database'!$C$2:$V$2928,MATCH(Z126,'[2]Cross-Section Database'!$B$2:$B$2928,0),6)</f>
        <v>17.3</v>
      </c>
      <c r="AD126" s="21">
        <f>INDEX('[2]Cross-Section Database'!$C$2:$V$2928,MATCH(Z126,'[2]Cross-Section Database'!$B$2:$B$2928,0),5)</f>
        <v>10</v>
      </c>
      <c r="AE126" s="33">
        <v>660</v>
      </c>
      <c r="AF126" s="306" t="s">
        <v>4210</v>
      </c>
      <c r="AG126" s="21">
        <f>INDEX('[2]Cross-Section Database'!$C$2:$V$2928,MATCH(AF126,'[2]Cross-Section Database'!$B$2:$B$2928,0),3)</f>
        <v>259.60000000000002</v>
      </c>
      <c r="AH126" s="21">
        <f>INDEX('[2]Cross-Section Database'!$C$2:$V$2928,MATCH(AF126,'[2]Cross-Section Database'!$B$2:$B$2928,0),4)</f>
        <v>147.30000000000001</v>
      </c>
      <c r="AI126" s="21">
        <f>INDEX('[2]Cross-Section Database'!$C$2:$V$2928,MATCH(AF126,'[2]Cross-Section Database'!$B$2:$B$2928,0),6)</f>
        <v>12.7</v>
      </c>
      <c r="AJ126" s="21">
        <f>INDEX('[2]Cross-Section Database'!$C$2:$V$2928,MATCH(AF126,'[2]Cross-Section Database'!$B$2:$B$2928,0),5)</f>
        <v>7.2</v>
      </c>
      <c r="AK126" s="253">
        <v>1350</v>
      </c>
      <c r="AL126" s="21">
        <f>INDEX('[2]Cross-Section Database'!$C$2:$V$3928,MATCH(AF126,'[2]Cross-Section Database'!$B$2:$B$3928,0),11)</f>
        <v>65440000</v>
      </c>
      <c r="AM126" s="24">
        <f>INDEX('[2]Cross-Section Database'!$C$2:$V$3928,MATCH(AF126,'[2]Cross-Section Database'!$B$2:$B$3928,0),12)</f>
        <v>566300</v>
      </c>
      <c r="AN126" s="21">
        <v>15</v>
      </c>
      <c r="AO126" s="21">
        <v>170</v>
      </c>
      <c r="AP126" s="21">
        <v>290</v>
      </c>
      <c r="AQ126" s="21">
        <f t="shared" si="31"/>
        <v>15.399999999999977</v>
      </c>
      <c r="AR126" s="21">
        <v>15</v>
      </c>
      <c r="AS126" s="306" t="s">
        <v>5807</v>
      </c>
      <c r="AT126" s="60" t="s">
        <v>6134</v>
      </c>
      <c r="AU126" s="163">
        <v>100</v>
      </c>
      <c r="AV126" s="163">
        <v>20</v>
      </c>
      <c r="AW126" s="163">
        <f t="shared" si="30"/>
        <v>245</v>
      </c>
      <c r="AX126" s="21">
        <v>95</v>
      </c>
      <c r="AY126" s="21">
        <v>95</v>
      </c>
      <c r="AZ126" s="21">
        <v>60</v>
      </c>
      <c r="BA126" s="21">
        <v>100</v>
      </c>
      <c r="BB126" s="21">
        <v>65</v>
      </c>
      <c r="BC126" s="15" t="s">
        <v>4420</v>
      </c>
      <c r="BD126" s="163" t="s">
        <v>4465</v>
      </c>
      <c r="BE126" s="163" t="s">
        <v>6209</v>
      </c>
      <c r="BF126" s="163">
        <v>4</v>
      </c>
      <c r="BG126" s="163">
        <v>6</v>
      </c>
      <c r="BH126" s="202" t="s">
        <v>5792</v>
      </c>
      <c r="BI126" s="203" t="s">
        <v>5792</v>
      </c>
      <c r="BJ126" s="203" t="s">
        <v>5792</v>
      </c>
      <c r="BK126" s="203" t="s">
        <v>5792</v>
      </c>
      <c r="BL126" s="203" t="s">
        <v>5792</v>
      </c>
      <c r="BM126" s="203" t="s">
        <v>5792</v>
      </c>
      <c r="BN126" s="203" t="s">
        <v>5792</v>
      </c>
      <c r="BO126" s="203" t="s">
        <v>5792</v>
      </c>
      <c r="BP126" s="202" t="s">
        <v>5792</v>
      </c>
      <c r="BQ126" s="203" t="s">
        <v>5792</v>
      </c>
      <c r="BR126" s="203" t="s">
        <v>5792</v>
      </c>
      <c r="BS126" s="203" t="s">
        <v>5792</v>
      </c>
      <c r="BT126" s="203" t="s">
        <v>5792</v>
      </c>
      <c r="BU126" s="203" t="s">
        <v>5792</v>
      </c>
      <c r="BV126" s="218" t="s">
        <v>5792</v>
      </c>
      <c r="BW126" s="203" t="s">
        <v>5792</v>
      </c>
      <c r="BX126" s="203" t="s">
        <v>5792</v>
      </c>
      <c r="BY126" s="203" t="s">
        <v>5792</v>
      </c>
      <c r="BZ126" s="203" t="s">
        <v>5792</v>
      </c>
      <c r="CA126" s="203" t="s">
        <v>5792</v>
      </c>
      <c r="CB126" s="218" t="s">
        <v>5792</v>
      </c>
      <c r="CC126" s="32" t="s">
        <v>4449</v>
      </c>
      <c r="CD126" s="47">
        <v>235</v>
      </c>
      <c r="CE126" s="32">
        <v>300</v>
      </c>
      <c r="CF126" s="47">
        <v>360</v>
      </c>
      <c r="CG126" s="32">
        <v>450</v>
      </c>
      <c r="CH126" s="67">
        <v>200000</v>
      </c>
      <c r="CI126" s="107" t="s">
        <v>4449</v>
      </c>
      <c r="CJ126" s="47">
        <v>235</v>
      </c>
      <c r="CK126" s="32">
        <v>300</v>
      </c>
      <c r="CL126" s="60">
        <v>360</v>
      </c>
      <c r="CM126" s="32">
        <v>450</v>
      </c>
      <c r="CN126" s="67">
        <v>200000</v>
      </c>
      <c r="CO126" s="32" t="s">
        <v>4449</v>
      </c>
      <c r="CP126" s="47">
        <v>235</v>
      </c>
      <c r="CQ126" s="163">
        <v>300</v>
      </c>
      <c r="CR126" s="60">
        <v>360</v>
      </c>
      <c r="CS126" s="32">
        <v>450</v>
      </c>
      <c r="CT126" s="61">
        <v>200000</v>
      </c>
      <c r="CU126" s="207" t="s">
        <v>5792</v>
      </c>
      <c r="CV126" s="208" t="s">
        <v>5792</v>
      </c>
      <c r="CW126" s="208" t="s">
        <v>5792</v>
      </c>
      <c r="CX126" s="209" t="s">
        <v>5792</v>
      </c>
      <c r="CY126" s="207" t="s">
        <v>5792</v>
      </c>
      <c r="CZ126" s="208" t="s">
        <v>5792</v>
      </c>
      <c r="DA126" s="209" t="s">
        <v>5792</v>
      </c>
      <c r="DB126" s="283" t="s">
        <v>5792</v>
      </c>
      <c r="DC126" s="163">
        <v>8.8000000000000007</v>
      </c>
      <c r="DD126" s="163">
        <v>640</v>
      </c>
      <c r="DE126" s="32">
        <v>730</v>
      </c>
      <c r="DF126" s="163">
        <v>800</v>
      </c>
      <c r="DG126" s="32">
        <v>940</v>
      </c>
      <c r="DH126" s="61">
        <v>200000</v>
      </c>
      <c r="DI126" s="29" t="s">
        <v>15</v>
      </c>
      <c r="DJ126" s="32" t="s">
        <v>4435</v>
      </c>
      <c r="DK126" s="297" t="s">
        <v>4566</v>
      </c>
    </row>
    <row r="127" spans="1:115" ht="16.2" thickBot="1">
      <c r="A127" s="14">
        <v>122</v>
      </c>
      <c r="B127" s="326"/>
      <c r="C127" s="326"/>
      <c r="D127" s="346"/>
      <c r="E127" s="334"/>
      <c r="F127" s="326"/>
      <c r="G127" s="329"/>
      <c r="H127" s="326"/>
      <c r="I127" s="326"/>
      <c r="J127" s="42" t="s">
        <v>4481</v>
      </c>
      <c r="K127" s="143" t="s">
        <v>4383</v>
      </c>
      <c r="L127" s="164" t="s">
        <v>5792</v>
      </c>
      <c r="M127" s="143" t="s">
        <v>4509</v>
      </c>
      <c r="N127" s="164" t="s">
        <v>4701</v>
      </c>
      <c r="O127" s="14" t="s">
        <v>4507</v>
      </c>
      <c r="P127" s="164" t="s">
        <v>4420</v>
      </c>
      <c r="Q127" s="164" t="s">
        <v>4420</v>
      </c>
      <c r="R127" s="164" t="s">
        <v>6169</v>
      </c>
      <c r="S127" s="164">
        <v>12</v>
      </c>
      <c r="T127" s="164" t="s">
        <v>4420</v>
      </c>
      <c r="U127" s="164" t="s">
        <v>5792</v>
      </c>
      <c r="V127" s="164" t="s">
        <v>4559</v>
      </c>
      <c r="W127" s="14">
        <v>10</v>
      </c>
      <c r="X127" s="233">
        <v>0</v>
      </c>
      <c r="Y127" s="156">
        <v>0</v>
      </c>
      <c r="Z127" s="143" t="s">
        <v>4344</v>
      </c>
      <c r="AA127" s="23">
        <f>INDEX('[2]Cross-Section Database'!$C$2:$V$2928,MATCH(Z127,'[2]Cross-Section Database'!$B$2:$B$2928,0),3)</f>
        <v>215.8</v>
      </c>
      <c r="AB127" s="23">
        <f>INDEX('[2]Cross-Section Database'!$C$2:$V$2928,MATCH(Z127,'[2]Cross-Section Database'!$B$2:$B$2928,0),4)</f>
        <v>206.4</v>
      </c>
      <c r="AC127" s="23">
        <f>INDEX('[2]Cross-Section Database'!$C$2:$V$2928,MATCH(Z127,'[2]Cross-Section Database'!$B$2:$B$2928,0),6)</f>
        <v>17.3</v>
      </c>
      <c r="AD127" s="23">
        <f>INDEX('[2]Cross-Section Database'!$C$2:$V$2928,MATCH(Z127,'[2]Cross-Section Database'!$B$2:$B$2928,0),5)</f>
        <v>10</v>
      </c>
      <c r="AE127" s="35">
        <v>660</v>
      </c>
      <c r="AF127" s="143" t="s">
        <v>4210</v>
      </c>
      <c r="AG127" s="23">
        <f>INDEX('[2]Cross-Section Database'!$C$2:$V$2928,MATCH(AF127,'[2]Cross-Section Database'!$B$2:$B$2928,0),3)</f>
        <v>259.60000000000002</v>
      </c>
      <c r="AH127" s="23">
        <f>INDEX('[2]Cross-Section Database'!$C$2:$V$2928,MATCH(AF127,'[2]Cross-Section Database'!$B$2:$B$2928,0),4)</f>
        <v>147.30000000000001</v>
      </c>
      <c r="AI127" s="23">
        <f>INDEX('[2]Cross-Section Database'!$C$2:$V$2928,MATCH(AF127,'[2]Cross-Section Database'!$B$2:$B$2928,0),6)</f>
        <v>12.7</v>
      </c>
      <c r="AJ127" s="23">
        <f>INDEX('[2]Cross-Section Database'!$C$2:$V$2928,MATCH(AF127,'[2]Cross-Section Database'!$B$2:$B$2928,0),5)</f>
        <v>7.2</v>
      </c>
      <c r="AK127" s="254">
        <v>1350</v>
      </c>
      <c r="AL127" s="23">
        <f>INDEX('[2]Cross-Section Database'!$C$2:$V$3928,MATCH(AF127,'[2]Cross-Section Database'!$B$2:$B$3928,0),11)</f>
        <v>65440000</v>
      </c>
      <c r="AM127" s="25">
        <f>INDEX('[2]Cross-Section Database'!$C$2:$V$3928,MATCH(AF127,'[2]Cross-Section Database'!$B$2:$B$3928,0),12)</f>
        <v>566300</v>
      </c>
      <c r="AN127" s="23">
        <v>20</v>
      </c>
      <c r="AO127" s="23">
        <v>170</v>
      </c>
      <c r="AP127" s="23">
        <v>290</v>
      </c>
      <c r="AQ127" s="23">
        <f t="shared" si="31"/>
        <v>15.399999999999977</v>
      </c>
      <c r="AR127" s="23">
        <v>15</v>
      </c>
      <c r="AS127" s="143" t="s">
        <v>5807</v>
      </c>
      <c r="AT127" s="87" t="s">
        <v>6134</v>
      </c>
      <c r="AU127" s="164">
        <v>100</v>
      </c>
      <c r="AV127" s="164">
        <v>20</v>
      </c>
      <c r="AW127" s="164">
        <f t="shared" si="30"/>
        <v>245</v>
      </c>
      <c r="AX127" s="23">
        <v>95</v>
      </c>
      <c r="AY127" s="23">
        <v>95</v>
      </c>
      <c r="AZ127" s="23">
        <v>60</v>
      </c>
      <c r="BA127" s="23">
        <v>100</v>
      </c>
      <c r="BB127" s="23">
        <v>65</v>
      </c>
      <c r="BC127" s="23" t="s">
        <v>4420</v>
      </c>
      <c r="BD127" s="23" t="s">
        <v>4465</v>
      </c>
      <c r="BE127" s="164" t="s">
        <v>6209</v>
      </c>
      <c r="BF127" s="164">
        <v>4</v>
      </c>
      <c r="BG127" s="164">
        <v>6</v>
      </c>
      <c r="BH127" s="197" t="s">
        <v>5792</v>
      </c>
      <c r="BI127" s="198" t="s">
        <v>5792</v>
      </c>
      <c r="BJ127" s="198" t="s">
        <v>5792</v>
      </c>
      <c r="BK127" s="198" t="s">
        <v>5792</v>
      </c>
      <c r="BL127" s="198" t="s">
        <v>5792</v>
      </c>
      <c r="BM127" s="198" t="s">
        <v>5792</v>
      </c>
      <c r="BN127" s="198" t="s">
        <v>5792</v>
      </c>
      <c r="BO127" s="198" t="s">
        <v>5792</v>
      </c>
      <c r="BP127" s="197" t="s">
        <v>5792</v>
      </c>
      <c r="BQ127" s="198" t="s">
        <v>5792</v>
      </c>
      <c r="BR127" s="198" t="s">
        <v>5792</v>
      </c>
      <c r="BS127" s="198" t="s">
        <v>5792</v>
      </c>
      <c r="BT127" s="198" t="s">
        <v>5792</v>
      </c>
      <c r="BU127" s="198" t="s">
        <v>5792</v>
      </c>
      <c r="BV127" s="220" t="s">
        <v>5792</v>
      </c>
      <c r="BW127" s="198" t="s">
        <v>5792</v>
      </c>
      <c r="BX127" s="198" t="s">
        <v>5792</v>
      </c>
      <c r="BY127" s="198" t="s">
        <v>5792</v>
      </c>
      <c r="BZ127" s="198" t="s">
        <v>5792</v>
      </c>
      <c r="CA127" s="198" t="s">
        <v>5792</v>
      </c>
      <c r="CB127" s="220" t="s">
        <v>5792</v>
      </c>
      <c r="CC127" s="34" t="s">
        <v>4449</v>
      </c>
      <c r="CD127" s="85">
        <v>235</v>
      </c>
      <c r="CE127" s="34">
        <v>300</v>
      </c>
      <c r="CF127" s="85">
        <v>360</v>
      </c>
      <c r="CG127" s="34">
        <v>450</v>
      </c>
      <c r="CH127" s="70">
        <v>200000</v>
      </c>
      <c r="CI127" s="132" t="s">
        <v>4449</v>
      </c>
      <c r="CJ127" s="85">
        <v>235</v>
      </c>
      <c r="CK127" s="34">
        <v>300</v>
      </c>
      <c r="CL127" s="87">
        <v>360</v>
      </c>
      <c r="CM127" s="34">
        <v>450</v>
      </c>
      <c r="CN127" s="70">
        <v>200000</v>
      </c>
      <c r="CO127" s="34" t="s">
        <v>4449</v>
      </c>
      <c r="CP127" s="85">
        <v>235</v>
      </c>
      <c r="CQ127" s="164">
        <v>300</v>
      </c>
      <c r="CR127" s="87">
        <v>360</v>
      </c>
      <c r="CS127" s="34">
        <v>450</v>
      </c>
      <c r="CT127" s="77">
        <v>200000</v>
      </c>
      <c r="CU127" s="210" t="s">
        <v>5792</v>
      </c>
      <c r="CV127" s="211" t="s">
        <v>5792</v>
      </c>
      <c r="CW127" s="211" t="s">
        <v>5792</v>
      </c>
      <c r="CX127" s="212" t="s">
        <v>5792</v>
      </c>
      <c r="CY127" s="210" t="s">
        <v>5792</v>
      </c>
      <c r="CZ127" s="211" t="s">
        <v>5792</v>
      </c>
      <c r="DA127" s="212" t="s">
        <v>5792</v>
      </c>
      <c r="DB127" s="284" t="s">
        <v>5792</v>
      </c>
      <c r="DC127" s="164">
        <v>8.8000000000000007</v>
      </c>
      <c r="DD127" s="164">
        <v>640</v>
      </c>
      <c r="DE127" s="34">
        <v>730</v>
      </c>
      <c r="DF127" s="164">
        <v>800</v>
      </c>
      <c r="DG127" s="34">
        <v>940</v>
      </c>
      <c r="DH127" s="77">
        <v>200000</v>
      </c>
      <c r="DI127" s="27" t="s">
        <v>15</v>
      </c>
      <c r="DJ127" s="34" t="s">
        <v>4435</v>
      </c>
      <c r="DK127" s="298" t="s">
        <v>4566</v>
      </c>
    </row>
    <row r="128" spans="1:115" ht="15.6" customHeight="1">
      <c r="A128" s="18">
        <v>123</v>
      </c>
      <c r="B128" s="350">
        <v>15</v>
      </c>
      <c r="C128" s="350">
        <v>1987</v>
      </c>
      <c r="D128" s="345" t="s">
        <v>4670</v>
      </c>
      <c r="E128" s="333" t="s">
        <v>4864</v>
      </c>
      <c r="F128" s="461">
        <v>3</v>
      </c>
      <c r="G128" s="336" t="s">
        <v>5909</v>
      </c>
      <c r="H128" s="336" t="s">
        <v>5902</v>
      </c>
      <c r="I128" s="336" t="s">
        <v>6230</v>
      </c>
      <c r="J128" s="41" t="s">
        <v>4426</v>
      </c>
      <c r="K128" s="305" t="s">
        <v>4383</v>
      </c>
      <c r="L128" s="163" t="s">
        <v>5792</v>
      </c>
      <c r="M128" s="306" t="s">
        <v>4508</v>
      </c>
      <c r="N128" s="163" t="s">
        <v>4701</v>
      </c>
      <c r="O128" s="18" t="s">
        <v>4506</v>
      </c>
      <c r="P128" s="163" t="s">
        <v>6312</v>
      </c>
      <c r="Q128" s="163" t="s">
        <v>4420</v>
      </c>
      <c r="R128" s="163" t="s">
        <v>6312</v>
      </c>
      <c r="S128" s="163" t="s">
        <v>5792</v>
      </c>
      <c r="T128" s="163" t="s">
        <v>4420</v>
      </c>
      <c r="U128" s="163" t="s">
        <v>5792</v>
      </c>
      <c r="V128" s="163" t="s">
        <v>6050</v>
      </c>
      <c r="W128" s="18">
        <v>4</v>
      </c>
      <c r="X128" s="231">
        <v>0</v>
      </c>
      <c r="Y128" s="18">
        <v>0</v>
      </c>
      <c r="Z128" s="159" t="s">
        <v>4336</v>
      </c>
      <c r="AA128" s="21">
        <f>INDEX('[2]Cross-Section Database'!$C$2:$V$2928,MATCH(Z128,'[2]Cross-Section Database'!$B$2:$B$2928,0),3)</f>
        <v>152.4</v>
      </c>
      <c r="AB128" s="21">
        <f>INDEX('[2]Cross-Section Database'!$C$2:$V$2928,MATCH(Z128,'[2]Cross-Section Database'!$B$2:$B$2928,0),4)</f>
        <v>152.19999999999999</v>
      </c>
      <c r="AC128" s="21">
        <f>INDEX('[2]Cross-Section Database'!$C$2:$V$2928,MATCH(Z128,'[2]Cross-Section Database'!$B$2:$B$2928,0),6)</f>
        <v>6.8</v>
      </c>
      <c r="AD128" s="21">
        <f>INDEX('[2]Cross-Section Database'!$C$2:$V$2928,MATCH(Z128,'[2]Cross-Section Database'!$B$2:$B$2928,0),5)</f>
        <v>5.8</v>
      </c>
      <c r="AE128" s="38">
        <v>800</v>
      </c>
      <c r="AF128" s="159" t="s">
        <v>4205</v>
      </c>
      <c r="AG128" s="21">
        <f>INDEX('[2]Cross-Section Database'!$C$2:$V$2928,MATCH(AF128,'[2]Cross-Section Database'!$B$2:$B$2928,0),3)</f>
        <v>254</v>
      </c>
      <c r="AH128" s="21">
        <f>INDEX('[2]Cross-Section Database'!$C$2:$V$2928,MATCH(AF128,'[2]Cross-Section Database'!$B$2:$B$2928,0),4)</f>
        <v>101.6</v>
      </c>
      <c r="AI128" s="21">
        <f>INDEX('[2]Cross-Section Database'!$C$2:$V$2928,MATCH(AF128,'[2]Cross-Section Database'!$B$2:$B$2928,0),6)</f>
        <v>6.8</v>
      </c>
      <c r="AJ128" s="21">
        <f>INDEX('[2]Cross-Section Database'!$C$2:$V$2928,MATCH(AF128,'[2]Cross-Section Database'!$B$2:$B$2928,0),5)</f>
        <v>5.7</v>
      </c>
      <c r="AK128" s="21">
        <v>923.8</v>
      </c>
      <c r="AL128" s="21">
        <f>INDEX('[2]Cross-Section Database'!$C$2:$V$3928,MATCH(AF128,'[2]Cross-Section Database'!$B$2:$B$3928,0),11)</f>
        <v>28410000</v>
      </c>
      <c r="AM128" s="24">
        <f>INDEX('[2]Cross-Section Database'!$C$2:$V$3928,MATCH(AF128,'[2]Cross-Section Database'!$B$2:$B$3928,0),12)</f>
        <v>259000</v>
      </c>
      <c r="AN128" s="21">
        <v>12</v>
      </c>
      <c r="AO128" s="21">
        <v>125</v>
      </c>
      <c r="AP128" s="21">
        <v>265</v>
      </c>
      <c r="AQ128" s="21">
        <f t="shared" si="31"/>
        <v>5.5</v>
      </c>
      <c r="AR128" s="21">
        <f>(AP128-AG128)/2</f>
        <v>5.5</v>
      </c>
      <c r="AS128" s="306" t="s">
        <v>5807</v>
      </c>
      <c r="AT128" s="10" t="s">
        <v>4500</v>
      </c>
      <c r="AU128" s="163">
        <v>160</v>
      </c>
      <c r="AV128" s="163">
        <v>16</v>
      </c>
      <c r="AW128" s="163">
        <f t="shared" si="30"/>
        <v>157</v>
      </c>
      <c r="AX128" s="21">
        <f>55-AR128-AI128/2</f>
        <v>46.1</v>
      </c>
      <c r="AY128" s="21">
        <f>AX128</f>
        <v>46.1</v>
      </c>
      <c r="AZ128" s="21">
        <v>50</v>
      </c>
      <c r="BA128" s="21">
        <v>76</v>
      </c>
      <c r="BB128" s="21">
        <f>AP128-AX128-AY128-AZ128</f>
        <v>122.80000000000001</v>
      </c>
      <c r="BC128" s="21" t="s">
        <v>6312</v>
      </c>
      <c r="BD128" s="21" t="s">
        <v>4465</v>
      </c>
      <c r="BE128" s="163" t="s">
        <v>6209</v>
      </c>
      <c r="BF128" s="163">
        <v>4</v>
      </c>
      <c r="BG128" s="10">
        <v>6</v>
      </c>
      <c r="BH128" s="202" t="s">
        <v>5792</v>
      </c>
      <c r="BI128" s="203" t="s">
        <v>5792</v>
      </c>
      <c r="BJ128" s="203" t="s">
        <v>5792</v>
      </c>
      <c r="BK128" s="203" t="s">
        <v>5792</v>
      </c>
      <c r="BL128" s="203" t="s">
        <v>5792</v>
      </c>
      <c r="BM128" s="203" t="s">
        <v>5792</v>
      </c>
      <c r="BN128" s="203" t="s">
        <v>5792</v>
      </c>
      <c r="BO128" s="203" t="s">
        <v>5792</v>
      </c>
      <c r="BP128" s="202" t="s">
        <v>5792</v>
      </c>
      <c r="BQ128" s="203" t="s">
        <v>5792</v>
      </c>
      <c r="BR128" s="203" t="s">
        <v>5792</v>
      </c>
      <c r="BS128" s="203" t="s">
        <v>5792</v>
      </c>
      <c r="BT128" s="203" t="s">
        <v>5792</v>
      </c>
      <c r="BU128" s="203" t="s">
        <v>5792</v>
      </c>
      <c r="BV128" s="218" t="s">
        <v>5792</v>
      </c>
      <c r="BW128" s="203" t="s">
        <v>5792</v>
      </c>
      <c r="BX128" s="203" t="s">
        <v>5792</v>
      </c>
      <c r="BY128" s="203" t="s">
        <v>5792</v>
      </c>
      <c r="BZ128" s="203" t="s">
        <v>5792</v>
      </c>
      <c r="CA128" s="203" t="s">
        <v>5792</v>
      </c>
      <c r="CB128" s="218" t="s">
        <v>5792</v>
      </c>
      <c r="CC128" s="163" t="s">
        <v>6282</v>
      </c>
      <c r="CD128" s="60">
        <v>275</v>
      </c>
      <c r="CE128" s="60">
        <v>276</v>
      </c>
      <c r="CF128" s="60">
        <v>430</v>
      </c>
      <c r="CG128" s="71">
        <f>CF128/CD128*CE128</f>
        <v>431.56363636363636</v>
      </c>
      <c r="CH128" s="67">
        <v>200000</v>
      </c>
      <c r="CI128" s="163" t="s">
        <v>6282</v>
      </c>
      <c r="CJ128" s="60">
        <v>275</v>
      </c>
      <c r="CK128" s="47">
        <v>287.3</v>
      </c>
      <c r="CL128" s="60">
        <v>430</v>
      </c>
      <c r="CM128" s="71">
        <f>CL128*1.1</f>
        <v>473.00000000000006</v>
      </c>
      <c r="CN128" s="67">
        <v>200000</v>
      </c>
      <c r="CO128" s="163" t="s">
        <v>6282</v>
      </c>
      <c r="CP128" s="60">
        <v>275</v>
      </c>
      <c r="CQ128" s="47">
        <v>290.39999999999998</v>
      </c>
      <c r="CR128" s="60">
        <v>430</v>
      </c>
      <c r="CS128" s="71">
        <f>CR128/CP128*CQ128</f>
        <v>454.08</v>
      </c>
      <c r="CT128" s="61">
        <v>200000</v>
      </c>
      <c r="CU128" s="207" t="s">
        <v>5792</v>
      </c>
      <c r="CV128" s="208" t="s">
        <v>5792</v>
      </c>
      <c r="CW128" s="208" t="s">
        <v>5792</v>
      </c>
      <c r="CX128" s="209" t="s">
        <v>5792</v>
      </c>
      <c r="CY128" s="207" t="s">
        <v>5792</v>
      </c>
      <c r="CZ128" s="208" t="s">
        <v>5792</v>
      </c>
      <c r="DA128" s="209" t="s">
        <v>5792</v>
      </c>
      <c r="DB128" s="283" t="s">
        <v>5792</v>
      </c>
      <c r="DC128" s="10">
        <v>4.5999999999999996</v>
      </c>
      <c r="DD128" s="10">
        <v>240</v>
      </c>
      <c r="DE128" s="32">
        <v>260</v>
      </c>
      <c r="DF128" s="10">
        <v>400</v>
      </c>
      <c r="DG128" s="32">
        <v>440</v>
      </c>
      <c r="DH128" s="61">
        <v>200000</v>
      </c>
      <c r="DI128" s="29" t="s">
        <v>4770</v>
      </c>
      <c r="DJ128" s="162" t="s">
        <v>6055</v>
      </c>
      <c r="DK128" s="296" t="s">
        <v>4566</v>
      </c>
    </row>
    <row r="129" spans="1:115">
      <c r="A129" s="18">
        <v>124</v>
      </c>
      <c r="B129" s="351"/>
      <c r="C129" s="351"/>
      <c r="D129" s="346"/>
      <c r="E129" s="334"/>
      <c r="F129" s="462"/>
      <c r="G129" s="337"/>
      <c r="H129" s="337"/>
      <c r="I129" s="337"/>
      <c r="J129" s="41" t="s">
        <v>4427</v>
      </c>
      <c r="K129" s="306" t="s">
        <v>4383</v>
      </c>
      <c r="L129" s="163" t="s">
        <v>5792</v>
      </c>
      <c r="M129" s="306" t="s">
        <v>4508</v>
      </c>
      <c r="N129" s="163" t="s">
        <v>4701</v>
      </c>
      <c r="O129" s="18" t="s">
        <v>4506</v>
      </c>
      <c r="P129" s="163" t="s">
        <v>6312</v>
      </c>
      <c r="Q129" s="163" t="s">
        <v>4420</v>
      </c>
      <c r="R129" s="163" t="s">
        <v>6312</v>
      </c>
      <c r="S129" s="163" t="s">
        <v>5792</v>
      </c>
      <c r="T129" s="163" t="s">
        <v>4420</v>
      </c>
      <c r="U129" s="163" t="s">
        <v>5792</v>
      </c>
      <c r="V129" s="163" t="s">
        <v>6050</v>
      </c>
      <c r="W129" s="18">
        <v>4</v>
      </c>
      <c r="X129" s="231">
        <v>0</v>
      </c>
      <c r="Y129" s="18">
        <v>0</v>
      </c>
      <c r="Z129" s="159" t="s">
        <v>4336</v>
      </c>
      <c r="AA129" s="21">
        <f>INDEX('[2]Cross-Section Database'!$C$2:$V$2928,MATCH(Z129,'[2]Cross-Section Database'!$B$2:$B$2928,0),3)</f>
        <v>152.4</v>
      </c>
      <c r="AB129" s="21">
        <f>INDEX('[2]Cross-Section Database'!$C$2:$V$2928,MATCH(Z129,'[2]Cross-Section Database'!$B$2:$B$2928,0),4)</f>
        <v>152.19999999999999</v>
      </c>
      <c r="AC129" s="21">
        <f>INDEX('[2]Cross-Section Database'!$C$2:$V$2928,MATCH(Z129,'[2]Cross-Section Database'!$B$2:$B$2928,0),6)</f>
        <v>6.8</v>
      </c>
      <c r="AD129" s="21">
        <f>INDEX('[2]Cross-Section Database'!$C$2:$V$2928,MATCH(Z129,'[2]Cross-Section Database'!$B$2:$B$2928,0),5)</f>
        <v>5.8</v>
      </c>
      <c r="AE129" s="38">
        <v>800</v>
      </c>
      <c r="AF129" s="159" t="s">
        <v>4205</v>
      </c>
      <c r="AG129" s="21">
        <f>INDEX('[2]Cross-Section Database'!$C$2:$V$2928,MATCH(AF129,'[2]Cross-Section Database'!$B$2:$B$2928,0),3)</f>
        <v>254</v>
      </c>
      <c r="AH129" s="21">
        <f>INDEX('[2]Cross-Section Database'!$C$2:$V$2928,MATCH(AF129,'[2]Cross-Section Database'!$B$2:$B$2928,0),4)</f>
        <v>101.6</v>
      </c>
      <c r="AI129" s="21">
        <f>INDEX('[2]Cross-Section Database'!$C$2:$V$2928,MATCH(AF129,'[2]Cross-Section Database'!$B$2:$B$2928,0),6)</f>
        <v>6.8</v>
      </c>
      <c r="AJ129" s="21">
        <f>INDEX('[2]Cross-Section Database'!$C$2:$V$2928,MATCH(AF129,'[2]Cross-Section Database'!$B$2:$B$2928,0),5)</f>
        <v>5.7</v>
      </c>
      <c r="AK129" s="21">
        <v>923.8</v>
      </c>
      <c r="AL129" s="21">
        <f>INDEX('[2]Cross-Section Database'!$C$2:$V$3928,MATCH(AF129,'[2]Cross-Section Database'!$B$2:$B$3928,0),11)</f>
        <v>28410000</v>
      </c>
      <c r="AM129" s="24">
        <f>INDEX('[2]Cross-Section Database'!$C$2:$V$3928,MATCH(AF129,'[2]Cross-Section Database'!$B$2:$B$3928,0),12)</f>
        <v>259000</v>
      </c>
      <c r="AN129" s="21">
        <v>12</v>
      </c>
      <c r="AO129" s="21">
        <v>125</v>
      </c>
      <c r="AP129" s="21">
        <v>265</v>
      </c>
      <c r="AQ129" s="21">
        <f t="shared" si="31"/>
        <v>5.5</v>
      </c>
      <c r="AR129" s="21">
        <f>(AP129-AG129)/2</f>
        <v>5.5</v>
      </c>
      <c r="AS129" s="306" t="s">
        <v>5807</v>
      </c>
      <c r="AT129" s="163" t="s">
        <v>4500</v>
      </c>
      <c r="AU129" s="163">
        <v>160</v>
      </c>
      <c r="AV129" s="163">
        <v>16</v>
      </c>
      <c r="AW129" s="163">
        <f t="shared" si="30"/>
        <v>157</v>
      </c>
      <c r="AX129" s="21">
        <f>55-AR129-AI129/2</f>
        <v>46.1</v>
      </c>
      <c r="AY129" s="21">
        <f>AX129</f>
        <v>46.1</v>
      </c>
      <c r="AZ129" s="21">
        <v>50</v>
      </c>
      <c r="BA129" s="21">
        <v>76</v>
      </c>
      <c r="BB129" s="21">
        <f>AP129-AX129-AY129-AZ129</f>
        <v>122.80000000000001</v>
      </c>
      <c r="BC129" s="21" t="s">
        <v>6312</v>
      </c>
      <c r="BD129" s="21" t="s">
        <v>4465</v>
      </c>
      <c r="BE129" s="163" t="s">
        <v>6209</v>
      </c>
      <c r="BF129" s="163">
        <v>4</v>
      </c>
      <c r="BG129" s="10">
        <v>6</v>
      </c>
      <c r="BH129" s="202" t="s">
        <v>5792</v>
      </c>
      <c r="BI129" s="203" t="s">
        <v>5792</v>
      </c>
      <c r="BJ129" s="203" t="s">
        <v>5792</v>
      </c>
      <c r="BK129" s="203" t="s">
        <v>5792</v>
      </c>
      <c r="BL129" s="203" t="s">
        <v>5792</v>
      </c>
      <c r="BM129" s="203" t="s">
        <v>5792</v>
      </c>
      <c r="BN129" s="203" t="s">
        <v>5792</v>
      </c>
      <c r="BO129" s="203" t="s">
        <v>5792</v>
      </c>
      <c r="BP129" s="202" t="s">
        <v>5792</v>
      </c>
      <c r="BQ129" s="203" t="s">
        <v>5792</v>
      </c>
      <c r="BR129" s="203" t="s">
        <v>5792</v>
      </c>
      <c r="BS129" s="203" t="s">
        <v>5792</v>
      </c>
      <c r="BT129" s="203" t="s">
        <v>5792</v>
      </c>
      <c r="BU129" s="203" t="s">
        <v>5792</v>
      </c>
      <c r="BV129" s="218" t="s">
        <v>5792</v>
      </c>
      <c r="BW129" s="203" t="s">
        <v>5792</v>
      </c>
      <c r="BX129" s="203" t="s">
        <v>5792</v>
      </c>
      <c r="BY129" s="203" t="s">
        <v>5792</v>
      </c>
      <c r="BZ129" s="203" t="s">
        <v>5792</v>
      </c>
      <c r="CA129" s="203" t="s">
        <v>5792</v>
      </c>
      <c r="CB129" s="218" t="s">
        <v>5792</v>
      </c>
      <c r="CC129" s="163" t="s">
        <v>6282</v>
      </c>
      <c r="CD129" s="60">
        <v>275</v>
      </c>
      <c r="CE129" s="60">
        <v>276</v>
      </c>
      <c r="CF129" s="60">
        <v>430</v>
      </c>
      <c r="CG129" s="71">
        <f>CF129/CD129*CE129</f>
        <v>431.56363636363636</v>
      </c>
      <c r="CH129" s="67">
        <v>200000</v>
      </c>
      <c r="CI129" s="163" t="s">
        <v>6282</v>
      </c>
      <c r="CJ129" s="60">
        <v>275</v>
      </c>
      <c r="CK129" s="47">
        <v>287.3</v>
      </c>
      <c r="CL129" s="60">
        <v>430</v>
      </c>
      <c r="CM129" s="71">
        <f>CL129*1.1</f>
        <v>473.00000000000006</v>
      </c>
      <c r="CN129" s="67">
        <v>200000</v>
      </c>
      <c r="CO129" s="163" t="s">
        <v>6282</v>
      </c>
      <c r="CP129" s="60">
        <v>275</v>
      </c>
      <c r="CQ129" s="47">
        <v>290.39999999999998</v>
      </c>
      <c r="CR129" s="60">
        <v>430</v>
      </c>
      <c r="CS129" s="71">
        <f>CR129/CP129*CQ129</f>
        <v>454.08</v>
      </c>
      <c r="CT129" s="61">
        <v>200000</v>
      </c>
      <c r="CU129" s="207" t="s">
        <v>5792</v>
      </c>
      <c r="CV129" s="208" t="s">
        <v>5792</v>
      </c>
      <c r="CW129" s="208" t="s">
        <v>5792</v>
      </c>
      <c r="CX129" s="209" t="s">
        <v>5792</v>
      </c>
      <c r="CY129" s="207" t="s">
        <v>5792</v>
      </c>
      <c r="CZ129" s="208" t="s">
        <v>5792</v>
      </c>
      <c r="DA129" s="209" t="s">
        <v>5792</v>
      </c>
      <c r="DB129" s="283" t="s">
        <v>5792</v>
      </c>
      <c r="DC129" s="10">
        <v>4.5999999999999996</v>
      </c>
      <c r="DD129" s="10">
        <v>240</v>
      </c>
      <c r="DE129" s="32">
        <v>260</v>
      </c>
      <c r="DF129" s="10">
        <v>400</v>
      </c>
      <c r="DG129" s="32">
        <v>440</v>
      </c>
      <c r="DH129" s="61">
        <v>200000</v>
      </c>
      <c r="DI129" s="29" t="s">
        <v>4759</v>
      </c>
      <c r="DJ129" s="163" t="s">
        <v>6055</v>
      </c>
      <c r="DK129" s="297" t="s">
        <v>4566</v>
      </c>
    </row>
    <row r="130" spans="1:115" ht="16.2" thickBot="1">
      <c r="A130" s="18">
        <v>125</v>
      </c>
      <c r="B130" s="352"/>
      <c r="C130" s="352"/>
      <c r="D130" s="347"/>
      <c r="E130" s="335"/>
      <c r="F130" s="463"/>
      <c r="G130" s="338"/>
      <c r="H130" s="338"/>
      <c r="I130" s="338"/>
      <c r="J130" s="41" t="s">
        <v>4428</v>
      </c>
      <c r="K130" s="306" t="s">
        <v>4383</v>
      </c>
      <c r="L130" s="163" t="s">
        <v>5792</v>
      </c>
      <c r="M130" s="306" t="s">
        <v>4508</v>
      </c>
      <c r="N130" s="163" t="s">
        <v>4701</v>
      </c>
      <c r="O130" s="18" t="s">
        <v>4507</v>
      </c>
      <c r="P130" s="163" t="s">
        <v>6312</v>
      </c>
      <c r="Q130" s="163" t="s">
        <v>4420</v>
      </c>
      <c r="R130" s="163" t="s">
        <v>6312</v>
      </c>
      <c r="S130" s="163" t="s">
        <v>5792</v>
      </c>
      <c r="T130" s="163" t="s">
        <v>4420</v>
      </c>
      <c r="U130" s="163" t="s">
        <v>5792</v>
      </c>
      <c r="V130" s="163" t="s">
        <v>6050</v>
      </c>
      <c r="W130" s="18">
        <v>4</v>
      </c>
      <c r="X130" s="231">
        <v>0</v>
      </c>
      <c r="Y130" s="18">
        <v>0</v>
      </c>
      <c r="Z130" s="159" t="s">
        <v>4336</v>
      </c>
      <c r="AA130" s="21">
        <f>INDEX('[2]Cross-Section Database'!$C$2:$V$2928,MATCH(Z130,'[2]Cross-Section Database'!$B$2:$B$2928,0),3)</f>
        <v>152.4</v>
      </c>
      <c r="AB130" s="21">
        <f>INDEX('[2]Cross-Section Database'!$C$2:$V$2928,MATCH(Z130,'[2]Cross-Section Database'!$B$2:$B$2928,0),4)</f>
        <v>152.19999999999999</v>
      </c>
      <c r="AC130" s="21">
        <f>INDEX('[2]Cross-Section Database'!$C$2:$V$2928,MATCH(Z130,'[2]Cross-Section Database'!$B$2:$B$2928,0),6)</f>
        <v>6.8</v>
      </c>
      <c r="AD130" s="21">
        <f>INDEX('[2]Cross-Section Database'!$C$2:$V$2928,MATCH(Z130,'[2]Cross-Section Database'!$B$2:$B$2928,0),5)</f>
        <v>5.8</v>
      </c>
      <c r="AE130" s="38">
        <v>800</v>
      </c>
      <c r="AF130" s="159" t="s">
        <v>4205</v>
      </c>
      <c r="AG130" s="21">
        <f>INDEX('[2]Cross-Section Database'!$C$2:$V$2928,MATCH(AF130,'[2]Cross-Section Database'!$B$2:$B$2928,0),3)</f>
        <v>254</v>
      </c>
      <c r="AH130" s="21">
        <f>INDEX('[2]Cross-Section Database'!$C$2:$V$2928,MATCH(AF130,'[2]Cross-Section Database'!$B$2:$B$2928,0),4)</f>
        <v>101.6</v>
      </c>
      <c r="AI130" s="21">
        <f>INDEX('[2]Cross-Section Database'!$C$2:$V$2928,MATCH(AF130,'[2]Cross-Section Database'!$B$2:$B$2928,0),6)</f>
        <v>6.8</v>
      </c>
      <c r="AJ130" s="21">
        <f>INDEX('[2]Cross-Section Database'!$C$2:$V$2928,MATCH(AF130,'[2]Cross-Section Database'!$B$2:$B$2928,0),5)</f>
        <v>5.7</v>
      </c>
      <c r="AK130" s="21">
        <v>923.8</v>
      </c>
      <c r="AL130" s="21">
        <f>INDEX('[2]Cross-Section Database'!$C$2:$V$3928,MATCH(AF130,'[2]Cross-Section Database'!$B$2:$B$3928,0),11)</f>
        <v>28410000</v>
      </c>
      <c r="AM130" s="24">
        <f>INDEX('[2]Cross-Section Database'!$C$2:$V$3928,MATCH(AF130,'[2]Cross-Section Database'!$B$2:$B$3928,0),12)</f>
        <v>259000</v>
      </c>
      <c r="AN130" s="21">
        <v>12</v>
      </c>
      <c r="AO130" s="21">
        <v>125</v>
      </c>
      <c r="AP130" s="21">
        <v>265</v>
      </c>
      <c r="AQ130" s="21">
        <f t="shared" si="31"/>
        <v>5.5</v>
      </c>
      <c r="AR130" s="21">
        <f>(AP130-AG130)/2</f>
        <v>5.5</v>
      </c>
      <c r="AS130" s="306" t="s">
        <v>5807</v>
      </c>
      <c r="AT130" s="163" t="s">
        <v>4500</v>
      </c>
      <c r="AU130" s="163">
        <v>160</v>
      </c>
      <c r="AV130" s="163">
        <v>16</v>
      </c>
      <c r="AW130" s="163">
        <f t="shared" si="30"/>
        <v>157</v>
      </c>
      <c r="AX130" s="21">
        <v>55</v>
      </c>
      <c r="AY130" s="21">
        <f>AX130</f>
        <v>55</v>
      </c>
      <c r="AZ130" s="21">
        <v>50</v>
      </c>
      <c r="BA130" s="21">
        <v>76</v>
      </c>
      <c r="BB130" s="21">
        <f>AP130-AX130-AY130-AZ130</f>
        <v>105</v>
      </c>
      <c r="BC130" s="21" t="s">
        <v>6312</v>
      </c>
      <c r="BD130" s="21" t="s">
        <v>4465</v>
      </c>
      <c r="BE130" s="163" t="s">
        <v>6209</v>
      </c>
      <c r="BF130" s="163">
        <v>4</v>
      </c>
      <c r="BG130" s="10">
        <v>6</v>
      </c>
      <c r="BH130" s="202" t="s">
        <v>5792</v>
      </c>
      <c r="BI130" s="203" t="s">
        <v>5792</v>
      </c>
      <c r="BJ130" s="203" t="s">
        <v>5792</v>
      </c>
      <c r="BK130" s="203" t="s">
        <v>5792</v>
      </c>
      <c r="BL130" s="203" t="s">
        <v>5792</v>
      </c>
      <c r="BM130" s="203" t="s">
        <v>5792</v>
      </c>
      <c r="BN130" s="203" t="s">
        <v>5792</v>
      </c>
      <c r="BO130" s="203" t="s">
        <v>5792</v>
      </c>
      <c r="BP130" s="202" t="s">
        <v>5792</v>
      </c>
      <c r="BQ130" s="203" t="s">
        <v>5792</v>
      </c>
      <c r="BR130" s="203" t="s">
        <v>5792</v>
      </c>
      <c r="BS130" s="203" t="s">
        <v>5792</v>
      </c>
      <c r="BT130" s="203" t="s">
        <v>5792</v>
      </c>
      <c r="BU130" s="203" t="s">
        <v>5792</v>
      </c>
      <c r="BV130" s="218" t="s">
        <v>5792</v>
      </c>
      <c r="BW130" s="203" t="s">
        <v>5792</v>
      </c>
      <c r="BX130" s="203" t="s">
        <v>5792</v>
      </c>
      <c r="BY130" s="203" t="s">
        <v>5792</v>
      </c>
      <c r="BZ130" s="203" t="s">
        <v>5792</v>
      </c>
      <c r="CA130" s="203" t="s">
        <v>5792</v>
      </c>
      <c r="CB130" s="218" t="s">
        <v>5792</v>
      </c>
      <c r="CC130" s="163" t="s">
        <v>6282</v>
      </c>
      <c r="CD130" s="60">
        <v>275</v>
      </c>
      <c r="CE130" s="60">
        <v>268</v>
      </c>
      <c r="CF130" s="60">
        <v>430</v>
      </c>
      <c r="CG130" s="71">
        <f>CF130/CD130*CE130</f>
        <v>419.05454545454546</v>
      </c>
      <c r="CH130" s="67">
        <v>200000</v>
      </c>
      <c r="CI130" s="163" t="s">
        <v>6282</v>
      </c>
      <c r="CJ130" s="60">
        <v>275</v>
      </c>
      <c r="CK130" s="47">
        <v>308.8</v>
      </c>
      <c r="CL130" s="60">
        <v>430</v>
      </c>
      <c r="CM130" s="71">
        <f>CL130*1.1</f>
        <v>473.00000000000006</v>
      </c>
      <c r="CN130" s="67">
        <v>200000</v>
      </c>
      <c r="CO130" s="163" t="s">
        <v>6282</v>
      </c>
      <c r="CP130" s="60">
        <v>275</v>
      </c>
      <c r="CQ130" s="47">
        <v>290.39999999999998</v>
      </c>
      <c r="CR130" s="60">
        <v>430</v>
      </c>
      <c r="CS130" s="71">
        <f>CR130/CP130*CQ130</f>
        <v>454.08</v>
      </c>
      <c r="CT130" s="61">
        <v>200000</v>
      </c>
      <c r="CU130" s="207" t="s">
        <v>5792</v>
      </c>
      <c r="CV130" s="208" t="s">
        <v>5792</v>
      </c>
      <c r="CW130" s="208" t="s">
        <v>5792</v>
      </c>
      <c r="CX130" s="209" t="s">
        <v>5792</v>
      </c>
      <c r="CY130" s="207" t="s">
        <v>5792</v>
      </c>
      <c r="CZ130" s="208" t="s">
        <v>5792</v>
      </c>
      <c r="DA130" s="209" t="s">
        <v>5792</v>
      </c>
      <c r="DB130" s="283" t="s">
        <v>5792</v>
      </c>
      <c r="DC130" s="10">
        <v>4.5999999999999996</v>
      </c>
      <c r="DD130" s="10">
        <v>240</v>
      </c>
      <c r="DE130" s="32">
        <v>260</v>
      </c>
      <c r="DF130" s="10">
        <v>400</v>
      </c>
      <c r="DG130" s="32">
        <v>440</v>
      </c>
      <c r="DH130" s="61">
        <v>200000</v>
      </c>
      <c r="DI130" s="41" t="s">
        <v>4573</v>
      </c>
      <c r="DJ130" s="163" t="s">
        <v>6055</v>
      </c>
      <c r="DK130" s="297" t="s">
        <v>4566</v>
      </c>
    </row>
    <row r="131" spans="1:115" ht="16.2" thickBot="1">
      <c r="A131" s="109">
        <v>126</v>
      </c>
      <c r="B131" s="11">
        <v>16</v>
      </c>
      <c r="C131" s="11">
        <v>1987</v>
      </c>
      <c r="D131" s="140" t="s">
        <v>4516</v>
      </c>
      <c r="E131" s="140" t="s">
        <v>4863</v>
      </c>
      <c r="F131" s="130">
        <v>1</v>
      </c>
      <c r="G131" s="11" t="s">
        <v>5909</v>
      </c>
      <c r="H131" s="40" t="s">
        <v>5902</v>
      </c>
      <c r="I131" s="11" t="s">
        <v>6231</v>
      </c>
      <c r="J131" s="86" t="s">
        <v>4512</v>
      </c>
      <c r="K131" s="9" t="s">
        <v>4383</v>
      </c>
      <c r="L131" s="108" t="s">
        <v>5792</v>
      </c>
      <c r="M131" s="9" t="s">
        <v>4508</v>
      </c>
      <c r="N131" s="108" t="s">
        <v>4701</v>
      </c>
      <c r="O131" s="109" t="s">
        <v>4507</v>
      </c>
      <c r="P131" s="108" t="s">
        <v>4420</v>
      </c>
      <c r="Q131" s="108" t="s">
        <v>4420</v>
      </c>
      <c r="R131" s="108" t="s">
        <v>4420</v>
      </c>
      <c r="S131" s="108" t="s">
        <v>5792</v>
      </c>
      <c r="T131" s="108" t="s">
        <v>4420</v>
      </c>
      <c r="U131" s="108" t="s">
        <v>5792</v>
      </c>
      <c r="V131" s="108" t="s">
        <v>4559</v>
      </c>
      <c r="W131" s="109">
        <v>8</v>
      </c>
      <c r="X131" s="234">
        <v>0</v>
      </c>
      <c r="Y131" s="119">
        <v>0</v>
      </c>
      <c r="Z131" s="161" t="s">
        <v>4338</v>
      </c>
      <c r="AA131" s="110">
        <f>INDEX('[2]Cross-Section Database'!$C$2:$V$2928,MATCH(Z131,'[2]Cross-Section Database'!$B$2:$B$2928,0),3)</f>
        <v>161.80000000000001</v>
      </c>
      <c r="AB131" s="110">
        <f>INDEX('[2]Cross-Section Database'!$C$2:$V$2928,MATCH(Z131,'[2]Cross-Section Database'!$B$2:$B$2928,0),4)</f>
        <v>154.4</v>
      </c>
      <c r="AC131" s="110">
        <f>INDEX('[2]Cross-Section Database'!$C$2:$V$2928,MATCH(Z131,'[2]Cross-Section Database'!$B$2:$B$2928,0),6)</f>
        <v>11.5</v>
      </c>
      <c r="AD131" s="110">
        <f>INDEX('[2]Cross-Section Database'!$C$2:$V$2928,MATCH(Z131,'[2]Cross-Section Database'!$B$2:$B$2928,0),5)</f>
        <v>8</v>
      </c>
      <c r="AE131" s="126">
        <v>800</v>
      </c>
      <c r="AF131" s="161" t="s">
        <v>4209</v>
      </c>
      <c r="AG131" s="110">
        <f>INDEX('[2]Cross-Section Database'!$C$2:$V$2928,MATCH(AF131,'[2]Cross-Section Database'!$B$2:$B$2928,0),3)</f>
        <v>256</v>
      </c>
      <c r="AH131" s="110">
        <f>INDEX('[2]Cross-Section Database'!$C$2:$V$2928,MATCH(AF131,'[2]Cross-Section Database'!$B$2:$B$2928,0),4)</f>
        <v>146.4</v>
      </c>
      <c r="AI131" s="110">
        <f>INDEX('[2]Cross-Section Database'!$C$2:$V$2928,MATCH(AF131,'[2]Cross-Section Database'!$B$2:$B$2928,0),6)</f>
        <v>10.9</v>
      </c>
      <c r="AJ131" s="110">
        <f>INDEX('[2]Cross-Section Database'!$C$2:$V$2928,MATCH(AF131,'[2]Cross-Section Database'!$B$2:$B$2928,0),5)</f>
        <v>6.3</v>
      </c>
      <c r="AK131" s="110">
        <v>923.8</v>
      </c>
      <c r="AL131" s="110">
        <f>INDEX('[2]Cross-Section Database'!$C$2:$V$3928,MATCH(AF131,'[2]Cross-Section Database'!$B$2:$B$3928,0),11)</f>
        <v>55370000</v>
      </c>
      <c r="AM131" s="111">
        <f>INDEX('[2]Cross-Section Database'!$C$2:$V$3928,MATCH(AF131,'[2]Cross-Section Database'!$B$2:$B$3928,0),12)</f>
        <v>483200</v>
      </c>
      <c r="AN131" s="110">
        <v>12</v>
      </c>
      <c r="AO131" s="110">
        <v>154</v>
      </c>
      <c r="AP131" s="110">
        <v>290</v>
      </c>
      <c r="AQ131" s="110">
        <v>15</v>
      </c>
      <c r="AR131" s="110">
        <v>15</v>
      </c>
      <c r="AS131" s="9" t="s">
        <v>5807</v>
      </c>
      <c r="AT131" s="108" t="s">
        <v>4499</v>
      </c>
      <c r="AU131" s="108" t="s">
        <v>6134</v>
      </c>
      <c r="AV131" s="108">
        <v>16</v>
      </c>
      <c r="AW131" s="108">
        <f t="shared" si="30"/>
        <v>157</v>
      </c>
      <c r="AX131" s="110">
        <v>80</v>
      </c>
      <c r="AY131" s="110">
        <v>75</v>
      </c>
      <c r="AZ131" s="110">
        <v>60</v>
      </c>
      <c r="BA131" s="110">
        <v>100</v>
      </c>
      <c r="BB131" s="110">
        <v>65</v>
      </c>
      <c r="BC131" s="110" t="s">
        <v>4420</v>
      </c>
      <c r="BD131" s="108" t="s">
        <v>4465</v>
      </c>
      <c r="BE131" s="108" t="s">
        <v>6209</v>
      </c>
      <c r="BF131" s="108">
        <v>4</v>
      </c>
      <c r="BG131" s="127">
        <v>6</v>
      </c>
      <c r="BH131" s="221" t="s">
        <v>5792</v>
      </c>
      <c r="BI131" s="222" t="s">
        <v>5792</v>
      </c>
      <c r="BJ131" s="222" t="s">
        <v>5792</v>
      </c>
      <c r="BK131" s="222" t="s">
        <v>5792</v>
      </c>
      <c r="BL131" s="222" t="s">
        <v>5792</v>
      </c>
      <c r="BM131" s="222" t="s">
        <v>5792</v>
      </c>
      <c r="BN131" s="222" t="s">
        <v>5792</v>
      </c>
      <c r="BO131" s="222" t="s">
        <v>5792</v>
      </c>
      <c r="BP131" s="221" t="s">
        <v>5792</v>
      </c>
      <c r="BQ131" s="222" t="s">
        <v>5792</v>
      </c>
      <c r="BR131" s="222" t="s">
        <v>5792</v>
      </c>
      <c r="BS131" s="222" t="s">
        <v>5792</v>
      </c>
      <c r="BT131" s="222" t="s">
        <v>5792</v>
      </c>
      <c r="BU131" s="222" t="s">
        <v>5792</v>
      </c>
      <c r="BV131" s="223" t="s">
        <v>5792</v>
      </c>
      <c r="BW131" s="222" t="s">
        <v>5792</v>
      </c>
      <c r="BX131" s="222" t="s">
        <v>5792</v>
      </c>
      <c r="BY131" s="222" t="s">
        <v>5792</v>
      </c>
      <c r="BZ131" s="222" t="s">
        <v>5792</v>
      </c>
      <c r="CA131" s="222" t="s">
        <v>5792</v>
      </c>
      <c r="CB131" s="223" t="s">
        <v>5792</v>
      </c>
      <c r="CC131" s="113" t="s">
        <v>4450</v>
      </c>
      <c r="CD131" s="157">
        <v>275</v>
      </c>
      <c r="CE131" s="113">
        <v>300</v>
      </c>
      <c r="CF131" s="157">
        <v>410</v>
      </c>
      <c r="CG131" s="128">
        <v>450</v>
      </c>
      <c r="CH131" s="115">
        <v>200000</v>
      </c>
      <c r="CI131" s="137" t="s">
        <v>4450</v>
      </c>
      <c r="CJ131" s="157">
        <v>275</v>
      </c>
      <c r="CK131" s="114">
        <v>300</v>
      </c>
      <c r="CL131" s="157">
        <v>410</v>
      </c>
      <c r="CM131" s="128">
        <v>450</v>
      </c>
      <c r="CN131" s="115">
        <v>200000</v>
      </c>
      <c r="CO131" s="113" t="s">
        <v>4450</v>
      </c>
      <c r="CP131" s="157">
        <v>275</v>
      </c>
      <c r="CQ131" s="114">
        <v>300</v>
      </c>
      <c r="CR131" s="157">
        <v>410</v>
      </c>
      <c r="CS131" s="128">
        <v>450</v>
      </c>
      <c r="CT131" s="116">
        <v>200000</v>
      </c>
      <c r="CU131" s="213" t="s">
        <v>5792</v>
      </c>
      <c r="CV131" s="214" t="s">
        <v>5792</v>
      </c>
      <c r="CW131" s="214" t="s">
        <v>5792</v>
      </c>
      <c r="CX131" s="215" t="s">
        <v>5792</v>
      </c>
      <c r="CY131" s="213" t="s">
        <v>5792</v>
      </c>
      <c r="CZ131" s="214" t="s">
        <v>5792</v>
      </c>
      <c r="DA131" s="215" t="s">
        <v>5792</v>
      </c>
      <c r="DB131" s="285" t="s">
        <v>5792</v>
      </c>
      <c r="DC131" s="127">
        <v>8.8000000000000007</v>
      </c>
      <c r="DD131" s="127">
        <v>640</v>
      </c>
      <c r="DE131" s="113">
        <v>730</v>
      </c>
      <c r="DF131" s="127">
        <v>830</v>
      </c>
      <c r="DG131" s="113">
        <v>940</v>
      </c>
      <c r="DH131" s="116">
        <v>200000</v>
      </c>
      <c r="DI131" s="86" t="s">
        <v>4765</v>
      </c>
      <c r="DJ131" s="127" t="s">
        <v>4561</v>
      </c>
      <c r="DK131" s="251" t="s">
        <v>4566</v>
      </c>
    </row>
    <row r="132" spans="1:115" ht="15.6" customHeight="1">
      <c r="A132" s="17">
        <v>127</v>
      </c>
      <c r="B132" s="325">
        <v>17</v>
      </c>
      <c r="C132" s="325">
        <v>1989</v>
      </c>
      <c r="D132" s="345" t="s">
        <v>4533</v>
      </c>
      <c r="E132" s="333" t="s">
        <v>4862</v>
      </c>
      <c r="F132" s="325">
        <v>5</v>
      </c>
      <c r="G132" s="328" t="s">
        <v>5910</v>
      </c>
      <c r="H132" s="325" t="s">
        <v>5904</v>
      </c>
      <c r="I132" s="325" t="s">
        <v>6232</v>
      </c>
      <c r="J132" s="43" t="s">
        <v>4554</v>
      </c>
      <c r="K132" s="305" t="s">
        <v>4383</v>
      </c>
      <c r="L132" s="162" t="s">
        <v>5792</v>
      </c>
      <c r="M132" s="305" t="s">
        <v>4552</v>
      </c>
      <c r="N132" s="162" t="s">
        <v>4707</v>
      </c>
      <c r="O132" s="17" t="s">
        <v>4507</v>
      </c>
      <c r="P132" s="162" t="s">
        <v>4420</v>
      </c>
      <c r="Q132" s="162" t="s">
        <v>4420</v>
      </c>
      <c r="R132" s="162" t="s">
        <v>4420</v>
      </c>
      <c r="S132" s="162" t="s">
        <v>5792</v>
      </c>
      <c r="T132" s="162" t="s">
        <v>4420</v>
      </c>
      <c r="U132" s="162" t="s">
        <v>5792</v>
      </c>
      <c r="V132" s="162" t="s">
        <v>4559</v>
      </c>
      <c r="W132" s="17">
        <v>6</v>
      </c>
      <c r="X132" s="232">
        <v>0</v>
      </c>
      <c r="Y132" s="18" t="s">
        <v>5792</v>
      </c>
      <c r="Z132" s="200" t="s">
        <v>5792</v>
      </c>
      <c r="AA132" s="201" t="s">
        <v>5792</v>
      </c>
      <c r="AB132" s="201" t="s">
        <v>5792</v>
      </c>
      <c r="AC132" s="201" t="s">
        <v>5792</v>
      </c>
      <c r="AD132" s="201" t="s">
        <v>5792</v>
      </c>
      <c r="AE132" s="201" t="s">
        <v>5792</v>
      </c>
      <c r="AF132" s="305" t="s">
        <v>5462</v>
      </c>
      <c r="AG132" s="16">
        <f>28*25.4</f>
        <v>711.19999999999993</v>
      </c>
      <c r="AH132" s="16">
        <f>10*25.4</f>
        <v>254</v>
      </c>
      <c r="AI132" s="16">
        <f>0.375*25.4</f>
        <v>9.5249999999999986</v>
      </c>
      <c r="AJ132" s="16">
        <f>0.313*25.4</f>
        <v>7.9501999999999997</v>
      </c>
      <c r="AK132" s="16">
        <f>10*12*25.4</f>
        <v>3048</v>
      </c>
      <c r="AL132" s="16">
        <f>AH132*AG132^3/12-(AH132-AJ132)*(AG132-2*AI132)^3/12</f>
        <v>815300934.17756462</v>
      </c>
      <c r="AM132" s="17">
        <v>2649752</v>
      </c>
      <c r="AN132" s="16">
        <f>3/8*25.4</f>
        <v>9.5249999999999986</v>
      </c>
      <c r="AO132" s="16">
        <f>AH132</f>
        <v>254</v>
      </c>
      <c r="AP132" s="16">
        <f>AG132</f>
        <v>711.19999999999993</v>
      </c>
      <c r="AQ132" s="162">
        <v>0</v>
      </c>
      <c r="AR132" s="162">
        <v>0</v>
      </c>
      <c r="AS132" s="305" t="s">
        <v>5807</v>
      </c>
      <c r="AT132" s="162" t="s">
        <v>4553</v>
      </c>
      <c r="AU132" s="162">
        <v>169</v>
      </c>
      <c r="AV132" s="16">
        <f>7/8*25.4</f>
        <v>22.224999999999998</v>
      </c>
      <c r="AW132" s="162">
        <v>328</v>
      </c>
      <c r="AX132" s="16">
        <f>1.8*25.4</f>
        <v>45.72</v>
      </c>
      <c r="AY132" s="16">
        <f>1.8*25.4</f>
        <v>45.72</v>
      </c>
      <c r="AZ132" s="16">
        <f>2.5*25.4</f>
        <v>63.5</v>
      </c>
      <c r="BA132" s="16">
        <f>3.5*25.4</f>
        <v>88.899999999999991</v>
      </c>
      <c r="BB132" s="16">
        <f>AP132-AQ132-AR132-AX132-AY132-2*AZ132</f>
        <v>492.75999999999988</v>
      </c>
      <c r="BC132" s="162" t="s">
        <v>4420</v>
      </c>
      <c r="BD132" s="162" t="s">
        <v>6210</v>
      </c>
      <c r="BE132" s="162" t="s">
        <v>6209</v>
      </c>
      <c r="BF132" s="162">
        <v>6</v>
      </c>
      <c r="BG132" s="162">
        <v>8</v>
      </c>
      <c r="BH132" s="200" t="s">
        <v>5792</v>
      </c>
      <c r="BI132" s="201" t="s">
        <v>5792</v>
      </c>
      <c r="BJ132" s="201" t="s">
        <v>5792</v>
      </c>
      <c r="BK132" s="201" t="s">
        <v>5792</v>
      </c>
      <c r="BL132" s="201" t="s">
        <v>5792</v>
      </c>
      <c r="BM132" s="201" t="s">
        <v>5792</v>
      </c>
      <c r="BN132" s="201" t="s">
        <v>5792</v>
      </c>
      <c r="BO132" s="201" t="s">
        <v>5792</v>
      </c>
      <c r="BP132" s="200" t="s">
        <v>5792</v>
      </c>
      <c r="BQ132" s="201" t="s">
        <v>5792</v>
      </c>
      <c r="BR132" s="201" t="s">
        <v>5792</v>
      </c>
      <c r="BS132" s="201" t="s">
        <v>5792</v>
      </c>
      <c r="BT132" s="201" t="s">
        <v>5792</v>
      </c>
      <c r="BU132" s="201" t="s">
        <v>5792</v>
      </c>
      <c r="BV132" s="219" t="s">
        <v>5792</v>
      </c>
      <c r="BW132" s="201" t="s">
        <v>5792</v>
      </c>
      <c r="BX132" s="201" t="s">
        <v>5792</v>
      </c>
      <c r="BY132" s="201" t="s">
        <v>5792</v>
      </c>
      <c r="BZ132" s="201" t="s">
        <v>5792</v>
      </c>
      <c r="CA132" s="201" t="s">
        <v>5792</v>
      </c>
      <c r="CB132" s="219" t="s">
        <v>5792</v>
      </c>
      <c r="CC132" s="201" t="s">
        <v>5792</v>
      </c>
      <c r="CD132" s="201" t="s">
        <v>5792</v>
      </c>
      <c r="CE132" s="201" t="s">
        <v>5792</v>
      </c>
      <c r="CF132" s="201" t="s">
        <v>5792</v>
      </c>
      <c r="CG132" s="201" t="s">
        <v>5792</v>
      </c>
      <c r="CH132" s="206" t="s">
        <v>5792</v>
      </c>
      <c r="CI132" s="305" t="s">
        <v>4536</v>
      </c>
      <c r="CJ132" s="162">
        <v>345</v>
      </c>
      <c r="CK132" s="16">
        <v>420</v>
      </c>
      <c r="CL132" s="72">
        <v>450</v>
      </c>
      <c r="CM132" s="16">
        <f>CK132*1.5</f>
        <v>630</v>
      </c>
      <c r="CN132" s="66">
        <v>200000</v>
      </c>
      <c r="CO132" s="162" t="s">
        <v>4536</v>
      </c>
      <c r="CP132" s="65">
        <v>345</v>
      </c>
      <c r="CQ132" s="16">
        <v>389.2</v>
      </c>
      <c r="CR132" s="65">
        <v>450</v>
      </c>
      <c r="CS132" s="16">
        <v>559.70000000000005</v>
      </c>
      <c r="CT132" s="76">
        <v>200000</v>
      </c>
      <c r="CU132" s="204" t="s">
        <v>5792</v>
      </c>
      <c r="CV132" s="205" t="s">
        <v>5792</v>
      </c>
      <c r="CW132" s="205" t="s">
        <v>5792</v>
      </c>
      <c r="CX132" s="206" t="s">
        <v>5792</v>
      </c>
      <c r="CY132" s="204" t="s">
        <v>5792</v>
      </c>
      <c r="CZ132" s="205" t="s">
        <v>5792</v>
      </c>
      <c r="DA132" s="206" t="s">
        <v>5792</v>
      </c>
      <c r="DB132" s="282" t="s">
        <v>5792</v>
      </c>
      <c r="DC132" s="162" t="s">
        <v>4422</v>
      </c>
      <c r="DD132" s="162">
        <v>640</v>
      </c>
      <c r="DE132" s="30">
        <v>730</v>
      </c>
      <c r="DF132" s="162">
        <v>800</v>
      </c>
      <c r="DG132" s="30">
        <v>940</v>
      </c>
      <c r="DH132" s="76">
        <v>200000</v>
      </c>
      <c r="DI132" s="43" t="s">
        <v>5838</v>
      </c>
      <c r="DJ132" s="162" t="s">
        <v>4435</v>
      </c>
      <c r="DK132" s="296" t="s">
        <v>4566</v>
      </c>
    </row>
    <row r="133" spans="1:115">
      <c r="A133" s="18">
        <v>128</v>
      </c>
      <c r="B133" s="326"/>
      <c r="C133" s="326"/>
      <c r="D133" s="346"/>
      <c r="E133" s="334"/>
      <c r="F133" s="326"/>
      <c r="G133" s="329"/>
      <c r="H133" s="326"/>
      <c r="I133" s="326"/>
      <c r="J133" s="41" t="s">
        <v>4555</v>
      </c>
      <c r="K133" s="306" t="s">
        <v>4383</v>
      </c>
      <c r="L133" s="163" t="s">
        <v>5792</v>
      </c>
      <c r="M133" s="306" t="s">
        <v>4552</v>
      </c>
      <c r="N133" s="163" t="s">
        <v>4707</v>
      </c>
      <c r="O133" s="18" t="s">
        <v>4507</v>
      </c>
      <c r="P133" s="163" t="s">
        <v>4420</v>
      </c>
      <c r="Q133" s="163" t="s">
        <v>4420</v>
      </c>
      <c r="R133" s="163" t="s">
        <v>4420</v>
      </c>
      <c r="S133" s="163" t="s">
        <v>5792</v>
      </c>
      <c r="T133" s="163" t="s">
        <v>4420</v>
      </c>
      <c r="U133" s="163" t="s">
        <v>5792</v>
      </c>
      <c r="V133" s="163" t="s">
        <v>4559</v>
      </c>
      <c r="W133" s="18">
        <v>6</v>
      </c>
      <c r="X133" s="231">
        <v>0</v>
      </c>
      <c r="Y133" s="18" t="s">
        <v>5792</v>
      </c>
      <c r="Z133" s="202" t="s">
        <v>5792</v>
      </c>
      <c r="AA133" s="203" t="s">
        <v>5792</v>
      </c>
      <c r="AB133" s="203" t="s">
        <v>5792</v>
      </c>
      <c r="AC133" s="203" t="s">
        <v>5792</v>
      </c>
      <c r="AD133" s="203" t="s">
        <v>5792</v>
      </c>
      <c r="AE133" s="203" t="s">
        <v>5792</v>
      </c>
      <c r="AF133" s="306" t="s">
        <v>5462</v>
      </c>
      <c r="AG133" s="21">
        <f>28*25.4</f>
        <v>711.19999999999993</v>
      </c>
      <c r="AH133" s="21">
        <f>10*25.4</f>
        <v>254</v>
      </c>
      <c r="AI133" s="21">
        <f>0.375*25.4</f>
        <v>9.5249999999999986</v>
      </c>
      <c r="AJ133" s="21">
        <f>0.313*25.4</f>
        <v>7.9501999999999997</v>
      </c>
      <c r="AK133" s="21">
        <f>10*12*25.4</f>
        <v>3048</v>
      </c>
      <c r="AL133" s="21">
        <f>AH133*AG133^3/12-(AH133-AJ133)*(AG133-2*AI133)^3/12</f>
        <v>815300934.17756462</v>
      </c>
      <c r="AM133" s="18">
        <v>2649752</v>
      </c>
      <c r="AN133" s="21">
        <f>1/2*25.4</f>
        <v>12.7</v>
      </c>
      <c r="AO133" s="21">
        <f>AH133</f>
        <v>254</v>
      </c>
      <c r="AP133" s="21">
        <f>AG133</f>
        <v>711.19999999999993</v>
      </c>
      <c r="AQ133" s="163">
        <v>0</v>
      </c>
      <c r="AR133" s="163">
        <v>0</v>
      </c>
      <c r="AS133" s="306" t="s">
        <v>5807</v>
      </c>
      <c r="AT133" s="163" t="s">
        <v>4553</v>
      </c>
      <c r="AU133" s="163">
        <v>227</v>
      </c>
      <c r="AV133" s="21">
        <f>1*25.4</f>
        <v>25.4</v>
      </c>
      <c r="AW133" s="163">
        <v>428</v>
      </c>
      <c r="AX133" s="21">
        <f>2.35*25.4</f>
        <v>59.69</v>
      </c>
      <c r="AY133" s="21">
        <f>2.35*25.4</f>
        <v>59.69</v>
      </c>
      <c r="AZ133" s="21">
        <f>2.5*25.4</f>
        <v>63.5</v>
      </c>
      <c r="BA133" s="21">
        <f>4*25.4</f>
        <v>101.6</v>
      </c>
      <c r="BB133" s="21">
        <f>AP133-AQ133-AR133-AX133-AY133-2*AZ133</f>
        <v>464.81999999999994</v>
      </c>
      <c r="BC133" s="163" t="s">
        <v>4420</v>
      </c>
      <c r="BD133" s="163" t="s">
        <v>6210</v>
      </c>
      <c r="BE133" s="163" t="s">
        <v>6209</v>
      </c>
      <c r="BF133" s="163">
        <v>6</v>
      </c>
      <c r="BG133" s="163">
        <v>8</v>
      </c>
      <c r="BH133" s="202" t="s">
        <v>5792</v>
      </c>
      <c r="BI133" s="203" t="s">
        <v>5792</v>
      </c>
      <c r="BJ133" s="203" t="s">
        <v>5792</v>
      </c>
      <c r="BK133" s="203" t="s">
        <v>5792</v>
      </c>
      <c r="BL133" s="203" t="s">
        <v>5792</v>
      </c>
      <c r="BM133" s="203" t="s">
        <v>5792</v>
      </c>
      <c r="BN133" s="203" t="s">
        <v>5792</v>
      </c>
      <c r="BO133" s="203" t="s">
        <v>5792</v>
      </c>
      <c r="BP133" s="202" t="s">
        <v>5792</v>
      </c>
      <c r="BQ133" s="203" t="s">
        <v>5792</v>
      </c>
      <c r="BR133" s="203" t="s">
        <v>5792</v>
      </c>
      <c r="BS133" s="203" t="s">
        <v>5792</v>
      </c>
      <c r="BT133" s="203" t="s">
        <v>5792</v>
      </c>
      <c r="BU133" s="203" t="s">
        <v>5792</v>
      </c>
      <c r="BV133" s="218" t="s">
        <v>5792</v>
      </c>
      <c r="BW133" s="203" t="s">
        <v>5792</v>
      </c>
      <c r="BX133" s="203" t="s">
        <v>5792</v>
      </c>
      <c r="BY133" s="203" t="s">
        <v>5792</v>
      </c>
      <c r="BZ133" s="203" t="s">
        <v>5792</v>
      </c>
      <c r="CA133" s="203" t="s">
        <v>5792</v>
      </c>
      <c r="CB133" s="218" t="s">
        <v>5792</v>
      </c>
      <c r="CC133" s="203" t="s">
        <v>5792</v>
      </c>
      <c r="CD133" s="203" t="s">
        <v>5792</v>
      </c>
      <c r="CE133" s="203" t="s">
        <v>5792</v>
      </c>
      <c r="CF133" s="203" t="s">
        <v>5792</v>
      </c>
      <c r="CG133" s="203" t="s">
        <v>5792</v>
      </c>
      <c r="CH133" s="209" t="s">
        <v>5792</v>
      </c>
      <c r="CI133" s="306" t="s">
        <v>4536</v>
      </c>
      <c r="CJ133" s="163">
        <v>345</v>
      </c>
      <c r="CK133" s="21">
        <v>420</v>
      </c>
      <c r="CL133" s="47">
        <v>450</v>
      </c>
      <c r="CM133" s="21">
        <f>CK133*1.5</f>
        <v>630</v>
      </c>
      <c r="CN133" s="67">
        <v>200000</v>
      </c>
      <c r="CO133" s="163" t="s">
        <v>4536</v>
      </c>
      <c r="CP133" s="60">
        <v>345</v>
      </c>
      <c r="CQ133" s="21">
        <v>441.3</v>
      </c>
      <c r="CR133" s="60">
        <v>450</v>
      </c>
      <c r="CS133" s="71">
        <f>CR133/CP133*CQ133</f>
        <v>575.60869565217399</v>
      </c>
      <c r="CT133" s="61">
        <v>200000</v>
      </c>
      <c r="CU133" s="207" t="s">
        <v>5792</v>
      </c>
      <c r="CV133" s="208" t="s">
        <v>5792</v>
      </c>
      <c r="CW133" s="208" t="s">
        <v>5792</v>
      </c>
      <c r="CX133" s="209" t="s">
        <v>5792</v>
      </c>
      <c r="CY133" s="207" t="s">
        <v>5792</v>
      </c>
      <c r="CZ133" s="208" t="s">
        <v>5792</v>
      </c>
      <c r="DA133" s="209" t="s">
        <v>5792</v>
      </c>
      <c r="DB133" s="283" t="s">
        <v>5792</v>
      </c>
      <c r="DC133" s="163" t="s">
        <v>4422</v>
      </c>
      <c r="DD133" s="163">
        <v>640</v>
      </c>
      <c r="DE133" s="32">
        <v>730</v>
      </c>
      <c r="DF133" s="163">
        <v>800</v>
      </c>
      <c r="DG133" s="32">
        <v>940</v>
      </c>
      <c r="DH133" s="61">
        <v>200000</v>
      </c>
      <c r="DI133" s="41" t="s">
        <v>5838</v>
      </c>
      <c r="DJ133" s="163" t="s">
        <v>4435</v>
      </c>
      <c r="DK133" s="297" t="s">
        <v>4566</v>
      </c>
    </row>
    <row r="134" spans="1:115">
      <c r="A134" s="18">
        <v>129</v>
      </c>
      <c r="B134" s="326"/>
      <c r="C134" s="326"/>
      <c r="D134" s="346"/>
      <c r="E134" s="334"/>
      <c r="F134" s="326"/>
      <c r="G134" s="329"/>
      <c r="H134" s="326"/>
      <c r="I134" s="326"/>
      <c r="J134" s="41" t="s">
        <v>4556</v>
      </c>
      <c r="K134" s="306" t="s">
        <v>4383</v>
      </c>
      <c r="L134" s="163" t="s">
        <v>5792</v>
      </c>
      <c r="M134" s="306" t="s">
        <v>4552</v>
      </c>
      <c r="N134" s="163" t="s">
        <v>4707</v>
      </c>
      <c r="O134" s="18" t="s">
        <v>4507</v>
      </c>
      <c r="P134" s="163" t="s">
        <v>4420</v>
      </c>
      <c r="Q134" s="163" t="s">
        <v>4420</v>
      </c>
      <c r="R134" s="163" t="s">
        <v>4420</v>
      </c>
      <c r="S134" s="163" t="s">
        <v>5792</v>
      </c>
      <c r="T134" s="163" t="s">
        <v>4420</v>
      </c>
      <c r="U134" s="163" t="s">
        <v>5792</v>
      </c>
      <c r="V134" s="163" t="s">
        <v>4559</v>
      </c>
      <c r="W134" s="18">
        <v>6</v>
      </c>
      <c r="X134" s="231">
        <v>0</v>
      </c>
      <c r="Y134" s="18" t="s">
        <v>5792</v>
      </c>
      <c r="Z134" s="202" t="s">
        <v>5792</v>
      </c>
      <c r="AA134" s="203" t="s">
        <v>5792</v>
      </c>
      <c r="AB134" s="203" t="s">
        <v>5792</v>
      </c>
      <c r="AC134" s="203" t="s">
        <v>5792</v>
      </c>
      <c r="AD134" s="203" t="s">
        <v>5792</v>
      </c>
      <c r="AE134" s="203" t="s">
        <v>5792</v>
      </c>
      <c r="AF134" s="306" t="s">
        <v>5463</v>
      </c>
      <c r="AG134" s="21">
        <f>36*25.4</f>
        <v>914.4</v>
      </c>
      <c r="AH134" s="21">
        <f>6*25.4</f>
        <v>152.39999999999998</v>
      </c>
      <c r="AI134" s="21">
        <f>0.375*25.4</f>
        <v>9.5249999999999986</v>
      </c>
      <c r="AJ134" s="21">
        <f>0.313*25.4</f>
        <v>7.9501999999999997</v>
      </c>
      <c r="AK134" s="21">
        <f>10*12*25.4</f>
        <v>3048</v>
      </c>
      <c r="AL134" s="21">
        <f>AH134*AG134^3/12-(AH134-AJ134)*(AG134-2*AI134)^3/12</f>
        <v>1069837342.3209343</v>
      </c>
      <c r="AM134" s="18">
        <v>2906808</v>
      </c>
      <c r="AN134" s="21">
        <f>3/8*25.4</f>
        <v>9.5249999999999986</v>
      </c>
      <c r="AO134" s="21">
        <f>AH134</f>
        <v>152.39999999999998</v>
      </c>
      <c r="AP134" s="21">
        <f>AG134</f>
        <v>914.4</v>
      </c>
      <c r="AQ134" s="163">
        <v>0</v>
      </c>
      <c r="AR134" s="163">
        <v>0</v>
      </c>
      <c r="AS134" s="306" t="s">
        <v>5807</v>
      </c>
      <c r="AT134" s="163" t="s">
        <v>4553</v>
      </c>
      <c r="AU134" s="21">
        <v>124.6</v>
      </c>
      <c r="AV134" s="21">
        <f>3/4*25.4</f>
        <v>19.049999999999997</v>
      </c>
      <c r="AW134" s="163">
        <v>241</v>
      </c>
      <c r="AX134" s="21">
        <f>2.27*25.4</f>
        <v>57.657999999999994</v>
      </c>
      <c r="AY134" s="21">
        <f>2.4*25.4</f>
        <v>60.959999999999994</v>
      </c>
      <c r="AZ134" s="21">
        <f>2.5*25.4</f>
        <v>63.5</v>
      </c>
      <c r="BA134" s="21">
        <f>2.97*25.4</f>
        <v>75.438000000000002</v>
      </c>
      <c r="BB134" s="21">
        <f>AP134-AQ134-AR134-AX134-AY134-2*AZ134</f>
        <v>668.78199999999993</v>
      </c>
      <c r="BC134" s="163" t="s">
        <v>4420</v>
      </c>
      <c r="BD134" s="163" t="s">
        <v>6210</v>
      </c>
      <c r="BE134" s="163" t="s">
        <v>6209</v>
      </c>
      <c r="BF134" s="163">
        <v>6</v>
      </c>
      <c r="BG134" s="163">
        <v>8</v>
      </c>
      <c r="BH134" s="202" t="s">
        <v>5792</v>
      </c>
      <c r="BI134" s="203" t="s">
        <v>5792</v>
      </c>
      <c r="BJ134" s="203" t="s">
        <v>5792</v>
      </c>
      <c r="BK134" s="203" t="s">
        <v>5792</v>
      </c>
      <c r="BL134" s="203" t="s">
        <v>5792</v>
      </c>
      <c r="BM134" s="203" t="s">
        <v>5792</v>
      </c>
      <c r="BN134" s="203" t="s">
        <v>5792</v>
      </c>
      <c r="BO134" s="203" t="s">
        <v>5792</v>
      </c>
      <c r="BP134" s="202" t="s">
        <v>5792</v>
      </c>
      <c r="BQ134" s="203" t="s">
        <v>5792</v>
      </c>
      <c r="BR134" s="203" t="s">
        <v>5792</v>
      </c>
      <c r="BS134" s="203" t="s">
        <v>5792</v>
      </c>
      <c r="BT134" s="203" t="s">
        <v>5792</v>
      </c>
      <c r="BU134" s="203" t="s">
        <v>5792</v>
      </c>
      <c r="BV134" s="218" t="s">
        <v>5792</v>
      </c>
      <c r="BW134" s="203" t="s">
        <v>5792</v>
      </c>
      <c r="BX134" s="203" t="s">
        <v>5792</v>
      </c>
      <c r="BY134" s="203" t="s">
        <v>5792</v>
      </c>
      <c r="BZ134" s="203" t="s">
        <v>5792</v>
      </c>
      <c r="CA134" s="203" t="s">
        <v>5792</v>
      </c>
      <c r="CB134" s="218" t="s">
        <v>5792</v>
      </c>
      <c r="CC134" s="203" t="s">
        <v>5792</v>
      </c>
      <c r="CD134" s="203" t="s">
        <v>5792</v>
      </c>
      <c r="CE134" s="203" t="s">
        <v>5792</v>
      </c>
      <c r="CF134" s="203" t="s">
        <v>5792</v>
      </c>
      <c r="CG134" s="203" t="s">
        <v>5792</v>
      </c>
      <c r="CH134" s="209" t="s">
        <v>5792</v>
      </c>
      <c r="CI134" s="306" t="s">
        <v>4536</v>
      </c>
      <c r="CJ134" s="163">
        <v>345</v>
      </c>
      <c r="CK134" s="21">
        <v>420</v>
      </c>
      <c r="CL134" s="47">
        <v>450</v>
      </c>
      <c r="CM134" s="21">
        <f>CK134*1.5</f>
        <v>630</v>
      </c>
      <c r="CN134" s="67">
        <v>200000</v>
      </c>
      <c r="CO134" s="163" t="s">
        <v>4536</v>
      </c>
      <c r="CP134" s="60">
        <v>345</v>
      </c>
      <c r="CQ134" s="21">
        <v>432.3</v>
      </c>
      <c r="CR134" s="60">
        <v>450</v>
      </c>
      <c r="CS134" s="21">
        <v>648.5</v>
      </c>
      <c r="CT134" s="61">
        <v>200000</v>
      </c>
      <c r="CU134" s="207" t="s">
        <v>5792</v>
      </c>
      <c r="CV134" s="208" t="s">
        <v>5792</v>
      </c>
      <c r="CW134" s="208" t="s">
        <v>5792</v>
      </c>
      <c r="CX134" s="209" t="s">
        <v>5792</v>
      </c>
      <c r="CY134" s="207" t="s">
        <v>5792</v>
      </c>
      <c r="CZ134" s="208" t="s">
        <v>5792</v>
      </c>
      <c r="DA134" s="209" t="s">
        <v>5792</v>
      </c>
      <c r="DB134" s="283" t="s">
        <v>5792</v>
      </c>
      <c r="DC134" s="163" t="s">
        <v>4422</v>
      </c>
      <c r="DD134" s="163">
        <v>640</v>
      </c>
      <c r="DE134" s="32">
        <v>730</v>
      </c>
      <c r="DF134" s="163">
        <v>800</v>
      </c>
      <c r="DG134" s="32">
        <v>940</v>
      </c>
      <c r="DH134" s="61">
        <v>200000</v>
      </c>
      <c r="DI134" s="41" t="s">
        <v>5838</v>
      </c>
      <c r="DJ134" s="163" t="s">
        <v>4435</v>
      </c>
      <c r="DK134" s="297" t="s">
        <v>4566</v>
      </c>
    </row>
    <row r="135" spans="1:115">
      <c r="A135" s="18">
        <v>130</v>
      </c>
      <c r="B135" s="326"/>
      <c r="C135" s="326"/>
      <c r="D135" s="346"/>
      <c r="E135" s="334"/>
      <c r="F135" s="326"/>
      <c r="G135" s="329"/>
      <c r="H135" s="326"/>
      <c r="I135" s="326"/>
      <c r="J135" s="41" t="s">
        <v>4557</v>
      </c>
      <c r="K135" s="306" t="s">
        <v>4383</v>
      </c>
      <c r="L135" s="163" t="s">
        <v>5792</v>
      </c>
      <c r="M135" s="306" t="s">
        <v>4552</v>
      </c>
      <c r="N135" s="163" t="s">
        <v>4707</v>
      </c>
      <c r="O135" s="18" t="s">
        <v>4507</v>
      </c>
      <c r="P135" s="163" t="s">
        <v>4420</v>
      </c>
      <c r="Q135" s="163" t="s">
        <v>4420</v>
      </c>
      <c r="R135" s="163" t="s">
        <v>4420</v>
      </c>
      <c r="S135" s="163" t="s">
        <v>5792</v>
      </c>
      <c r="T135" s="163" t="s">
        <v>4420</v>
      </c>
      <c r="U135" s="163" t="s">
        <v>5792</v>
      </c>
      <c r="V135" s="163" t="s">
        <v>4559</v>
      </c>
      <c r="W135" s="18">
        <v>6</v>
      </c>
      <c r="X135" s="231">
        <v>0</v>
      </c>
      <c r="Y135" s="18" t="s">
        <v>5792</v>
      </c>
      <c r="Z135" s="202" t="s">
        <v>5792</v>
      </c>
      <c r="AA135" s="203" t="s">
        <v>5792</v>
      </c>
      <c r="AB135" s="203" t="s">
        <v>5792</v>
      </c>
      <c r="AC135" s="203" t="s">
        <v>5792</v>
      </c>
      <c r="AD135" s="203" t="s">
        <v>5792</v>
      </c>
      <c r="AE135" s="203" t="s">
        <v>5792</v>
      </c>
      <c r="AF135" s="306" t="s">
        <v>5463</v>
      </c>
      <c r="AG135" s="21">
        <f>36*25.4</f>
        <v>914.4</v>
      </c>
      <c r="AH135" s="21">
        <f>6*25.4</f>
        <v>152.39999999999998</v>
      </c>
      <c r="AI135" s="21">
        <f>0.375*25.4</f>
        <v>9.5249999999999986</v>
      </c>
      <c r="AJ135" s="21">
        <f>0.313*25.4</f>
        <v>7.9501999999999997</v>
      </c>
      <c r="AK135" s="21">
        <f>10*12*25.4</f>
        <v>3048</v>
      </c>
      <c r="AL135" s="21">
        <f>AH135*AG135^3/12-(AH135-AJ135)*(AG135-2*AI135)^3/12</f>
        <v>1069837342.3209343</v>
      </c>
      <c r="AM135" s="18">
        <v>2906808</v>
      </c>
      <c r="AN135" s="21">
        <f>1/2*25.4</f>
        <v>12.7</v>
      </c>
      <c r="AO135" s="21">
        <f>AH135</f>
        <v>152.39999999999998</v>
      </c>
      <c r="AP135" s="21">
        <f>AG135</f>
        <v>914.4</v>
      </c>
      <c r="AQ135" s="163">
        <v>0</v>
      </c>
      <c r="AR135" s="163">
        <v>0</v>
      </c>
      <c r="AS135" s="306" t="s">
        <v>5807</v>
      </c>
      <c r="AT135" s="163" t="s">
        <v>4553</v>
      </c>
      <c r="AU135" s="21">
        <v>169</v>
      </c>
      <c r="AV135" s="21">
        <f>7/8*25.4</f>
        <v>22.224999999999998</v>
      </c>
      <c r="AW135" s="163">
        <v>328</v>
      </c>
      <c r="AX135" s="21">
        <f>2.25*25.4</f>
        <v>57.15</v>
      </c>
      <c r="AY135" s="21">
        <f>2.179*25.4</f>
        <v>55.346599999999995</v>
      </c>
      <c r="AZ135" s="21">
        <f>2.5*25.4</f>
        <v>63.5</v>
      </c>
      <c r="BA135" s="21">
        <f>3.225*25.4</f>
        <v>81.914999999999992</v>
      </c>
      <c r="BB135" s="21">
        <f>AP135-AQ135-AR135-AX135-AY135-2*AZ135</f>
        <v>674.90340000000003</v>
      </c>
      <c r="BC135" s="163" t="s">
        <v>4420</v>
      </c>
      <c r="BD135" s="163" t="s">
        <v>6210</v>
      </c>
      <c r="BE135" s="163" t="s">
        <v>6209</v>
      </c>
      <c r="BF135" s="163">
        <v>6</v>
      </c>
      <c r="BG135" s="163">
        <v>8</v>
      </c>
      <c r="BH135" s="202" t="s">
        <v>5792</v>
      </c>
      <c r="BI135" s="203" t="s">
        <v>5792</v>
      </c>
      <c r="BJ135" s="203" t="s">
        <v>5792</v>
      </c>
      <c r="BK135" s="203" t="s">
        <v>5792</v>
      </c>
      <c r="BL135" s="203" t="s">
        <v>5792</v>
      </c>
      <c r="BM135" s="203" t="s">
        <v>5792</v>
      </c>
      <c r="BN135" s="203" t="s">
        <v>5792</v>
      </c>
      <c r="BO135" s="203" t="s">
        <v>5792</v>
      </c>
      <c r="BP135" s="202" t="s">
        <v>5792</v>
      </c>
      <c r="BQ135" s="203" t="s">
        <v>5792</v>
      </c>
      <c r="BR135" s="203" t="s">
        <v>5792</v>
      </c>
      <c r="BS135" s="203" t="s">
        <v>5792</v>
      </c>
      <c r="BT135" s="203" t="s">
        <v>5792</v>
      </c>
      <c r="BU135" s="203" t="s">
        <v>5792</v>
      </c>
      <c r="BV135" s="218" t="s">
        <v>5792</v>
      </c>
      <c r="BW135" s="203" t="s">
        <v>5792</v>
      </c>
      <c r="BX135" s="203" t="s">
        <v>5792</v>
      </c>
      <c r="BY135" s="203" t="s">
        <v>5792</v>
      </c>
      <c r="BZ135" s="203" t="s">
        <v>5792</v>
      </c>
      <c r="CA135" s="203" t="s">
        <v>5792</v>
      </c>
      <c r="CB135" s="218" t="s">
        <v>5792</v>
      </c>
      <c r="CC135" s="203" t="s">
        <v>5792</v>
      </c>
      <c r="CD135" s="203" t="s">
        <v>5792</v>
      </c>
      <c r="CE135" s="203" t="s">
        <v>5792</v>
      </c>
      <c r="CF135" s="203" t="s">
        <v>5792</v>
      </c>
      <c r="CG135" s="203" t="s">
        <v>5792</v>
      </c>
      <c r="CH135" s="209" t="s">
        <v>5792</v>
      </c>
      <c r="CI135" s="306" t="s">
        <v>4536</v>
      </c>
      <c r="CJ135" s="163">
        <v>345</v>
      </c>
      <c r="CK135" s="21">
        <v>420</v>
      </c>
      <c r="CL135" s="47">
        <v>450</v>
      </c>
      <c r="CM135" s="21">
        <f>CK135*1.5</f>
        <v>630</v>
      </c>
      <c r="CN135" s="67">
        <v>200000</v>
      </c>
      <c r="CO135" s="163" t="s">
        <v>4536</v>
      </c>
      <c r="CP135" s="60">
        <v>345</v>
      </c>
      <c r="CQ135" s="21">
        <v>416.3</v>
      </c>
      <c r="CR135" s="60">
        <v>450</v>
      </c>
      <c r="CS135" s="71">
        <f>CR135/CP135*CQ135</f>
        <v>543</v>
      </c>
      <c r="CT135" s="61">
        <v>200000</v>
      </c>
      <c r="CU135" s="207" t="s">
        <v>5792</v>
      </c>
      <c r="CV135" s="208" t="s">
        <v>5792</v>
      </c>
      <c r="CW135" s="208" t="s">
        <v>5792</v>
      </c>
      <c r="CX135" s="209" t="s">
        <v>5792</v>
      </c>
      <c r="CY135" s="207" t="s">
        <v>5792</v>
      </c>
      <c r="CZ135" s="208" t="s">
        <v>5792</v>
      </c>
      <c r="DA135" s="209" t="s">
        <v>5792</v>
      </c>
      <c r="DB135" s="283" t="s">
        <v>5792</v>
      </c>
      <c r="DC135" s="163" t="s">
        <v>4422</v>
      </c>
      <c r="DD135" s="163">
        <v>640</v>
      </c>
      <c r="DE135" s="32">
        <v>730</v>
      </c>
      <c r="DF135" s="163">
        <v>800</v>
      </c>
      <c r="DG135" s="32">
        <v>940</v>
      </c>
      <c r="DH135" s="61">
        <v>200000</v>
      </c>
      <c r="DI135" s="41" t="s">
        <v>5838</v>
      </c>
      <c r="DJ135" s="163" t="s">
        <v>4435</v>
      </c>
      <c r="DK135" s="297" t="s">
        <v>4566</v>
      </c>
    </row>
    <row r="136" spans="1:115" ht="16.2" thickBot="1">
      <c r="A136" s="14">
        <v>131</v>
      </c>
      <c r="B136" s="327"/>
      <c r="C136" s="327"/>
      <c r="D136" s="347"/>
      <c r="E136" s="335"/>
      <c r="F136" s="327"/>
      <c r="G136" s="330"/>
      <c r="H136" s="327"/>
      <c r="I136" s="327"/>
      <c r="J136" s="42" t="s">
        <v>4558</v>
      </c>
      <c r="K136" s="143" t="s">
        <v>4383</v>
      </c>
      <c r="L136" s="164" t="s">
        <v>5792</v>
      </c>
      <c r="M136" s="143" t="s">
        <v>4552</v>
      </c>
      <c r="N136" s="164" t="s">
        <v>4707</v>
      </c>
      <c r="O136" s="14" t="s">
        <v>4507</v>
      </c>
      <c r="P136" s="164" t="s">
        <v>4420</v>
      </c>
      <c r="Q136" s="164" t="s">
        <v>4420</v>
      </c>
      <c r="R136" s="164" t="s">
        <v>4420</v>
      </c>
      <c r="S136" s="164" t="s">
        <v>5792</v>
      </c>
      <c r="T136" s="164" t="s">
        <v>4420</v>
      </c>
      <c r="U136" s="164" t="s">
        <v>5792</v>
      </c>
      <c r="V136" s="164" t="s">
        <v>4559</v>
      </c>
      <c r="W136" s="14">
        <v>6</v>
      </c>
      <c r="X136" s="233">
        <v>0</v>
      </c>
      <c r="Y136" s="14" t="s">
        <v>5792</v>
      </c>
      <c r="Z136" s="197" t="s">
        <v>5792</v>
      </c>
      <c r="AA136" s="198" t="s">
        <v>5792</v>
      </c>
      <c r="AB136" s="198" t="s">
        <v>5792</v>
      </c>
      <c r="AC136" s="199" t="s">
        <v>5792</v>
      </c>
      <c r="AD136" s="199" t="s">
        <v>5792</v>
      </c>
      <c r="AE136" s="199" t="s">
        <v>5792</v>
      </c>
      <c r="AF136" s="143" t="s">
        <v>5463</v>
      </c>
      <c r="AG136" s="23">
        <f>36*25.4</f>
        <v>914.4</v>
      </c>
      <c r="AH136" s="23">
        <f>6*25.4</f>
        <v>152.39999999999998</v>
      </c>
      <c r="AI136" s="23">
        <f>0.375*25.4</f>
        <v>9.5249999999999986</v>
      </c>
      <c r="AJ136" s="23">
        <f>0.313*25.4</f>
        <v>7.9501999999999997</v>
      </c>
      <c r="AK136" s="23">
        <f>10*12*25.4</f>
        <v>3048</v>
      </c>
      <c r="AL136" s="23">
        <f>AH136*AG136^3/12-(AH136-AJ136)*(AG136-2*AI136)^3/12</f>
        <v>1069837342.3209343</v>
      </c>
      <c r="AM136" s="14">
        <v>2906808</v>
      </c>
      <c r="AN136" s="23">
        <f>1/2*25.4</f>
        <v>12.7</v>
      </c>
      <c r="AO136" s="23">
        <f>AH136</f>
        <v>152.39999999999998</v>
      </c>
      <c r="AP136" s="23">
        <f>AG136</f>
        <v>914.4</v>
      </c>
      <c r="AQ136" s="164">
        <v>0</v>
      </c>
      <c r="AR136" s="164">
        <v>0</v>
      </c>
      <c r="AS136" s="143" t="s">
        <v>5807</v>
      </c>
      <c r="AT136" s="164" t="s">
        <v>4553</v>
      </c>
      <c r="AU136" s="23">
        <v>169</v>
      </c>
      <c r="AV136" s="23">
        <f>7/8*25.4</f>
        <v>22.224999999999998</v>
      </c>
      <c r="AW136" s="164">
        <v>328</v>
      </c>
      <c r="AX136" s="23">
        <f>1.9*25.4</f>
        <v>48.26</v>
      </c>
      <c r="AY136" s="23">
        <f>1.88*25.4</f>
        <v>47.751999999999995</v>
      </c>
      <c r="AZ136" s="23">
        <f>2.5*25.4</f>
        <v>63.5</v>
      </c>
      <c r="BA136" s="23">
        <f>3.5*25.4</f>
        <v>88.899999999999991</v>
      </c>
      <c r="BB136" s="23">
        <f>AP136-AQ136-AR136-AX136-AY136-2*AZ136</f>
        <v>691.38800000000003</v>
      </c>
      <c r="BC136" s="164" t="s">
        <v>4420</v>
      </c>
      <c r="BD136" s="164" t="s">
        <v>6210</v>
      </c>
      <c r="BE136" s="164" t="s">
        <v>6209</v>
      </c>
      <c r="BF136" s="164">
        <v>6</v>
      </c>
      <c r="BG136" s="164">
        <v>8</v>
      </c>
      <c r="BH136" s="197" t="s">
        <v>5792</v>
      </c>
      <c r="BI136" s="198" t="s">
        <v>5792</v>
      </c>
      <c r="BJ136" s="198" t="s">
        <v>5792</v>
      </c>
      <c r="BK136" s="198" t="s">
        <v>5792</v>
      </c>
      <c r="BL136" s="198" t="s">
        <v>5792</v>
      </c>
      <c r="BM136" s="198" t="s">
        <v>5792</v>
      </c>
      <c r="BN136" s="198" t="s">
        <v>5792</v>
      </c>
      <c r="BO136" s="198" t="s">
        <v>5792</v>
      </c>
      <c r="BP136" s="197" t="s">
        <v>5792</v>
      </c>
      <c r="BQ136" s="198" t="s">
        <v>5792</v>
      </c>
      <c r="BR136" s="198" t="s">
        <v>5792</v>
      </c>
      <c r="BS136" s="198" t="s">
        <v>5792</v>
      </c>
      <c r="BT136" s="198" t="s">
        <v>5792</v>
      </c>
      <c r="BU136" s="198" t="s">
        <v>5792</v>
      </c>
      <c r="BV136" s="220" t="s">
        <v>5792</v>
      </c>
      <c r="BW136" s="198" t="s">
        <v>5792</v>
      </c>
      <c r="BX136" s="198" t="s">
        <v>5792</v>
      </c>
      <c r="BY136" s="198" t="s">
        <v>5792</v>
      </c>
      <c r="BZ136" s="198" t="s">
        <v>5792</v>
      </c>
      <c r="CA136" s="198" t="s">
        <v>5792</v>
      </c>
      <c r="CB136" s="220" t="s">
        <v>5792</v>
      </c>
      <c r="CC136" s="198" t="s">
        <v>5792</v>
      </c>
      <c r="CD136" s="198" t="s">
        <v>5792</v>
      </c>
      <c r="CE136" s="198" t="s">
        <v>5792</v>
      </c>
      <c r="CF136" s="198" t="s">
        <v>5792</v>
      </c>
      <c r="CG136" s="198" t="s">
        <v>5792</v>
      </c>
      <c r="CH136" s="212" t="s">
        <v>5792</v>
      </c>
      <c r="CI136" s="143" t="s">
        <v>4536</v>
      </c>
      <c r="CJ136" s="164">
        <v>345</v>
      </c>
      <c r="CK136" s="23">
        <v>420</v>
      </c>
      <c r="CL136" s="85">
        <v>450</v>
      </c>
      <c r="CM136" s="23">
        <f>CK136*1.5</f>
        <v>630</v>
      </c>
      <c r="CN136" s="70">
        <v>200000</v>
      </c>
      <c r="CO136" s="164" t="s">
        <v>4536</v>
      </c>
      <c r="CP136" s="87">
        <v>345</v>
      </c>
      <c r="CQ136" s="23">
        <v>431.1</v>
      </c>
      <c r="CR136" s="87">
        <v>450</v>
      </c>
      <c r="CS136" s="71">
        <f>CR136/CP136*CQ136</f>
        <v>562.304347826087</v>
      </c>
      <c r="CT136" s="77">
        <v>200000</v>
      </c>
      <c r="CU136" s="210" t="s">
        <v>5792</v>
      </c>
      <c r="CV136" s="211" t="s">
        <v>5792</v>
      </c>
      <c r="CW136" s="211" t="s">
        <v>5792</v>
      </c>
      <c r="CX136" s="212" t="s">
        <v>5792</v>
      </c>
      <c r="CY136" s="210" t="s">
        <v>5792</v>
      </c>
      <c r="CZ136" s="211" t="s">
        <v>5792</v>
      </c>
      <c r="DA136" s="212" t="s">
        <v>5792</v>
      </c>
      <c r="DB136" s="284" t="s">
        <v>5792</v>
      </c>
      <c r="DC136" s="164" t="s">
        <v>4422</v>
      </c>
      <c r="DD136" s="164">
        <v>640</v>
      </c>
      <c r="DE136" s="34">
        <v>730</v>
      </c>
      <c r="DF136" s="164">
        <v>800</v>
      </c>
      <c r="DG136" s="34">
        <v>940</v>
      </c>
      <c r="DH136" s="77">
        <v>200000</v>
      </c>
      <c r="DI136" s="42" t="s">
        <v>4770</v>
      </c>
      <c r="DJ136" s="164" t="s">
        <v>4435</v>
      </c>
      <c r="DK136" s="298" t="s">
        <v>4566</v>
      </c>
    </row>
    <row r="137" spans="1:115" ht="15.6" customHeight="1">
      <c r="A137" s="17">
        <v>132</v>
      </c>
      <c r="B137" s="328">
        <v>18</v>
      </c>
      <c r="C137" s="328">
        <v>1991</v>
      </c>
      <c r="D137" s="333" t="s">
        <v>4710</v>
      </c>
      <c r="E137" s="331" t="s">
        <v>6085</v>
      </c>
      <c r="F137" s="328">
        <v>2</v>
      </c>
      <c r="G137" s="328" t="s">
        <v>5908</v>
      </c>
      <c r="H137" s="328" t="s">
        <v>5907</v>
      </c>
      <c r="I137" s="328" t="s">
        <v>4577</v>
      </c>
      <c r="J137" s="307" t="s">
        <v>5803</v>
      </c>
      <c r="K137" s="305" t="s">
        <v>4383</v>
      </c>
      <c r="L137" s="30" t="s">
        <v>5792</v>
      </c>
      <c r="M137" s="305" t="s">
        <v>4508</v>
      </c>
      <c r="N137" s="162" t="s">
        <v>4700</v>
      </c>
      <c r="O137" s="17" t="s">
        <v>4507</v>
      </c>
      <c r="P137" s="162" t="s">
        <v>4470</v>
      </c>
      <c r="Q137" s="162" t="s">
        <v>4420</v>
      </c>
      <c r="R137" s="162" t="s">
        <v>6170</v>
      </c>
      <c r="S137" s="30">
        <v>10</v>
      </c>
      <c r="T137" s="162" t="s">
        <v>4420</v>
      </c>
      <c r="U137" s="162" t="s">
        <v>5792</v>
      </c>
      <c r="V137" s="162" t="s">
        <v>4559</v>
      </c>
      <c r="W137" s="17">
        <v>7</v>
      </c>
      <c r="X137" s="239">
        <v>0</v>
      </c>
      <c r="Y137" s="17">
        <v>0</v>
      </c>
      <c r="Z137" s="305" t="s">
        <v>3988</v>
      </c>
      <c r="AA137" s="16">
        <f>INDEX('[2]Cross-Section Database'!$C$2:$V$2928,MATCH(Z137,'[2]Cross-Section Database'!$B$2:$B$2928,0),3)</f>
        <v>260</v>
      </c>
      <c r="AB137" s="16">
        <f>INDEX('[2]Cross-Section Database'!$C$2:$V$2928,MATCH(Z137,'[2]Cross-Section Database'!$B$2:$B$2928,0),4)</f>
        <v>260</v>
      </c>
      <c r="AC137" s="16">
        <f>INDEX('[2]Cross-Section Database'!$C$2:$V$2928,MATCH(Z137,'[2]Cross-Section Database'!$B$2:$B$2928,0),6)</f>
        <v>17.5</v>
      </c>
      <c r="AD137" s="16">
        <f>INDEX('[2]Cross-Section Database'!$C$2:$V$2928,MATCH(Z137,'[2]Cross-Section Database'!$B$2:$B$2928,0),5)</f>
        <v>10</v>
      </c>
      <c r="AE137" s="16" t="s">
        <v>6134</v>
      </c>
      <c r="AF137" s="305" t="s">
        <v>3913</v>
      </c>
      <c r="AG137" s="16">
        <f>INDEX('[2]Cross-Section Database'!$C$2:$V$23928,MATCH(AF137,'[2]Cross-Section Database'!$B$2:$B$3928,0),3)</f>
        <v>300</v>
      </c>
      <c r="AH137" s="16">
        <f>INDEX('[2]Cross-Section Database'!$C$2:$V$3928,MATCH(AF137,'[2]Cross-Section Database'!$B$2:$B$3928,0),4)</f>
        <v>150</v>
      </c>
      <c r="AI137" s="16">
        <f>INDEX('[2]Cross-Section Database'!$C$2:$V$3928,MATCH(AF137,'[2]Cross-Section Database'!$B$2:$B$3928,0),6)</f>
        <v>10.7</v>
      </c>
      <c r="AJ137" s="16">
        <f>INDEX('[2]Cross-Section Database'!$C$2:$V$3928,MATCH(AF137,'[2]Cross-Section Database'!$B$2:$B$3928,0),5)</f>
        <v>7.1</v>
      </c>
      <c r="AK137" s="31">
        <v>1800</v>
      </c>
      <c r="AL137" s="16">
        <f>INDEX('[2]Cross-Section Database'!$C$2:$V$3928,MATCH(AF137,'[2]Cross-Section Database'!$B$2:$B$3928,0),11)</f>
        <v>83560000</v>
      </c>
      <c r="AM137" s="26">
        <f>INDEX('[2]Cross-Section Database'!$C$2:$V$3928,MATCH(AF137,'[2]Cross-Section Database'!$B$2:$B$3928,0),12)</f>
        <v>628000</v>
      </c>
      <c r="AN137" s="102">
        <v>12</v>
      </c>
      <c r="AO137" s="16">
        <v>150</v>
      </c>
      <c r="AP137" s="16">
        <v>300</v>
      </c>
      <c r="AQ137" s="162">
        <v>0</v>
      </c>
      <c r="AR137" s="162">
        <v>0</v>
      </c>
      <c r="AS137" s="305" t="s">
        <v>5807</v>
      </c>
      <c r="AT137" s="162" t="s">
        <v>6134</v>
      </c>
      <c r="AU137" s="162" t="s">
        <v>6134</v>
      </c>
      <c r="AV137" s="162">
        <v>20</v>
      </c>
      <c r="AW137" s="162">
        <f t="shared" ref="AW137:AW138" si="32">IF(AV137=24,353,IF(AV137=22,303,IF(AV137=20,245,IF(AV137=16,157,0))))</f>
        <v>245</v>
      </c>
      <c r="AX137" s="16">
        <v>60</v>
      </c>
      <c r="AY137" s="16">
        <v>60</v>
      </c>
      <c r="AZ137" s="16">
        <v>0</v>
      </c>
      <c r="BA137" s="16">
        <v>90</v>
      </c>
      <c r="BB137" s="16">
        <v>180</v>
      </c>
      <c r="BC137" s="22" t="s">
        <v>4470</v>
      </c>
      <c r="BD137" s="162" t="s">
        <v>6209</v>
      </c>
      <c r="BE137" s="162" t="s">
        <v>6209</v>
      </c>
      <c r="BF137" s="162">
        <v>2</v>
      </c>
      <c r="BG137" s="17">
        <v>4</v>
      </c>
      <c r="BH137" s="305">
        <v>120</v>
      </c>
      <c r="BI137" s="162">
        <v>1000</v>
      </c>
      <c r="BJ137" s="201" t="s">
        <v>5792</v>
      </c>
      <c r="BK137" s="201" t="s">
        <v>5792</v>
      </c>
      <c r="BL137" s="201" t="s">
        <v>5792</v>
      </c>
      <c r="BM137" s="201" t="s">
        <v>5792</v>
      </c>
      <c r="BN137" s="201" t="s">
        <v>5792</v>
      </c>
      <c r="BO137" s="219" t="s">
        <v>5792</v>
      </c>
      <c r="BP137" s="305" t="s">
        <v>5856</v>
      </c>
      <c r="BQ137" s="162" t="s">
        <v>6134</v>
      </c>
      <c r="BR137" s="162">
        <v>1</v>
      </c>
      <c r="BS137" s="162">
        <v>20</v>
      </c>
      <c r="BT137" s="162">
        <v>100</v>
      </c>
      <c r="BU137" s="162" t="s">
        <v>6134</v>
      </c>
      <c r="BV137" s="17" t="s">
        <v>6134</v>
      </c>
      <c r="BW137" s="162" t="s">
        <v>6083</v>
      </c>
      <c r="BX137" s="162" t="s">
        <v>6121</v>
      </c>
      <c r="BY137" s="16">
        <f>((BI137/250)+1)*PI()*6^2/4</f>
        <v>141.37166941154069</v>
      </c>
      <c r="BZ137" s="16">
        <f>8*PI()*10^2/4</f>
        <v>628.31853071795865</v>
      </c>
      <c r="CA137" s="30">
        <v>25</v>
      </c>
      <c r="CB137" s="123">
        <v>5.1999999999999998E-3</v>
      </c>
      <c r="CC137" s="30" t="s">
        <v>4450</v>
      </c>
      <c r="CD137" s="65">
        <v>275</v>
      </c>
      <c r="CE137" s="162">
        <v>338</v>
      </c>
      <c r="CF137" s="65">
        <v>410</v>
      </c>
      <c r="CG137" s="162">
        <v>485</v>
      </c>
      <c r="CH137" s="66">
        <v>200000</v>
      </c>
      <c r="CI137" s="30" t="s">
        <v>4450</v>
      </c>
      <c r="CJ137" s="65">
        <v>275</v>
      </c>
      <c r="CK137" s="16">
        <v>286</v>
      </c>
      <c r="CL137" s="65">
        <v>410</v>
      </c>
      <c r="CM137" s="16">
        <v>429</v>
      </c>
      <c r="CN137" s="66">
        <v>200000</v>
      </c>
      <c r="CO137" s="30" t="s">
        <v>4450</v>
      </c>
      <c r="CP137" s="65">
        <v>275</v>
      </c>
      <c r="CQ137" s="30">
        <v>360</v>
      </c>
      <c r="CR137" s="65">
        <v>410</v>
      </c>
      <c r="CS137" s="30">
        <v>530</v>
      </c>
      <c r="CT137" s="76">
        <v>200000</v>
      </c>
      <c r="CU137" s="150" t="s">
        <v>6084</v>
      </c>
      <c r="CV137" s="94">
        <v>42</v>
      </c>
      <c r="CW137" s="94">
        <v>3.1</v>
      </c>
      <c r="CX137" s="66">
        <v>33000</v>
      </c>
      <c r="CY137" s="95">
        <v>495</v>
      </c>
      <c r="CZ137" s="76">
        <v>668</v>
      </c>
      <c r="DA137" s="66">
        <v>200000</v>
      </c>
      <c r="DB137" s="282" t="s">
        <v>5792</v>
      </c>
      <c r="DC137" s="162">
        <v>8.8000000000000007</v>
      </c>
      <c r="DD137" s="162">
        <v>640</v>
      </c>
      <c r="DE137" s="30">
        <v>730</v>
      </c>
      <c r="DF137" s="162">
        <v>800</v>
      </c>
      <c r="DG137" s="30">
        <v>940</v>
      </c>
      <c r="DH137" s="66">
        <v>200000</v>
      </c>
      <c r="DI137" s="28" t="s">
        <v>6133</v>
      </c>
      <c r="DJ137" s="162" t="s">
        <v>4435</v>
      </c>
      <c r="DK137" s="296" t="s">
        <v>4566</v>
      </c>
    </row>
    <row r="138" spans="1:115" ht="16.2" thickBot="1">
      <c r="A138" s="14">
        <v>133</v>
      </c>
      <c r="B138" s="330"/>
      <c r="C138" s="330"/>
      <c r="D138" s="335"/>
      <c r="E138" s="332"/>
      <c r="F138" s="330"/>
      <c r="G138" s="330"/>
      <c r="H138" s="330"/>
      <c r="I138" s="330"/>
      <c r="J138" s="308" t="s">
        <v>6082</v>
      </c>
      <c r="K138" s="143" t="s">
        <v>4383</v>
      </c>
      <c r="L138" s="34" t="s">
        <v>5792</v>
      </c>
      <c r="M138" s="143" t="s">
        <v>4508</v>
      </c>
      <c r="N138" s="164" t="s">
        <v>4700</v>
      </c>
      <c r="O138" s="14" t="s">
        <v>4507</v>
      </c>
      <c r="P138" s="304" t="s">
        <v>4470</v>
      </c>
      <c r="Q138" s="304" t="s">
        <v>4420</v>
      </c>
      <c r="R138" s="164" t="s">
        <v>6170</v>
      </c>
      <c r="S138" s="34">
        <v>10</v>
      </c>
      <c r="T138" s="164" t="s">
        <v>4420</v>
      </c>
      <c r="U138" s="164" t="s">
        <v>5792</v>
      </c>
      <c r="V138" s="164" t="s">
        <v>4559</v>
      </c>
      <c r="W138" s="14">
        <v>7</v>
      </c>
      <c r="X138" s="235">
        <v>0</v>
      </c>
      <c r="Y138" s="14">
        <v>0</v>
      </c>
      <c r="Z138" s="143" t="s">
        <v>3988</v>
      </c>
      <c r="AA138" s="23">
        <f>INDEX('[2]Cross-Section Database'!$C$2:$V$2928,MATCH(Z138,'[2]Cross-Section Database'!$B$2:$B$2928,0),3)</f>
        <v>260</v>
      </c>
      <c r="AB138" s="23">
        <f>INDEX('[2]Cross-Section Database'!$C$2:$V$2928,MATCH(Z138,'[2]Cross-Section Database'!$B$2:$B$2928,0),4)</f>
        <v>260</v>
      </c>
      <c r="AC138" s="56">
        <f>INDEX('[2]Cross-Section Database'!$C$2:$V$2928,MATCH(Z138,'[2]Cross-Section Database'!$B$2:$B$2928,0),6)</f>
        <v>17.5</v>
      </c>
      <c r="AD138" s="56">
        <f>INDEX('[2]Cross-Section Database'!$C$2:$V$2928,MATCH(Z138,'[2]Cross-Section Database'!$B$2:$B$2928,0),5)</f>
        <v>10</v>
      </c>
      <c r="AE138" s="23" t="s">
        <v>6134</v>
      </c>
      <c r="AF138" s="143" t="s">
        <v>3913</v>
      </c>
      <c r="AG138" s="23">
        <f>INDEX('[2]Cross-Section Database'!$C$2:$V$2928,MATCH(AF138,'[2]Cross-Section Database'!$B$2:$B$2928,0),3)</f>
        <v>300</v>
      </c>
      <c r="AH138" s="23">
        <f>INDEX('[2]Cross-Section Database'!$C$2:$V$2928,MATCH(AF138,'[2]Cross-Section Database'!$B$2:$B$2928,0),4)</f>
        <v>150</v>
      </c>
      <c r="AI138" s="23">
        <f>INDEX('[2]Cross-Section Database'!$C$2:$V$2928,MATCH(AF138,'[2]Cross-Section Database'!$B$2:$B$2928,0),6)</f>
        <v>10.7</v>
      </c>
      <c r="AJ138" s="23">
        <f>INDEX('[2]Cross-Section Database'!$C$2:$V$2928,MATCH(AF138,'[2]Cross-Section Database'!$B$2:$B$2928,0),5)</f>
        <v>7.1</v>
      </c>
      <c r="AK138" s="35">
        <v>1800</v>
      </c>
      <c r="AL138" s="23">
        <f>INDEX('[2]Cross-Section Database'!$C$2:$V$3928,MATCH(AF138,'[2]Cross-Section Database'!$B$2:$B$3928,0),11)</f>
        <v>83560000</v>
      </c>
      <c r="AM138" s="25">
        <f>INDEX('[2]Cross-Section Database'!$C$2:$V$3928,MATCH(AF138,'[2]Cross-Section Database'!$B$2:$B$3928,0),12)</f>
        <v>628000</v>
      </c>
      <c r="AN138" s="104">
        <v>12</v>
      </c>
      <c r="AO138" s="21">
        <v>150</v>
      </c>
      <c r="AP138" s="21">
        <v>300</v>
      </c>
      <c r="AQ138" s="163">
        <v>0</v>
      </c>
      <c r="AR138" s="163">
        <v>0</v>
      </c>
      <c r="AS138" s="143" t="s">
        <v>5807</v>
      </c>
      <c r="AT138" s="164" t="s">
        <v>6134</v>
      </c>
      <c r="AU138" s="164" t="s">
        <v>6134</v>
      </c>
      <c r="AV138" s="164">
        <v>20</v>
      </c>
      <c r="AW138" s="164">
        <f t="shared" si="32"/>
        <v>245</v>
      </c>
      <c r="AX138" s="21">
        <v>60</v>
      </c>
      <c r="AY138" s="21">
        <v>60</v>
      </c>
      <c r="AZ138" s="23">
        <v>0</v>
      </c>
      <c r="BA138" s="23">
        <v>90</v>
      </c>
      <c r="BB138" s="23">
        <v>180</v>
      </c>
      <c r="BC138" s="19" t="s">
        <v>4470</v>
      </c>
      <c r="BD138" s="164" t="s">
        <v>6209</v>
      </c>
      <c r="BE138" s="164" t="s">
        <v>6209</v>
      </c>
      <c r="BF138" s="164">
        <v>2</v>
      </c>
      <c r="BG138" s="14">
        <v>4</v>
      </c>
      <c r="BH138" s="143">
        <v>120</v>
      </c>
      <c r="BI138" s="164">
        <v>1000</v>
      </c>
      <c r="BJ138" s="198" t="s">
        <v>5792</v>
      </c>
      <c r="BK138" s="198" t="s">
        <v>5792</v>
      </c>
      <c r="BL138" s="198" t="s">
        <v>5792</v>
      </c>
      <c r="BM138" s="198" t="s">
        <v>5792</v>
      </c>
      <c r="BN138" s="198" t="s">
        <v>5792</v>
      </c>
      <c r="BO138" s="220" t="s">
        <v>5792</v>
      </c>
      <c r="BP138" s="143" t="s">
        <v>5856</v>
      </c>
      <c r="BQ138" s="164" t="s">
        <v>6134</v>
      </c>
      <c r="BR138" s="164">
        <v>1</v>
      </c>
      <c r="BS138" s="164">
        <v>20</v>
      </c>
      <c r="BT138" s="164">
        <v>100</v>
      </c>
      <c r="BU138" s="164" t="s">
        <v>6134</v>
      </c>
      <c r="BV138" s="14" t="s">
        <v>6134</v>
      </c>
      <c r="BW138" s="164" t="s">
        <v>6083</v>
      </c>
      <c r="BX138" s="164" t="s">
        <v>6122</v>
      </c>
      <c r="BY138" s="23">
        <f>((BI138/250)+1)*PI()*6^2/4</f>
        <v>141.37166941154069</v>
      </c>
      <c r="BZ138" s="23">
        <f>8*PI()*14^2/4</f>
        <v>1231.5043202071988</v>
      </c>
      <c r="CA138" s="34">
        <v>25</v>
      </c>
      <c r="CB138" s="122">
        <v>1.03E-2</v>
      </c>
      <c r="CC138" s="32" t="s">
        <v>4450</v>
      </c>
      <c r="CD138" s="60">
        <v>275</v>
      </c>
      <c r="CE138" s="164">
        <v>338</v>
      </c>
      <c r="CF138" s="60">
        <v>410</v>
      </c>
      <c r="CG138" s="164">
        <v>485</v>
      </c>
      <c r="CH138" s="67">
        <v>200000</v>
      </c>
      <c r="CI138" s="32" t="s">
        <v>4450</v>
      </c>
      <c r="CJ138" s="60">
        <v>275</v>
      </c>
      <c r="CK138" s="23">
        <v>286</v>
      </c>
      <c r="CL138" s="60">
        <v>410</v>
      </c>
      <c r="CM138" s="23">
        <v>429</v>
      </c>
      <c r="CN138" s="67">
        <v>200000</v>
      </c>
      <c r="CO138" s="32" t="s">
        <v>4450</v>
      </c>
      <c r="CP138" s="60">
        <v>275</v>
      </c>
      <c r="CQ138" s="32">
        <v>360</v>
      </c>
      <c r="CR138" s="60">
        <v>410</v>
      </c>
      <c r="CS138" s="32">
        <v>530</v>
      </c>
      <c r="CT138" s="61">
        <v>200000</v>
      </c>
      <c r="CU138" s="151" t="s">
        <v>6084</v>
      </c>
      <c r="CV138" s="99">
        <v>42</v>
      </c>
      <c r="CW138" s="99">
        <v>3.1</v>
      </c>
      <c r="CX138" s="67">
        <v>33000</v>
      </c>
      <c r="CY138" s="100">
        <v>413</v>
      </c>
      <c r="CZ138" s="99">
        <v>668</v>
      </c>
      <c r="DA138" s="67">
        <v>200000</v>
      </c>
      <c r="DB138" s="284" t="s">
        <v>5792</v>
      </c>
      <c r="DC138" s="164">
        <v>8.8000000000000007</v>
      </c>
      <c r="DD138" s="164">
        <v>640</v>
      </c>
      <c r="DE138" s="34">
        <v>730</v>
      </c>
      <c r="DF138" s="164">
        <v>800</v>
      </c>
      <c r="DG138" s="34">
        <v>940</v>
      </c>
      <c r="DH138" s="70">
        <v>200000</v>
      </c>
      <c r="DI138" s="27" t="s">
        <v>6075</v>
      </c>
      <c r="DJ138" s="143" t="s">
        <v>4435</v>
      </c>
      <c r="DK138" s="298" t="s">
        <v>4566</v>
      </c>
    </row>
    <row r="139" spans="1:115" ht="15.6" customHeight="1">
      <c r="A139" s="17">
        <v>134</v>
      </c>
      <c r="B139" s="325">
        <v>19</v>
      </c>
      <c r="C139" s="325">
        <v>1992</v>
      </c>
      <c r="D139" s="345" t="s">
        <v>4671</v>
      </c>
      <c r="E139" s="333" t="s">
        <v>4861</v>
      </c>
      <c r="F139" s="325">
        <v>7</v>
      </c>
      <c r="G139" s="328" t="s">
        <v>5911</v>
      </c>
      <c r="H139" s="325" t="s">
        <v>4676</v>
      </c>
      <c r="I139" s="325" t="s">
        <v>6233</v>
      </c>
      <c r="J139" s="43" t="s">
        <v>4643</v>
      </c>
      <c r="K139" s="305" t="s">
        <v>4383</v>
      </c>
      <c r="L139" s="30" t="s">
        <v>5792</v>
      </c>
      <c r="M139" s="305" t="s">
        <v>4508</v>
      </c>
      <c r="N139" s="162" t="s">
        <v>4701</v>
      </c>
      <c r="O139" s="17" t="s">
        <v>4507</v>
      </c>
      <c r="P139" s="162" t="s">
        <v>4420</v>
      </c>
      <c r="Q139" s="162" t="s">
        <v>4420</v>
      </c>
      <c r="R139" s="162" t="s">
        <v>6170</v>
      </c>
      <c r="S139" s="30">
        <v>12</v>
      </c>
      <c r="T139" s="162" t="s">
        <v>4420</v>
      </c>
      <c r="U139" s="162" t="s">
        <v>5792</v>
      </c>
      <c r="V139" s="30" t="s">
        <v>4559</v>
      </c>
      <c r="W139" s="88">
        <v>6</v>
      </c>
      <c r="X139" s="231">
        <v>0</v>
      </c>
      <c r="Y139" s="18">
        <v>0</v>
      </c>
      <c r="Z139" s="305" t="s">
        <v>3973</v>
      </c>
      <c r="AA139" s="16">
        <f>INDEX('[2]Cross-Section Database'!$C$2:$V$2928,MATCH(Z139,'[2]Cross-Section Database'!$B$2:$B$2928,0),3)</f>
        <v>200</v>
      </c>
      <c r="AB139" s="16">
        <f>INDEX('[2]Cross-Section Database'!$C$2:$V$2928,MATCH(Z139,'[2]Cross-Section Database'!$B$2:$B$2928,0),4)</f>
        <v>200</v>
      </c>
      <c r="AC139" s="16">
        <f>INDEX('[2]Cross-Section Database'!$C$2:$V$2928,MATCH(Z139,'[2]Cross-Section Database'!$B$2:$B$2928,0),6)</f>
        <v>15</v>
      </c>
      <c r="AD139" s="16">
        <f>INDEX('[2]Cross-Section Database'!$C$2:$V$2928,MATCH(Z139,'[2]Cross-Section Database'!$B$2:$B$2928,0),5)</f>
        <v>9</v>
      </c>
      <c r="AE139" s="16">
        <v>1100</v>
      </c>
      <c r="AF139" s="305" t="s">
        <v>3919</v>
      </c>
      <c r="AG139" s="21">
        <f>INDEX('[2]Cross-Section Database'!$C$2:$V$2928,MATCH(AF139,'[2]Cross-Section Database'!$B$2:$B$2928,0),3)</f>
        <v>360</v>
      </c>
      <c r="AH139" s="21">
        <f>INDEX('[2]Cross-Section Database'!$C$2:$V$2928,MATCH(AF139,'[2]Cross-Section Database'!$B$2:$B$2928,0),4)</f>
        <v>170</v>
      </c>
      <c r="AI139" s="21">
        <f>INDEX('[2]Cross-Section Database'!$C$2:$V$2928,MATCH(AF139,'[2]Cross-Section Database'!$B$2:$B$2928,0),6)</f>
        <v>12.7</v>
      </c>
      <c r="AJ139" s="21">
        <f>INDEX('[2]Cross-Section Database'!$C$2:$V$2928,MATCH(AF139,'[2]Cross-Section Database'!$B$2:$B$2928,0),5)</f>
        <v>8</v>
      </c>
      <c r="AK139" s="21">
        <v>1600</v>
      </c>
      <c r="AL139" s="16">
        <f>INDEX('[2]Cross-Section Database'!$C$2:$V$3928,MATCH(AF139,'[2]Cross-Section Database'!$B$2:$B$3928,0),11)</f>
        <v>162700000</v>
      </c>
      <c r="AM139" s="24">
        <f>INDEX('[2]Cross-Section Database'!$C$2:$V$3928,MATCH(AF139,'[2]Cross-Section Database'!$B$2:$B$3928,0),12)</f>
        <v>1019000</v>
      </c>
      <c r="AN139" s="16">
        <v>15</v>
      </c>
      <c r="AO139" s="16">
        <v>200</v>
      </c>
      <c r="AP139" s="16">
        <v>400</v>
      </c>
      <c r="AQ139" s="16">
        <v>20</v>
      </c>
      <c r="AR139" s="16">
        <f t="shared" ref="AR139:AR145" si="33">(AP139-AG139)/2</f>
        <v>20</v>
      </c>
      <c r="AS139" s="305" t="s">
        <v>5807</v>
      </c>
      <c r="AT139" s="162" t="s">
        <v>6134</v>
      </c>
      <c r="AU139" s="162" t="s">
        <v>6134</v>
      </c>
      <c r="AV139" s="162">
        <v>18</v>
      </c>
      <c r="AW139" s="162">
        <v>192</v>
      </c>
      <c r="AX139" s="16">
        <v>70</v>
      </c>
      <c r="AY139" s="16">
        <f t="shared" ref="AY139:AY165" si="34">AX139</f>
        <v>70</v>
      </c>
      <c r="AZ139" s="16">
        <v>130</v>
      </c>
      <c r="BA139" s="16">
        <v>100</v>
      </c>
      <c r="BB139" s="16">
        <v>0</v>
      </c>
      <c r="BC139" s="22" t="s">
        <v>4470</v>
      </c>
      <c r="BD139" s="162" t="s">
        <v>6209</v>
      </c>
      <c r="BE139" s="162" t="s">
        <v>6209</v>
      </c>
      <c r="BF139" s="162">
        <v>2</v>
      </c>
      <c r="BG139" s="17">
        <v>6</v>
      </c>
      <c r="BH139" s="200" t="s">
        <v>5792</v>
      </c>
      <c r="BI139" s="201" t="s">
        <v>5792</v>
      </c>
      <c r="BJ139" s="201" t="s">
        <v>5792</v>
      </c>
      <c r="BK139" s="201" t="s">
        <v>5792</v>
      </c>
      <c r="BL139" s="201" t="s">
        <v>5792</v>
      </c>
      <c r="BM139" s="201" t="s">
        <v>5792</v>
      </c>
      <c r="BN139" s="201" t="s">
        <v>5792</v>
      </c>
      <c r="BO139" s="219" t="s">
        <v>5792</v>
      </c>
      <c r="BP139" s="200" t="s">
        <v>5792</v>
      </c>
      <c r="BQ139" s="201" t="s">
        <v>5792</v>
      </c>
      <c r="BR139" s="201" t="s">
        <v>5792</v>
      </c>
      <c r="BS139" s="201" t="s">
        <v>5792</v>
      </c>
      <c r="BT139" s="201" t="s">
        <v>5792</v>
      </c>
      <c r="BU139" s="201" t="s">
        <v>5792</v>
      </c>
      <c r="BV139" s="219" t="s">
        <v>5792</v>
      </c>
      <c r="BW139" s="201" t="s">
        <v>5792</v>
      </c>
      <c r="BX139" s="201" t="s">
        <v>5792</v>
      </c>
      <c r="BY139" s="201" t="s">
        <v>5792</v>
      </c>
      <c r="BZ139" s="201" t="s">
        <v>5792</v>
      </c>
      <c r="CA139" s="201" t="s">
        <v>5792</v>
      </c>
      <c r="CB139" s="224" t="s">
        <v>5792</v>
      </c>
      <c r="CC139" s="162" t="s">
        <v>4449</v>
      </c>
      <c r="CD139" s="45">
        <v>235</v>
      </c>
      <c r="CE139" s="162">
        <v>310</v>
      </c>
      <c r="CF139" s="45">
        <v>360</v>
      </c>
      <c r="CG139" s="162">
        <v>435</v>
      </c>
      <c r="CH139" s="66">
        <v>200000</v>
      </c>
      <c r="CI139" s="305" t="s">
        <v>4449</v>
      </c>
      <c r="CJ139" s="45">
        <v>235</v>
      </c>
      <c r="CK139" s="16">
        <v>310</v>
      </c>
      <c r="CL139" s="72">
        <v>360</v>
      </c>
      <c r="CM139" s="16">
        <v>435</v>
      </c>
      <c r="CN139" s="66">
        <v>200000</v>
      </c>
      <c r="CO139" s="162" t="s">
        <v>4449</v>
      </c>
      <c r="CP139" s="72">
        <v>235</v>
      </c>
      <c r="CQ139" s="162">
        <v>310</v>
      </c>
      <c r="CR139" s="72">
        <v>360</v>
      </c>
      <c r="CS139" s="162">
        <v>435</v>
      </c>
      <c r="CT139" s="66">
        <v>200000</v>
      </c>
      <c r="CU139" s="216" t="s">
        <v>5792</v>
      </c>
      <c r="CV139" s="216" t="s">
        <v>5792</v>
      </c>
      <c r="CW139" s="216" t="s">
        <v>5792</v>
      </c>
      <c r="CX139" s="205" t="s">
        <v>5792</v>
      </c>
      <c r="CY139" s="200" t="s">
        <v>5792</v>
      </c>
      <c r="CZ139" s="201" t="s">
        <v>5792</v>
      </c>
      <c r="DA139" s="206" t="s">
        <v>5792</v>
      </c>
      <c r="DB139" s="282" t="s">
        <v>5792</v>
      </c>
      <c r="DC139" s="162">
        <v>10.9</v>
      </c>
      <c r="DD139" s="302">
        <v>900</v>
      </c>
      <c r="DE139" s="30">
        <v>990</v>
      </c>
      <c r="DF139" s="302">
        <v>1000</v>
      </c>
      <c r="DG139" s="30">
        <v>1100</v>
      </c>
      <c r="DH139" s="76">
        <v>205000</v>
      </c>
      <c r="DI139" s="43" t="s">
        <v>5838</v>
      </c>
      <c r="DJ139" s="162" t="s">
        <v>4435</v>
      </c>
      <c r="DK139" s="297" t="s">
        <v>4566</v>
      </c>
    </row>
    <row r="140" spans="1:115">
      <c r="A140" s="18">
        <v>135</v>
      </c>
      <c r="B140" s="326"/>
      <c r="C140" s="326"/>
      <c r="D140" s="346"/>
      <c r="E140" s="334"/>
      <c r="F140" s="326"/>
      <c r="G140" s="329"/>
      <c r="H140" s="326"/>
      <c r="I140" s="326"/>
      <c r="J140" s="309" t="s">
        <v>4638</v>
      </c>
      <c r="K140" s="306" t="s">
        <v>4383</v>
      </c>
      <c r="L140" s="32" t="s">
        <v>5792</v>
      </c>
      <c r="M140" s="306" t="s">
        <v>4508</v>
      </c>
      <c r="N140" s="163" t="s">
        <v>4701</v>
      </c>
      <c r="O140" s="18" t="s">
        <v>4507</v>
      </c>
      <c r="P140" s="163" t="s">
        <v>4470</v>
      </c>
      <c r="Q140" s="163" t="s">
        <v>4420</v>
      </c>
      <c r="R140" s="163" t="s">
        <v>6170</v>
      </c>
      <c r="S140" s="32">
        <v>12</v>
      </c>
      <c r="T140" s="163" t="s">
        <v>4420</v>
      </c>
      <c r="U140" s="163" t="s">
        <v>5792</v>
      </c>
      <c r="V140" s="32" t="s">
        <v>4559</v>
      </c>
      <c r="W140" s="73">
        <v>6</v>
      </c>
      <c r="X140" s="231">
        <v>0</v>
      </c>
      <c r="Y140" s="18">
        <v>0</v>
      </c>
      <c r="Z140" s="306" t="s">
        <v>3973</v>
      </c>
      <c r="AA140" s="21">
        <f>INDEX('[2]Cross-Section Database'!$C$2:$V$2928,MATCH(Z140,'[2]Cross-Section Database'!$B$2:$B$2928,0),3)</f>
        <v>200</v>
      </c>
      <c r="AB140" s="21">
        <f>INDEX('[2]Cross-Section Database'!$C$2:$V$2928,MATCH(Z140,'[2]Cross-Section Database'!$B$2:$B$2928,0),4)</f>
        <v>200</v>
      </c>
      <c r="AC140" s="21">
        <f>INDEX('[2]Cross-Section Database'!$C$2:$V$2928,MATCH(Z140,'[2]Cross-Section Database'!$B$2:$B$2928,0),6)</f>
        <v>15</v>
      </c>
      <c r="AD140" s="21">
        <f>INDEX('[2]Cross-Section Database'!$C$2:$V$2928,MATCH(Z140,'[2]Cross-Section Database'!$B$2:$B$2928,0),5)</f>
        <v>9</v>
      </c>
      <c r="AE140" s="21">
        <v>1100</v>
      </c>
      <c r="AF140" s="306" t="s">
        <v>3919</v>
      </c>
      <c r="AG140" s="21">
        <f>INDEX('[2]Cross-Section Database'!$C$2:$V$2928,MATCH(AF140,'[2]Cross-Section Database'!$B$2:$B$2928,0),3)</f>
        <v>360</v>
      </c>
      <c r="AH140" s="21">
        <f>INDEX('[2]Cross-Section Database'!$C$2:$V$2928,MATCH(AF140,'[2]Cross-Section Database'!$B$2:$B$2928,0),4)</f>
        <v>170</v>
      </c>
      <c r="AI140" s="21">
        <f>INDEX('[2]Cross-Section Database'!$C$2:$V$2928,MATCH(AF140,'[2]Cross-Section Database'!$B$2:$B$2928,0),6)</f>
        <v>12.7</v>
      </c>
      <c r="AJ140" s="21">
        <f>INDEX('[2]Cross-Section Database'!$C$2:$V$2928,MATCH(AF140,'[2]Cross-Section Database'!$B$2:$B$2928,0),5)</f>
        <v>8</v>
      </c>
      <c r="AK140" s="21">
        <v>1600</v>
      </c>
      <c r="AL140" s="21">
        <f>INDEX('[2]Cross-Section Database'!$C$2:$V$3928,MATCH(AF140,'[2]Cross-Section Database'!$B$2:$B$3928,0),11)</f>
        <v>162700000</v>
      </c>
      <c r="AM140" s="24">
        <f>INDEX('[2]Cross-Section Database'!$C$2:$V$3928,MATCH(AF140,'[2]Cross-Section Database'!$B$2:$B$3928,0),12)</f>
        <v>1019000</v>
      </c>
      <c r="AN140" s="21">
        <v>15</v>
      </c>
      <c r="AO140" s="21">
        <v>200</v>
      </c>
      <c r="AP140" s="21">
        <v>400</v>
      </c>
      <c r="AQ140" s="21">
        <v>20</v>
      </c>
      <c r="AR140" s="21">
        <f t="shared" si="33"/>
        <v>20</v>
      </c>
      <c r="AS140" s="306" t="s">
        <v>5807</v>
      </c>
      <c r="AT140" s="163" t="s">
        <v>6134</v>
      </c>
      <c r="AU140" s="163" t="s">
        <v>6134</v>
      </c>
      <c r="AV140" s="21">
        <v>18</v>
      </c>
      <c r="AW140" s="21">
        <v>192</v>
      </c>
      <c r="AX140" s="21">
        <v>70</v>
      </c>
      <c r="AY140" s="21">
        <f t="shared" si="34"/>
        <v>70</v>
      </c>
      <c r="AZ140" s="21">
        <v>130</v>
      </c>
      <c r="BA140" s="21">
        <v>100</v>
      </c>
      <c r="BB140" s="21">
        <v>0</v>
      </c>
      <c r="BC140" s="15" t="s">
        <v>4470</v>
      </c>
      <c r="BD140" s="163" t="s">
        <v>6209</v>
      </c>
      <c r="BE140" s="163" t="s">
        <v>6209</v>
      </c>
      <c r="BF140" s="163">
        <v>2</v>
      </c>
      <c r="BG140" s="18">
        <v>6</v>
      </c>
      <c r="BH140" s="306">
        <v>120</v>
      </c>
      <c r="BI140" s="163">
        <v>1000</v>
      </c>
      <c r="BJ140" s="163" t="s">
        <v>6191</v>
      </c>
      <c r="BK140" s="163">
        <v>1.2</v>
      </c>
      <c r="BL140" s="163">
        <v>130</v>
      </c>
      <c r="BM140" s="163">
        <v>1810</v>
      </c>
      <c r="BN140" s="163">
        <v>55</v>
      </c>
      <c r="BO140" s="18" t="s">
        <v>4591</v>
      </c>
      <c r="BP140" s="306" t="s">
        <v>5856</v>
      </c>
      <c r="BQ140" s="163">
        <v>9</v>
      </c>
      <c r="BR140" s="163">
        <v>1</v>
      </c>
      <c r="BS140" s="163">
        <v>19</v>
      </c>
      <c r="BT140" s="163">
        <v>100</v>
      </c>
      <c r="BU140" s="32">
        <v>45</v>
      </c>
      <c r="BV140" s="73">
        <v>160</v>
      </c>
      <c r="BW140" s="163" t="s">
        <v>4573</v>
      </c>
      <c r="BX140" s="163" t="s">
        <v>4642</v>
      </c>
      <c r="BY140" s="21">
        <v>0</v>
      </c>
      <c r="BZ140" s="21">
        <f>10*PI()*8^2/4</f>
        <v>502.6548245743669</v>
      </c>
      <c r="CA140" s="163">
        <v>28</v>
      </c>
      <c r="CB140" s="121">
        <v>7.7000000000000002E-3</v>
      </c>
      <c r="CC140" s="163" t="s">
        <v>4449</v>
      </c>
      <c r="CD140" s="46">
        <v>235</v>
      </c>
      <c r="CE140" s="163">
        <v>310</v>
      </c>
      <c r="CF140" s="46">
        <v>360</v>
      </c>
      <c r="CG140" s="163">
        <v>435</v>
      </c>
      <c r="CH140" s="67">
        <v>200000</v>
      </c>
      <c r="CI140" s="306" t="s">
        <v>4449</v>
      </c>
      <c r="CJ140" s="46">
        <v>235</v>
      </c>
      <c r="CK140" s="21">
        <v>310</v>
      </c>
      <c r="CL140" s="47">
        <v>360</v>
      </c>
      <c r="CM140" s="21">
        <v>435</v>
      </c>
      <c r="CN140" s="67">
        <v>200000</v>
      </c>
      <c r="CO140" s="163" t="s">
        <v>4449</v>
      </c>
      <c r="CP140" s="47">
        <v>235</v>
      </c>
      <c r="CQ140" s="163">
        <v>310</v>
      </c>
      <c r="CR140" s="47">
        <v>360</v>
      </c>
      <c r="CS140" s="163">
        <v>435</v>
      </c>
      <c r="CT140" s="67">
        <v>200000</v>
      </c>
      <c r="CU140" s="163" t="s">
        <v>5796</v>
      </c>
      <c r="CV140" s="33">
        <v>37</v>
      </c>
      <c r="CW140" s="33">
        <v>2.9</v>
      </c>
      <c r="CX140" s="67">
        <v>33000</v>
      </c>
      <c r="CY140" s="306">
        <v>540</v>
      </c>
      <c r="CZ140" s="32">
        <v>650</v>
      </c>
      <c r="DA140" s="67">
        <v>200000</v>
      </c>
      <c r="DB140" s="294">
        <v>320</v>
      </c>
      <c r="DC140" s="163">
        <v>10.9</v>
      </c>
      <c r="DD140" s="303">
        <v>900</v>
      </c>
      <c r="DE140" s="32">
        <v>990</v>
      </c>
      <c r="DF140" s="303">
        <v>1000</v>
      </c>
      <c r="DG140" s="32">
        <v>1100</v>
      </c>
      <c r="DH140" s="61">
        <v>205000</v>
      </c>
      <c r="DI140" s="41" t="s">
        <v>5855</v>
      </c>
      <c r="DJ140" s="163" t="s">
        <v>4435</v>
      </c>
      <c r="DK140" s="297" t="s">
        <v>4566</v>
      </c>
    </row>
    <row r="141" spans="1:115">
      <c r="A141" s="18">
        <v>136</v>
      </c>
      <c r="B141" s="326"/>
      <c r="C141" s="326"/>
      <c r="D141" s="346"/>
      <c r="E141" s="334"/>
      <c r="F141" s="326"/>
      <c r="G141" s="329"/>
      <c r="H141" s="326"/>
      <c r="I141" s="326"/>
      <c r="J141" s="309" t="s">
        <v>6096</v>
      </c>
      <c r="K141" s="306" t="s">
        <v>4383</v>
      </c>
      <c r="L141" s="32" t="s">
        <v>5792</v>
      </c>
      <c r="M141" s="306" t="s">
        <v>4508</v>
      </c>
      <c r="N141" s="163" t="s">
        <v>4701</v>
      </c>
      <c r="O141" s="18" t="s">
        <v>4507</v>
      </c>
      <c r="P141" s="163" t="s">
        <v>4470</v>
      </c>
      <c r="Q141" s="163" t="s">
        <v>4420</v>
      </c>
      <c r="R141" s="163" t="s">
        <v>6170</v>
      </c>
      <c r="S141" s="32">
        <v>12</v>
      </c>
      <c r="T141" s="163" t="s">
        <v>4420</v>
      </c>
      <c r="U141" s="163" t="s">
        <v>5792</v>
      </c>
      <c r="V141" s="32" t="s">
        <v>4559</v>
      </c>
      <c r="W141" s="73">
        <v>6</v>
      </c>
      <c r="X141" s="231">
        <v>0</v>
      </c>
      <c r="Y141" s="18">
        <v>0</v>
      </c>
      <c r="Z141" s="306" t="s">
        <v>3973</v>
      </c>
      <c r="AA141" s="21">
        <f>INDEX('[2]Cross-Section Database'!$C$2:$V$2928,MATCH(Z141,'[2]Cross-Section Database'!$B$2:$B$2928,0),3)</f>
        <v>200</v>
      </c>
      <c r="AB141" s="21">
        <f>INDEX('[2]Cross-Section Database'!$C$2:$V$2928,MATCH(Z141,'[2]Cross-Section Database'!$B$2:$B$2928,0),4)</f>
        <v>200</v>
      </c>
      <c r="AC141" s="21">
        <f>INDEX('[2]Cross-Section Database'!$C$2:$V$2928,MATCH(Z141,'[2]Cross-Section Database'!$B$2:$B$2928,0),6)</f>
        <v>15</v>
      </c>
      <c r="AD141" s="21">
        <f>INDEX('[2]Cross-Section Database'!$C$2:$V$2928,MATCH(Z141,'[2]Cross-Section Database'!$B$2:$B$2928,0),5)</f>
        <v>9</v>
      </c>
      <c r="AE141" s="21">
        <v>1100</v>
      </c>
      <c r="AF141" s="306" t="s">
        <v>3972</v>
      </c>
      <c r="AG141" s="21">
        <f>INDEX('[2]Cross-Section Database'!$C$2:$V$2928,MATCH(AF141,'[2]Cross-Section Database'!$B$2:$B$2928,0),3)</f>
        <v>190</v>
      </c>
      <c r="AH141" s="21">
        <f>INDEX('[2]Cross-Section Database'!$C$2:$V$2928,MATCH(AF141,'[2]Cross-Section Database'!$B$2:$B$2928,0),4)</f>
        <v>200</v>
      </c>
      <c r="AI141" s="21">
        <f>INDEX('[2]Cross-Section Database'!$C$2:$V$2928,MATCH(AF141,'[2]Cross-Section Database'!$B$2:$B$2928,0),6)</f>
        <v>10</v>
      </c>
      <c r="AJ141" s="21">
        <f>INDEX('[2]Cross-Section Database'!$C$2:$V$2928,MATCH(AF141,'[2]Cross-Section Database'!$B$2:$B$2928,0),5)</f>
        <v>6.5</v>
      </c>
      <c r="AK141" s="21">
        <v>1600</v>
      </c>
      <c r="AL141" s="21">
        <f>INDEX('[2]Cross-Section Database'!$C$2:$V$3928,MATCH(AF141,'[2]Cross-Section Database'!$B$2:$B$3928,0),11)</f>
        <v>36920000</v>
      </c>
      <c r="AM141" s="24">
        <f>INDEX('[2]Cross-Section Database'!$C$2:$V$3928,MATCH(AF141,'[2]Cross-Section Database'!$B$2:$B$3928,0),12)</f>
        <v>429500</v>
      </c>
      <c r="AN141" s="21">
        <v>15</v>
      </c>
      <c r="AO141" s="21">
        <v>200</v>
      </c>
      <c r="AP141" s="21">
        <v>400</v>
      </c>
      <c r="AQ141" s="21">
        <v>20</v>
      </c>
      <c r="AR141" s="21">
        <f t="shared" si="33"/>
        <v>105</v>
      </c>
      <c r="AS141" s="306" t="s">
        <v>5807</v>
      </c>
      <c r="AT141" s="163" t="s">
        <v>6134</v>
      </c>
      <c r="AU141" s="163" t="s">
        <v>6134</v>
      </c>
      <c r="AV141" s="21">
        <v>18</v>
      </c>
      <c r="AW141" s="21">
        <v>192</v>
      </c>
      <c r="AX141" s="21">
        <v>70</v>
      </c>
      <c r="AY141" s="21">
        <f t="shared" si="34"/>
        <v>70</v>
      </c>
      <c r="AZ141" s="21">
        <v>130</v>
      </c>
      <c r="BA141" s="21">
        <v>100</v>
      </c>
      <c r="BB141" s="21">
        <v>0</v>
      </c>
      <c r="BC141" s="15" t="s">
        <v>4470</v>
      </c>
      <c r="BD141" s="163" t="s">
        <v>6209</v>
      </c>
      <c r="BE141" s="163" t="s">
        <v>6209</v>
      </c>
      <c r="BF141" s="163">
        <v>2</v>
      </c>
      <c r="BG141" s="18">
        <v>6</v>
      </c>
      <c r="BH141" s="306">
        <v>120</v>
      </c>
      <c r="BI141" s="163">
        <v>1000</v>
      </c>
      <c r="BJ141" s="163" t="s">
        <v>6191</v>
      </c>
      <c r="BK141" s="163">
        <v>1.2</v>
      </c>
      <c r="BL141" s="163">
        <v>130</v>
      </c>
      <c r="BM141" s="163">
        <v>1810</v>
      </c>
      <c r="BN141" s="163">
        <v>55</v>
      </c>
      <c r="BO141" s="18" t="s">
        <v>4591</v>
      </c>
      <c r="BP141" s="306" t="s">
        <v>5856</v>
      </c>
      <c r="BQ141" s="163">
        <v>9</v>
      </c>
      <c r="BR141" s="163">
        <v>1</v>
      </c>
      <c r="BS141" s="163">
        <v>19</v>
      </c>
      <c r="BT141" s="163">
        <v>100</v>
      </c>
      <c r="BU141" s="32">
        <v>45</v>
      </c>
      <c r="BV141" s="73">
        <v>160</v>
      </c>
      <c r="BW141" s="163" t="s">
        <v>4573</v>
      </c>
      <c r="BX141" s="163" t="s">
        <v>4642</v>
      </c>
      <c r="BY141" s="21">
        <v>0</v>
      </c>
      <c r="BZ141" s="21">
        <f>10*PI()*8^2/4</f>
        <v>502.6548245743669</v>
      </c>
      <c r="CA141" s="163">
        <v>28</v>
      </c>
      <c r="CB141" s="121">
        <v>7.7000000000000002E-3</v>
      </c>
      <c r="CC141" s="163" t="s">
        <v>4449</v>
      </c>
      <c r="CD141" s="46">
        <v>235</v>
      </c>
      <c r="CE141" s="163">
        <v>310</v>
      </c>
      <c r="CF141" s="46">
        <v>360</v>
      </c>
      <c r="CG141" s="163">
        <v>435</v>
      </c>
      <c r="CH141" s="67">
        <v>200000</v>
      </c>
      <c r="CI141" s="306" t="s">
        <v>4449</v>
      </c>
      <c r="CJ141" s="46">
        <v>235</v>
      </c>
      <c r="CK141" s="21">
        <v>310</v>
      </c>
      <c r="CL141" s="47">
        <v>360</v>
      </c>
      <c r="CM141" s="21">
        <v>435</v>
      </c>
      <c r="CN141" s="67">
        <v>200000</v>
      </c>
      <c r="CO141" s="163" t="s">
        <v>4449</v>
      </c>
      <c r="CP141" s="47">
        <v>235</v>
      </c>
      <c r="CQ141" s="163">
        <v>310</v>
      </c>
      <c r="CR141" s="47">
        <v>360</v>
      </c>
      <c r="CS141" s="163">
        <v>435</v>
      </c>
      <c r="CT141" s="67">
        <v>200000</v>
      </c>
      <c r="CU141" s="163" t="s">
        <v>5796</v>
      </c>
      <c r="CV141" s="33">
        <v>37</v>
      </c>
      <c r="CW141" s="33">
        <v>2.9</v>
      </c>
      <c r="CX141" s="67">
        <v>33000</v>
      </c>
      <c r="CY141" s="306">
        <v>540</v>
      </c>
      <c r="CZ141" s="32">
        <v>650</v>
      </c>
      <c r="DA141" s="67">
        <v>200000</v>
      </c>
      <c r="DB141" s="294">
        <v>320</v>
      </c>
      <c r="DC141" s="163">
        <v>10.9</v>
      </c>
      <c r="DD141" s="303">
        <v>900</v>
      </c>
      <c r="DE141" s="32">
        <v>990</v>
      </c>
      <c r="DF141" s="303">
        <v>1000</v>
      </c>
      <c r="DG141" s="32">
        <v>1100</v>
      </c>
      <c r="DH141" s="61">
        <v>205000</v>
      </c>
      <c r="DI141" s="41" t="s">
        <v>5855</v>
      </c>
      <c r="DJ141" s="163" t="s">
        <v>4435</v>
      </c>
      <c r="DK141" s="297" t="s">
        <v>4566</v>
      </c>
    </row>
    <row r="142" spans="1:115">
      <c r="A142" s="18">
        <v>137</v>
      </c>
      <c r="B142" s="326"/>
      <c r="C142" s="326"/>
      <c r="D142" s="346"/>
      <c r="E142" s="334"/>
      <c r="F142" s="326"/>
      <c r="G142" s="329"/>
      <c r="H142" s="326"/>
      <c r="I142" s="326"/>
      <c r="J142" s="309" t="s">
        <v>6097</v>
      </c>
      <c r="K142" s="306" t="s">
        <v>4383</v>
      </c>
      <c r="L142" s="32" t="s">
        <v>5792</v>
      </c>
      <c r="M142" s="306" t="s">
        <v>4508</v>
      </c>
      <c r="N142" s="163" t="s">
        <v>4701</v>
      </c>
      <c r="O142" s="18" t="s">
        <v>4507</v>
      </c>
      <c r="P142" s="163" t="s">
        <v>4470</v>
      </c>
      <c r="Q142" s="163" t="s">
        <v>4420</v>
      </c>
      <c r="R142" s="163" t="s">
        <v>6170</v>
      </c>
      <c r="S142" s="32">
        <v>12</v>
      </c>
      <c r="T142" s="163" t="s">
        <v>4420</v>
      </c>
      <c r="U142" s="163" t="s">
        <v>5792</v>
      </c>
      <c r="V142" s="32" t="s">
        <v>4559</v>
      </c>
      <c r="W142" s="73">
        <v>6</v>
      </c>
      <c r="X142" s="231">
        <v>0</v>
      </c>
      <c r="Y142" s="18">
        <v>0</v>
      </c>
      <c r="Z142" s="306" t="s">
        <v>4011</v>
      </c>
      <c r="AA142" s="21">
        <f>INDEX('[2]Cross-Section Database'!$C$2:$V$2928,MATCH(Z142,'[2]Cross-Section Database'!$B$2:$B$2928,0),3)</f>
        <v>350</v>
      </c>
      <c r="AB142" s="21">
        <f>INDEX('[2]Cross-Section Database'!$C$2:$V$2928,MATCH(Z142,'[2]Cross-Section Database'!$B$2:$B$2928,0),4)</f>
        <v>300</v>
      </c>
      <c r="AC142" s="21">
        <f>INDEX('[2]Cross-Section Database'!$C$2:$V$2928,MATCH(Z142,'[2]Cross-Section Database'!$B$2:$B$2928,0),6)</f>
        <v>17.5</v>
      </c>
      <c r="AD142" s="21">
        <f>INDEX('[2]Cross-Section Database'!$C$2:$V$2928,MATCH(Z142,'[2]Cross-Section Database'!$B$2:$B$2928,0),5)</f>
        <v>10</v>
      </c>
      <c r="AE142" s="21">
        <v>1100</v>
      </c>
      <c r="AF142" s="306" t="s">
        <v>3919</v>
      </c>
      <c r="AG142" s="21">
        <f>INDEX('[2]Cross-Section Database'!$C$2:$V$2928,MATCH(AF142,'[2]Cross-Section Database'!$B$2:$B$2928,0),3)</f>
        <v>360</v>
      </c>
      <c r="AH142" s="21">
        <f>INDEX('[2]Cross-Section Database'!$C$2:$V$2928,MATCH(AF142,'[2]Cross-Section Database'!$B$2:$B$2928,0),4)</f>
        <v>170</v>
      </c>
      <c r="AI142" s="21">
        <f>INDEX('[2]Cross-Section Database'!$C$2:$V$2928,MATCH(AF142,'[2]Cross-Section Database'!$B$2:$B$2928,0),6)</f>
        <v>12.7</v>
      </c>
      <c r="AJ142" s="21">
        <f>INDEX('[2]Cross-Section Database'!$C$2:$V$2928,MATCH(AF142,'[2]Cross-Section Database'!$B$2:$B$2928,0),5)</f>
        <v>8</v>
      </c>
      <c r="AK142" s="21">
        <v>1600</v>
      </c>
      <c r="AL142" s="21">
        <f>INDEX('[2]Cross-Section Database'!$C$2:$V$3928,MATCH(AF142,'[2]Cross-Section Database'!$B$2:$B$3928,0),11)</f>
        <v>162700000</v>
      </c>
      <c r="AM142" s="24">
        <f>INDEX('[2]Cross-Section Database'!$C$2:$V$3928,MATCH(AF142,'[2]Cross-Section Database'!$B$2:$B$3928,0),12)</f>
        <v>1019000</v>
      </c>
      <c r="AN142" s="21">
        <v>15</v>
      </c>
      <c r="AO142" s="21">
        <v>200</v>
      </c>
      <c r="AP142" s="21">
        <v>400</v>
      </c>
      <c r="AQ142" s="21">
        <v>20</v>
      </c>
      <c r="AR142" s="21">
        <f t="shared" si="33"/>
        <v>20</v>
      </c>
      <c r="AS142" s="306" t="s">
        <v>5807</v>
      </c>
      <c r="AT142" s="163" t="s">
        <v>6134</v>
      </c>
      <c r="AU142" s="163" t="s">
        <v>6134</v>
      </c>
      <c r="AV142" s="21">
        <v>18</v>
      </c>
      <c r="AW142" s="21">
        <v>192</v>
      </c>
      <c r="AX142" s="21">
        <v>70</v>
      </c>
      <c r="AY142" s="21">
        <f t="shared" si="34"/>
        <v>70</v>
      </c>
      <c r="AZ142" s="21">
        <v>130</v>
      </c>
      <c r="BA142" s="21">
        <v>100</v>
      </c>
      <c r="BB142" s="21">
        <v>0</v>
      </c>
      <c r="BC142" s="15" t="s">
        <v>4470</v>
      </c>
      <c r="BD142" s="163" t="s">
        <v>6209</v>
      </c>
      <c r="BE142" s="163" t="s">
        <v>6209</v>
      </c>
      <c r="BF142" s="163">
        <v>2</v>
      </c>
      <c r="BG142" s="18">
        <v>6</v>
      </c>
      <c r="BH142" s="306">
        <v>120</v>
      </c>
      <c r="BI142" s="163">
        <v>1000</v>
      </c>
      <c r="BJ142" s="163" t="s">
        <v>6191</v>
      </c>
      <c r="BK142" s="163">
        <v>1.2</v>
      </c>
      <c r="BL142" s="163">
        <v>130</v>
      </c>
      <c r="BM142" s="163">
        <v>1810</v>
      </c>
      <c r="BN142" s="163">
        <v>55</v>
      </c>
      <c r="BO142" s="18" t="s">
        <v>4591</v>
      </c>
      <c r="BP142" s="306" t="s">
        <v>5856</v>
      </c>
      <c r="BQ142" s="163">
        <v>9</v>
      </c>
      <c r="BR142" s="163">
        <v>1</v>
      </c>
      <c r="BS142" s="163">
        <v>19</v>
      </c>
      <c r="BT142" s="163">
        <v>100</v>
      </c>
      <c r="BU142" s="32">
        <v>45</v>
      </c>
      <c r="BV142" s="73">
        <v>160</v>
      </c>
      <c r="BW142" s="163" t="s">
        <v>4573</v>
      </c>
      <c r="BX142" s="163" t="s">
        <v>4642</v>
      </c>
      <c r="BY142" s="21">
        <v>0</v>
      </c>
      <c r="BZ142" s="21">
        <f>10*PI()*8^2/4</f>
        <v>502.6548245743669</v>
      </c>
      <c r="CA142" s="163">
        <v>28</v>
      </c>
      <c r="CB142" s="121">
        <v>7.7000000000000002E-3</v>
      </c>
      <c r="CC142" s="163" t="s">
        <v>4449</v>
      </c>
      <c r="CD142" s="46">
        <v>235</v>
      </c>
      <c r="CE142" s="163">
        <v>310</v>
      </c>
      <c r="CF142" s="46">
        <v>360</v>
      </c>
      <c r="CG142" s="163">
        <v>435</v>
      </c>
      <c r="CH142" s="67">
        <v>200000</v>
      </c>
      <c r="CI142" s="306" t="s">
        <v>4449</v>
      </c>
      <c r="CJ142" s="46">
        <v>235</v>
      </c>
      <c r="CK142" s="21">
        <v>310</v>
      </c>
      <c r="CL142" s="47">
        <v>360</v>
      </c>
      <c r="CM142" s="21">
        <v>435</v>
      </c>
      <c r="CN142" s="67">
        <v>200000</v>
      </c>
      <c r="CO142" s="163" t="s">
        <v>4449</v>
      </c>
      <c r="CP142" s="47">
        <v>235</v>
      </c>
      <c r="CQ142" s="163">
        <v>310</v>
      </c>
      <c r="CR142" s="47">
        <v>360</v>
      </c>
      <c r="CS142" s="163">
        <v>435</v>
      </c>
      <c r="CT142" s="67">
        <v>200000</v>
      </c>
      <c r="CU142" s="163" t="s">
        <v>5796</v>
      </c>
      <c r="CV142" s="33">
        <v>37</v>
      </c>
      <c r="CW142" s="33">
        <v>2.9</v>
      </c>
      <c r="CX142" s="67">
        <v>33000</v>
      </c>
      <c r="CY142" s="306">
        <v>540</v>
      </c>
      <c r="CZ142" s="32">
        <v>650</v>
      </c>
      <c r="DA142" s="67">
        <v>200000</v>
      </c>
      <c r="DB142" s="294">
        <v>320</v>
      </c>
      <c r="DC142" s="163">
        <v>10.9</v>
      </c>
      <c r="DD142" s="303">
        <v>900</v>
      </c>
      <c r="DE142" s="32">
        <v>990</v>
      </c>
      <c r="DF142" s="303">
        <v>1000</v>
      </c>
      <c r="DG142" s="32">
        <v>1100</v>
      </c>
      <c r="DH142" s="61">
        <v>205000</v>
      </c>
      <c r="DI142" s="41" t="s">
        <v>5855</v>
      </c>
      <c r="DJ142" s="163" t="s">
        <v>4435</v>
      </c>
      <c r="DK142" s="297" t="s">
        <v>4566</v>
      </c>
    </row>
    <row r="143" spans="1:115">
      <c r="A143" s="18">
        <v>138</v>
      </c>
      <c r="B143" s="326"/>
      <c r="C143" s="326"/>
      <c r="D143" s="346"/>
      <c r="E143" s="334"/>
      <c r="F143" s="326"/>
      <c r="G143" s="329"/>
      <c r="H143" s="326"/>
      <c r="I143" s="326"/>
      <c r="J143" s="309" t="s">
        <v>4639</v>
      </c>
      <c r="K143" s="306" t="s">
        <v>4383</v>
      </c>
      <c r="L143" s="32" t="s">
        <v>5792</v>
      </c>
      <c r="M143" s="306" t="s">
        <v>4508</v>
      </c>
      <c r="N143" s="163" t="s">
        <v>4701</v>
      </c>
      <c r="O143" s="18" t="s">
        <v>4507</v>
      </c>
      <c r="P143" s="163" t="s">
        <v>4470</v>
      </c>
      <c r="Q143" s="163" t="s">
        <v>4420</v>
      </c>
      <c r="R143" s="163" t="s">
        <v>6170</v>
      </c>
      <c r="S143" s="32">
        <v>12</v>
      </c>
      <c r="T143" s="163" t="s">
        <v>4420</v>
      </c>
      <c r="U143" s="163" t="s">
        <v>5792</v>
      </c>
      <c r="V143" s="32" t="s">
        <v>4559</v>
      </c>
      <c r="W143" s="73">
        <v>6</v>
      </c>
      <c r="X143" s="231">
        <v>0</v>
      </c>
      <c r="Y143" s="18">
        <v>0</v>
      </c>
      <c r="Z143" s="306" t="s">
        <v>3973</v>
      </c>
      <c r="AA143" s="21">
        <f>INDEX('[2]Cross-Section Database'!$C$2:$V$2928,MATCH(Z143,'[2]Cross-Section Database'!$B$2:$B$2928,0),3)</f>
        <v>200</v>
      </c>
      <c r="AB143" s="21">
        <f>INDEX('[2]Cross-Section Database'!$C$2:$V$2928,MATCH(Z143,'[2]Cross-Section Database'!$B$2:$B$2928,0),4)</f>
        <v>200</v>
      </c>
      <c r="AC143" s="21">
        <f>INDEX('[2]Cross-Section Database'!$C$2:$V$2928,MATCH(Z143,'[2]Cross-Section Database'!$B$2:$B$2928,0),6)</f>
        <v>15</v>
      </c>
      <c r="AD143" s="21">
        <f>INDEX('[2]Cross-Section Database'!$C$2:$V$2928,MATCH(Z143,'[2]Cross-Section Database'!$B$2:$B$2928,0),5)</f>
        <v>9</v>
      </c>
      <c r="AE143" s="21">
        <v>1100</v>
      </c>
      <c r="AF143" s="306" t="s">
        <v>3919</v>
      </c>
      <c r="AG143" s="21">
        <f>INDEX('[2]Cross-Section Database'!$C$2:$V$2928,MATCH(AF143,'[2]Cross-Section Database'!$B$2:$B$2928,0),3)</f>
        <v>360</v>
      </c>
      <c r="AH143" s="21">
        <f>INDEX('[2]Cross-Section Database'!$C$2:$V$2928,MATCH(AF143,'[2]Cross-Section Database'!$B$2:$B$2928,0),4)</f>
        <v>170</v>
      </c>
      <c r="AI143" s="21">
        <f>INDEX('[2]Cross-Section Database'!$C$2:$V$2928,MATCH(AF143,'[2]Cross-Section Database'!$B$2:$B$2928,0),6)</f>
        <v>12.7</v>
      </c>
      <c r="AJ143" s="21">
        <f>INDEX('[2]Cross-Section Database'!$C$2:$V$2928,MATCH(AF143,'[2]Cross-Section Database'!$B$2:$B$2928,0),5)</f>
        <v>8</v>
      </c>
      <c r="AK143" s="21">
        <v>1600</v>
      </c>
      <c r="AL143" s="21">
        <f>INDEX('[2]Cross-Section Database'!$C$2:$V$3928,MATCH(AF143,'[2]Cross-Section Database'!$B$2:$B$3928,0),11)</f>
        <v>162700000</v>
      </c>
      <c r="AM143" s="24">
        <f>INDEX('[2]Cross-Section Database'!$C$2:$V$3928,MATCH(AF143,'[2]Cross-Section Database'!$B$2:$B$3928,0),12)</f>
        <v>1019000</v>
      </c>
      <c r="AN143" s="21">
        <v>15</v>
      </c>
      <c r="AO143" s="21">
        <v>200</v>
      </c>
      <c r="AP143" s="21">
        <v>400</v>
      </c>
      <c r="AQ143" s="21">
        <v>20</v>
      </c>
      <c r="AR143" s="21">
        <f t="shared" si="33"/>
        <v>20</v>
      </c>
      <c r="AS143" s="306" t="s">
        <v>5807</v>
      </c>
      <c r="AT143" s="163" t="s">
        <v>6134</v>
      </c>
      <c r="AU143" s="163" t="s">
        <v>6134</v>
      </c>
      <c r="AV143" s="163">
        <v>18</v>
      </c>
      <c r="AW143" s="163">
        <v>192</v>
      </c>
      <c r="AX143" s="21">
        <v>70</v>
      </c>
      <c r="AY143" s="21">
        <f t="shared" si="34"/>
        <v>70</v>
      </c>
      <c r="AZ143" s="21">
        <v>130</v>
      </c>
      <c r="BA143" s="21">
        <v>100</v>
      </c>
      <c r="BB143" s="21">
        <v>0</v>
      </c>
      <c r="BC143" s="15" t="s">
        <v>4470</v>
      </c>
      <c r="BD143" s="163" t="s">
        <v>6209</v>
      </c>
      <c r="BE143" s="163" t="s">
        <v>6209</v>
      </c>
      <c r="BF143" s="163">
        <v>2</v>
      </c>
      <c r="BG143" s="18">
        <v>6</v>
      </c>
      <c r="BH143" s="306">
        <v>120</v>
      </c>
      <c r="BI143" s="163">
        <v>1000</v>
      </c>
      <c r="BJ143" s="163" t="s">
        <v>6192</v>
      </c>
      <c r="BK143" s="163">
        <v>0.8</v>
      </c>
      <c r="BL143" s="163">
        <v>124</v>
      </c>
      <c r="BM143" s="163">
        <v>1183</v>
      </c>
      <c r="BN143" s="163">
        <v>40</v>
      </c>
      <c r="BO143" s="18" t="s">
        <v>4591</v>
      </c>
      <c r="BP143" s="306" t="s">
        <v>5858</v>
      </c>
      <c r="BQ143" s="163">
        <v>17</v>
      </c>
      <c r="BR143" s="163">
        <v>1</v>
      </c>
      <c r="BS143" s="21">
        <v>24.3</v>
      </c>
      <c r="BT143" s="163">
        <v>80</v>
      </c>
      <c r="BU143" s="163">
        <v>45</v>
      </c>
      <c r="BV143" s="18">
        <v>120</v>
      </c>
      <c r="BW143" s="163" t="s">
        <v>4573</v>
      </c>
      <c r="BX143" s="163" t="s">
        <v>6109</v>
      </c>
      <c r="BY143" s="21">
        <v>0</v>
      </c>
      <c r="BZ143" s="21">
        <f>14*PI()*8^2/4+10*PI()*6^2/4</f>
        <v>986.4600932271951</v>
      </c>
      <c r="CA143" s="163">
        <v>28</v>
      </c>
      <c r="CB143" s="121">
        <v>1.23E-2</v>
      </c>
      <c r="CC143" s="163" t="s">
        <v>4449</v>
      </c>
      <c r="CD143" s="46">
        <v>235</v>
      </c>
      <c r="CE143" s="163">
        <v>310</v>
      </c>
      <c r="CF143" s="46">
        <v>360</v>
      </c>
      <c r="CG143" s="163">
        <v>435</v>
      </c>
      <c r="CH143" s="67">
        <v>200000</v>
      </c>
      <c r="CI143" s="306" t="s">
        <v>4449</v>
      </c>
      <c r="CJ143" s="46">
        <v>235</v>
      </c>
      <c r="CK143" s="21">
        <v>310</v>
      </c>
      <c r="CL143" s="47">
        <v>360</v>
      </c>
      <c r="CM143" s="21">
        <v>435</v>
      </c>
      <c r="CN143" s="67">
        <v>200000</v>
      </c>
      <c r="CO143" s="163" t="s">
        <v>4449</v>
      </c>
      <c r="CP143" s="47">
        <v>235</v>
      </c>
      <c r="CQ143" s="163">
        <v>310</v>
      </c>
      <c r="CR143" s="47">
        <v>360</v>
      </c>
      <c r="CS143" s="163">
        <v>435</v>
      </c>
      <c r="CT143" s="67">
        <v>200000</v>
      </c>
      <c r="CU143" s="163" t="s">
        <v>5796</v>
      </c>
      <c r="CV143" s="33">
        <v>37</v>
      </c>
      <c r="CW143" s="33">
        <v>2.9</v>
      </c>
      <c r="CX143" s="67">
        <v>33000</v>
      </c>
      <c r="CY143" s="306">
        <v>540</v>
      </c>
      <c r="CZ143" s="32">
        <v>650</v>
      </c>
      <c r="DA143" s="67">
        <v>200000</v>
      </c>
      <c r="DB143" s="294">
        <v>350</v>
      </c>
      <c r="DC143" s="163">
        <v>10.9</v>
      </c>
      <c r="DD143" s="303">
        <v>900</v>
      </c>
      <c r="DE143" s="32">
        <v>990</v>
      </c>
      <c r="DF143" s="303">
        <v>1000</v>
      </c>
      <c r="DG143" s="32">
        <v>1100</v>
      </c>
      <c r="DH143" s="61">
        <v>205000</v>
      </c>
      <c r="DI143" s="41" t="s">
        <v>6066</v>
      </c>
      <c r="DJ143" s="163" t="s">
        <v>4435</v>
      </c>
      <c r="DK143" s="297" t="s">
        <v>6216</v>
      </c>
    </row>
    <row r="144" spans="1:115">
      <c r="A144" s="18">
        <v>139</v>
      </c>
      <c r="B144" s="326"/>
      <c r="C144" s="326"/>
      <c r="D144" s="346"/>
      <c r="E144" s="334"/>
      <c r="F144" s="326"/>
      <c r="G144" s="329"/>
      <c r="H144" s="326"/>
      <c r="I144" s="326"/>
      <c r="J144" s="309" t="s">
        <v>4640</v>
      </c>
      <c r="K144" s="306" t="s">
        <v>4383</v>
      </c>
      <c r="L144" s="32" t="s">
        <v>5792</v>
      </c>
      <c r="M144" s="306" t="s">
        <v>4508</v>
      </c>
      <c r="N144" s="163" t="s">
        <v>4701</v>
      </c>
      <c r="O144" s="18" t="s">
        <v>4507</v>
      </c>
      <c r="P144" s="163" t="s">
        <v>4470</v>
      </c>
      <c r="Q144" s="163" t="s">
        <v>4420</v>
      </c>
      <c r="R144" s="163" t="s">
        <v>6170</v>
      </c>
      <c r="S144" s="32">
        <v>12</v>
      </c>
      <c r="T144" s="163" t="s">
        <v>4420</v>
      </c>
      <c r="U144" s="163" t="s">
        <v>5792</v>
      </c>
      <c r="V144" s="32" t="s">
        <v>4559</v>
      </c>
      <c r="W144" s="73">
        <v>6</v>
      </c>
      <c r="X144" s="231">
        <v>0</v>
      </c>
      <c r="Y144" s="18">
        <v>0</v>
      </c>
      <c r="Z144" s="306" t="s">
        <v>3973</v>
      </c>
      <c r="AA144" s="21">
        <f>INDEX('[2]Cross-Section Database'!$C$2:$V$2928,MATCH(Z144,'[2]Cross-Section Database'!$B$2:$B$2928,0),3)</f>
        <v>200</v>
      </c>
      <c r="AB144" s="21">
        <f>INDEX('[2]Cross-Section Database'!$C$2:$V$2928,MATCH(Z144,'[2]Cross-Section Database'!$B$2:$B$2928,0),4)</f>
        <v>200</v>
      </c>
      <c r="AC144" s="46">
        <f>INDEX('[2]Cross-Section Database'!$C$2:$V$2928,MATCH(Z144,'[2]Cross-Section Database'!$B$2:$B$2928,0),6)</f>
        <v>15</v>
      </c>
      <c r="AD144" s="46">
        <f>INDEX('[2]Cross-Section Database'!$C$2:$V$2928,MATCH(Z144,'[2]Cross-Section Database'!$B$2:$B$2928,0),5)</f>
        <v>9</v>
      </c>
      <c r="AE144" s="21">
        <v>1100</v>
      </c>
      <c r="AF144" s="306" t="s">
        <v>3919</v>
      </c>
      <c r="AG144" s="21">
        <f>INDEX('[2]Cross-Section Database'!$C$2:$V$2928,MATCH(AF144,'[2]Cross-Section Database'!$B$2:$B$2928,0),3)</f>
        <v>360</v>
      </c>
      <c r="AH144" s="21">
        <f>INDEX('[2]Cross-Section Database'!$C$2:$V$2928,MATCH(AF144,'[2]Cross-Section Database'!$B$2:$B$2928,0),4)</f>
        <v>170</v>
      </c>
      <c r="AI144" s="21">
        <f>INDEX('[2]Cross-Section Database'!$C$2:$V$2928,MATCH(AF144,'[2]Cross-Section Database'!$B$2:$B$2928,0),6)</f>
        <v>12.7</v>
      </c>
      <c r="AJ144" s="21">
        <f>INDEX('[2]Cross-Section Database'!$C$2:$V$2928,MATCH(AF144,'[2]Cross-Section Database'!$B$2:$B$2928,0),5)</f>
        <v>8</v>
      </c>
      <c r="AK144" s="21">
        <v>1600</v>
      </c>
      <c r="AL144" s="21">
        <f>INDEX('[2]Cross-Section Database'!$C$2:$V$3928,MATCH(AF144,'[2]Cross-Section Database'!$B$2:$B$3928,0),11)</f>
        <v>162700000</v>
      </c>
      <c r="AM144" s="24">
        <f>INDEX('[2]Cross-Section Database'!$C$2:$V$3928,MATCH(AF144,'[2]Cross-Section Database'!$B$2:$B$3928,0),12)</f>
        <v>1019000</v>
      </c>
      <c r="AN144" s="21">
        <v>15</v>
      </c>
      <c r="AO144" s="21">
        <v>200</v>
      </c>
      <c r="AP144" s="21">
        <v>400</v>
      </c>
      <c r="AQ144" s="21">
        <v>20</v>
      </c>
      <c r="AR144" s="21">
        <f t="shared" si="33"/>
        <v>20</v>
      </c>
      <c r="AS144" s="306" t="s">
        <v>5807</v>
      </c>
      <c r="AT144" s="163" t="s">
        <v>6134</v>
      </c>
      <c r="AU144" s="163" t="s">
        <v>6134</v>
      </c>
      <c r="AV144" s="163">
        <v>18</v>
      </c>
      <c r="AW144" s="163">
        <v>192</v>
      </c>
      <c r="AX144" s="21">
        <v>70</v>
      </c>
      <c r="AY144" s="21">
        <f t="shared" si="34"/>
        <v>70</v>
      </c>
      <c r="AZ144" s="21">
        <v>130</v>
      </c>
      <c r="BA144" s="21">
        <v>100</v>
      </c>
      <c r="BB144" s="21">
        <v>0</v>
      </c>
      <c r="BC144" s="15" t="s">
        <v>4470</v>
      </c>
      <c r="BD144" s="163" t="s">
        <v>6209</v>
      </c>
      <c r="BE144" s="163" t="s">
        <v>6209</v>
      </c>
      <c r="BF144" s="163">
        <v>2</v>
      </c>
      <c r="BG144" s="18">
        <v>6</v>
      </c>
      <c r="BH144" s="306">
        <v>120</v>
      </c>
      <c r="BI144" s="163">
        <v>1000</v>
      </c>
      <c r="BJ144" s="163" t="s">
        <v>6192</v>
      </c>
      <c r="BK144" s="163">
        <v>0.8</v>
      </c>
      <c r="BL144" s="163">
        <v>124</v>
      </c>
      <c r="BM144" s="163">
        <v>1183</v>
      </c>
      <c r="BN144" s="163">
        <v>40</v>
      </c>
      <c r="BO144" s="18" t="s">
        <v>4591</v>
      </c>
      <c r="BP144" s="306" t="s">
        <v>5858</v>
      </c>
      <c r="BQ144" s="163">
        <v>12</v>
      </c>
      <c r="BR144" s="163">
        <v>1</v>
      </c>
      <c r="BS144" s="21">
        <v>24.3</v>
      </c>
      <c r="BT144" s="163">
        <v>80</v>
      </c>
      <c r="BU144" s="163">
        <v>45</v>
      </c>
      <c r="BV144" s="18">
        <v>120</v>
      </c>
      <c r="BW144" s="163" t="s">
        <v>4573</v>
      </c>
      <c r="BX144" s="163" t="s">
        <v>6109</v>
      </c>
      <c r="BY144" s="21">
        <v>0</v>
      </c>
      <c r="BZ144" s="21">
        <f>14*PI()*8^2/4+10*PI()*6^2/4</f>
        <v>986.4600932271951</v>
      </c>
      <c r="CA144" s="163">
        <v>28</v>
      </c>
      <c r="CB144" s="121">
        <v>1.23E-2</v>
      </c>
      <c r="CC144" s="163" t="s">
        <v>4449</v>
      </c>
      <c r="CD144" s="46">
        <v>235</v>
      </c>
      <c r="CE144" s="163">
        <v>310</v>
      </c>
      <c r="CF144" s="46">
        <v>360</v>
      </c>
      <c r="CG144" s="163">
        <v>435</v>
      </c>
      <c r="CH144" s="67">
        <v>200000</v>
      </c>
      <c r="CI144" s="306" t="s">
        <v>4449</v>
      </c>
      <c r="CJ144" s="46">
        <v>235</v>
      </c>
      <c r="CK144" s="21">
        <v>310</v>
      </c>
      <c r="CL144" s="47">
        <v>360</v>
      </c>
      <c r="CM144" s="21">
        <v>435</v>
      </c>
      <c r="CN144" s="67">
        <v>200000</v>
      </c>
      <c r="CO144" s="163" t="s">
        <v>4449</v>
      </c>
      <c r="CP144" s="47">
        <v>235</v>
      </c>
      <c r="CQ144" s="163">
        <v>310</v>
      </c>
      <c r="CR144" s="47">
        <v>360</v>
      </c>
      <c r="CS144" s="163">
        <v>435</v>
      </c>
      <c r="CT144" s="67">
        <v>200000</v>
      </c>
      <c r="CU144" s="163" t="s">
        <v>5796</v>
      </c>
      <c r="CV144" s="33">
        <v>37</v>
      </c>
      <c r="CW144" s="33">
        <v>2.9</v>
      </c>
      <c r="CX144" s="67">
        <v>33000</v>
      </c>
      <c r="CY144" s="306">
        <v>540</v>
      </c>
      <c r="CZ144" s="32">
        <v>650</v>
      </c>
      <c r="DA144" s="67">
        <v>200000</v>
      </c>
      <c r="DB144" s="294">
        <v>350</v>
      </c>
      <c r="DC144" s="163">
        <v>10.9</v>
      </c>
      <c r="DD144" s="303">
        <v>900</v>
      </c>
      <c r="DE144" s="32">
        <v>990</v>
      </c>
      <c r="DF144" s="303">
        <v>1000</v>
      </c>
      <c r="DG144" s="32">
        <v>1100</v>
      </c>
      <c r="DH144" s="61">
        <v>205000</v>
      </c>
      <c r="DI144" s="41" t="s">
        <v>6067</v>
      </c>
      <c r="DJ144" s="163" t="s">
        <v>4435</v>
      </c>
      <c r="DK144" s="297" t="s">
        <v>6217</v>
      </c>
    </row>
    <row r="145" spans="1:115" ht="16.2" thickBot="1">
      <c r="A145" s="14">
        <v>140</v>
      </c>
      <c r="B145" s="327"/>
      <c r="C145" s="327"/>
      <c r="D145" s="347"/>
      <c r="E145" s="335"/>
      <c r="F145" s="327"/>
      <c r="G145" s="330"/>
      <c r="H145" s="327"/>
      <c r="I145" s="327"/>
      <c r="J145" s="310" t="s">
        <v>4641</v>
      </c>
      <c r="K145" s="143" t="s">
        <v>4383</v>
      </c>
      <c r="L145" s="34" t="s">
        <v>5792</v>
      </c>
      <c r="M145" s="143" t="s">
        <v>4508</v>
      </c>
      <c r="N145" s="164" t="s">
        <v>4701</v>
      </c>
      <c r="O145" s="14" t="s">
        <v>4507</v>
      </c>
      <c r="P145" s="164" t="s">
        <v>4470</v>
      </c>
      <c r="Q145" s="164" t="s">
        <v>4420</v>
      </c>
      <c r="R145" s="164" t="s">
        <v>6170</v>
      </c>
      <c r="S145" s="34">
        <v>12</v>
      </c>
      <c r="T145" s="164" t="s">
        <v>4420</v>
      </c>
      <c r="U145" s="164" t="s">
        <v>5792</v>
      </c>
      <c r="V145" s="32" t="s">
        <v>4559</v>
      </c>
      <c r="W145" s="73">
        <v>6</v>
      </c>
      <c r="X145" s="233">
        <v>0</v>
      </c>
      <c r="Y145" s="14">
        <v>0</v>
      </c>
      <c r="Z145" s="143" t="s">
        <v>3973</v>
      </c>
      <c r="AA145" s="23">
        <f>INDEX('[2]Cross-Section Database'!$C$2:$V$2928,MATCH(Z145,'[2]Cross-Section Database'!$B$2:$B$2928,0),3)</f>
        <v>200</v>
      </c>
      <c r="AB145" s="23">
        <f>INDEX('[2]Cross-Section Database'!$C$2:$V$2928,MATCH(Z145,'[2]Cross-Section Database'!$B$2:$B$2928,0),4)</f>
        <v>200</v>
      </c>
      <c r="AC145" s="56">
        <f>INDEX('[2]Cross-Section Database'!$C$2:$V$2928,MATCH(Z145,'[2]Cross-Section Database'!$B$2:$B$2928,0),6)</f>
        <v>15</v>
      </c>
      <c r="AD145" s="56">
        <f>INDEX('[2]Cross-Section Database'!$C$2:$V$2928,MATCH(Z145,'[2]Cross-Section Database'!$B$2:$B$2928,0),5)</f>
        <v>9</v>
      </c>
      <c r="AE145" s="23">
        <v>1100</v>
      </c>
      <c r="AF145" s="143" t="s">
        <v>3919</v>
      </c>
      <c r="AG145" s="23">
        <f>INDEX('[2]Cross-Section Database'!$C$2:$V$2928,MATCH(AF145,'[2]Cross-Section Database'!$B$2:$B$2928,0),3)</f>
        <v>360</v>
      </c>
      <c r="AH145" s="23">
        <f>INDEX('[2]Cross-Section Database'!$C$2:$V$2928,MATCH(AF145,'[2]Cross-Section Database'!$B$2:$B$2928,0),4)</f>
        <v>170</v>
      </c>
      <c r="AI145" s="23">
        <f>INDEX('[2]Cross-Section Database'!$C$2:$V$2928,MATCH(AF145,'[2]Cross-Section Database'!$B$2:$B$2928,0),6)</f>
        <v>12.7</v>
      </c>
      <c r="AJ145" s="23">
        <f>INDEX('[2]Cross-Section Database'!$C$2:$V$2928,MATCH(AF145,'[2]Cross-Section Database'!$B$2:$B$2928,0),5)</f>
        <v>8</v>
      </c>
      <c r="AK145" s="23">
        <v>1600</v>
      </c>
      <c r="AL145" s="23">
        <f>INDEX('[2]Cross-Section Database'!$C$2:$V$3928,MATCH(AF145,'[2]Cross-Section Database'!$B$2:$B$3928,0),11)</f>
        <v>162700000</v>
      </c>
      <c r="AM145" s="25">
        <f>INDEX('[2]Cross-Section Database'!$C$2:$V$3928,MATCH(AF145,'[2]Cross-Section Database'!$B$2:$B$3928,0),12)</f>
        <v>1019000</v>
      </c>
      <c r="AN145" s="23">
        <v>15</v>
      </c>
      <c r="AO145" s="23">
        <v>200</v>
      </c>
      <c r="AP145" s="23">
        <v>400</v>
      </c>
      <c r="AQ145" s="23">
        <v>20</v>
      </c>
      <c r="AR145" s="23">
        <f t="shared" si="33"/>
        <v>20</v>
      </c>
      <c r="AS145" s="143" t="s">
        <v>5807</v>
      </c>
      <c r="AT145" s="164" t="s">
        <v>6134</v>
      </c>
      <c r="AU145" s="164" t="s">
        <v>6134</v>
      </c>
      <c r="AV145" s="164">
        <v>18</v>
      </c>
      <c r="AW145" s="164">
        <v>192</v>
      </c>
      <c r="AX145" s="23">
        <v>70</v>
      </c>
      <c r="AY145" s="23">
        <f t="shared" si="34"/>
        <v>70</v>
      </c>
      <c r="AZ145" s="23">
        <v>130</v>
      </c>
      <c r="BA145" s="23">
        <v>100</v>
      </c>
      <c r="BB145" s="23">
        <v>0</v>
      </c>
      <c r="BC145" s="19" t="s">
        <v>4470</v>
      </c>
      <c r="BD145" s="164" t="s">
        <v>6209</v>
      </c>
      <c r="BE145" s="164" t="s">
        <v>6209</v>
      </c>
      <c r="BF145" s="164">
        <v>2</v>
      </c>
      <c r="BG145" s="14">
        <v>6</v>
      </c>
      <c r="BH145" s="143">
        <v>120</v>
      </c>
      <c r="BI145" s="164">
        <v>1000</v>
      </c>
      <c r="BJ145" s="164" t="s">
        <v>6192</v>
      </c>
      <c r="BK145" s="164">
        <v>0.8</v>
      </c>
      <c r="BL145" s="164">
        <v>124</v>
      </c>
      <c r="BM145" s="164">
        <v>1183</v>
      </c>
      <c r="BN145" s="164">
        <v>40</v>
      </c>
      <c r="BO145" s="14" t="s">
        <v>4591</v>
      </c>
      <c r="BP145" s="143" t="s">
        <v>5858</v>
      </c>
      <c r="BQ145" s="164">
        <v>8</v>
      </c>
      <c r="BR145" s="164">
        <v>1</v>
      </c>
      <c r="BS145" s="23">
        <v>24.3</v>
      </c>
      <c r="BT145" s="164">
        <v>80</v>
      </c>
      <c r="BU145" s="164">
        <v>45</v>
      </c>
      <c r="BV145" s="14">
        <v>120</v>
      </c>
      <c r="BW145" s="164" t="s">
        <v>4573</v>
      </c>
      <c r="BX145" s="164" t="s">
        <v>6109</v>
      </c>
      <c r="BY145" s="23">
        <v>0</v>
      </c>
      <c r="BZ145" s="23">
        <f>14*PI()*8^2/4+10*PI()*6^2/4</f>
        <v>986.4600932271951</v>
      </c>
      <c r="CA145" s="164">
        <v>28</v>
      </c>
      <c r="CB145" s="122">
        <v>1.23E-2</v>
      </c>
      <c r="CC145" s="164" t="s">
        <v>4449</v>
      </c>
      <c r="CD145" s="56">
        <v>235</v>
      </c>
      <c r="CE145" s="164">
        <v>310</v>
      </c>
      <c r="CF145" s="56">
        <v>360</v>
      </c>
      <c r="CG145" s="164">
        <v>435</v>
      </c>
      <c r="CH145" s="70">
        <v>200000</v>
      </c>
      <c r="CI145" s="143" t="s">
        <v>4449</v>
      </c>
      <c r="CJ145" s="56">
        <v>235</v>
      </c>
      <c r="CK145" s="23">
        <v>310</v>
      </c>
      <c r="CL145" s="85">
        <v>360</v>
      </c>
      <c r="CM145" s="23">
        <v>435</v>
      </c>
      <c r="CN145" s="70">
        <v>200000</v>
      </c>
      <c r="CO145" s="164" t="s">
        <v>4449</v>
      </c>
      <c r="CP145" s="85">
        <v>235</v>
      </c>
      <c r="CQ145" s="164">
        <v>310</v>
      </c>
      <c r="CR145" s="85">
        <v>360</v>
      </c>
      <c r="CS145" s="164">
        <v>435</v>
      </c>
      <c r="CT145" s="70">
        <v>200000</v>
      </c>
      <c r="CU145" s="164" t="s">
        <v>5796</v>
      </c>
      <c r="CV145" s="35">
        <v>37</v>
      </c>
      <c r="CW145" s="35">
        <v>2.9</v>
      </c>
      <c r="CX145" s="67">
        <v>33000</v>
      </c>
      <c r="CY145" s="143">
        <v>540</v>
      </c>
      <c r="CZ145" s="34">
        <v>650</v>
      </c>
      <c r="DA145" s="70">
        <v>200000</v>
      </c>
      <c r="DB145" s="295">
        <v>350</v>
      </c>
      <c r="DC145" s="164">
        <v>10.9</v>
      </c>
      <c r="DD145" s="304">
        <v>900</v>
      </c>
      <c r="DE145" s="34">
        <v>990</v>
      </c>
      <c r="DF145" s="304">
        <v>1000</v>
      </c>
      <c r="DG145" s="34">
        <v>1100</v>
      </c>
      <c r="DH145" s="77">
        <v>205000</v>
      </c>
      <c r="DI145" s="42" t="s">
        <v>6067</v>
      </c>
      <c r="DJ145" s="164" t="s">
        <v>4435</v>
      </c>
      <c r="DK145" s="298" t="s">
        <v>6218</v>
      </c>
    </row>
    <row r="146" spans="1:115" ht="15.6" customHeight="1">
      <c r="A146" s="18">
        <v>141</v>
      </c>
      <c r="B146" s="328">
        <v>20</v>
      </c>
      <c r="C146" s="328">
        <v>1994</v>
      </c>
      <c r="D146" s="333" t="s">
        <v>4672</v>
      </c>
      <c r="E146" s="333" t="s">
        <v>4860</v>
      </c>
      <c r="F146" s="325">
        <v>10</v>
      </c>
      <c r="G146" s="336" t="s">
        <v>5912</v>
      </c>
      <c r="H146" s="350" t="s">
        <v>5902</v>
      </c>
      <c r="I146" s="350" t="s">
        <v>6234</v>
      </c>
      <c r="J146" s="309" t="s">
        <v>6073</v>
      </c>
      <c r="K146" s="306" t="s">
        <v>6314</v>
      </c>
      <c r="L146" s="163" t="s">
        <v>5792</v>
      </c>
      <c r="M146" s="306" t="s">
        <v>4508</v>
      </c>
      <c r="N146" s="163" t="s">
        <v>4702</v>
      </c>
      <c r="O146" s="18" t="s">
        <v>4507</v>
      </c>
      <c r="P146" s="163" t="s">
        <v>4470</v>
      </c>
      <c r="Q146" s="163" t="s">
        <v>4420</v>
      </c>
      <c r="R146" s="163" t="s">
        <v>6170</v>
      </c>
      <c r="S146" s="163">
        <v>12</v>
      </c>
      <c r="T146" s="163" t="s">
        <v>4420</v>
      </c>
      <c r="U146" s="163" t="s">
        <v>5792</v>
      </c>
      <c r="V146" s="163" t="s">
        <v>4559</v>
      </c>
      <c r="W146" s="18">
        <v>10</v>
      </c>
      <c r="X146" s="231">
        <v>0</v>
      </c>
      <c r="Y146" s="18">
        <v>0</v>
      </c>
      <c r="Z146" s="306" t="s">
        <v>6315</v>
      </c>
      <c r="AA146" s="21">
        <f>INDEX('[2]Cross-Section Database'!$C$2:$V$2928,MATCH(Z146,'[2]Cross-Section Database'!$B$2:$B$2928,0),3)</f>
        <v>206.2</v>
      </c>
      <c r="AB146" s="21">
        <f>INDEX('[2]Cross-Section Database'!$C$2:$V$2928,MATCH(Z146,'[2]Cross-Section Database'!$B$2:$B$2928,0),4)</f>
        <v>204.3</v>
      </c>
      <c r="AC146" s="21">
        <f>INDEX('[2]Cross-Section Database'!$C$2:$V$2928,MATCH(Z146,'[2]Cross-Section Database'!$B$2:$B$2928,0),6)</f>
        <v>12.5</v>
      </c>
      <c r="AD146" s="21">
        <f>INDEX('[2]Cross-Section Database'!$C$2:$V$2928,MATCH(Z146,'[2]Cross-Section Database'!$B$2:$B$2928,0),5)</f>
        <v>7.9</v>
      </c>
      <c r="AE146" s="21">
        <v>1200</v>
      </c>
      <c r="AF146" s="306" t="s">
        <v>4217</v>
      </c>
      <c r="AG146" s="21">
        <f>INDEX('[2]Cross-Section Database'!$C$2:$V$2928,MATCH(AF146,'[2]Cross-Section Database'!$B$2:$B$2928,0),3)</f>
        <v>303.39999999999998</v>
      </c>
      <c r="AH146" s="21">
        <f>INDEX('[2]Cross-Section Database'!$C$2:$V$2928,MATCH(AF146,'[2]Cross-Section Database'!$B$2:$B$2928,0),4)</f>
        <v>165</v>
      </c>
      <c r="AI146" s="21">
        <f>INDEX('[2]Cross-Section Database'!$C$2:$V$2928,MATCH(AF146,'[2]Cross-Section Database'!$B$2:$B$2928,0),6)</f>
        <v>10.199999999999999</v>
      </c>
      <c r="AJ146" s="21">
        <f>INDEX('[2]Cross-Section Database'!$C$2:$V$2928,MATCH(AF146,'[2]Cross-Section Database'!$B$2:$B$2928,0),5)</f>
        <v>6</v>
      </c>
      <c r="AK146" s="21">
        <v>1410</v>
      </c>
      <c r="AL146" s="21">
        <f>INDEX('[2]Cross-Section Database'!$C$2:$V$3928,MATCH(AF146,'[2]Cross-Section Database'!$B$2:$B$3928,0),11)</f>
        <v>85030000</v>
      </c>
      <c r="AM146" s="24">
        <f>INDEX('[2]Cross-Section Database'!$C$2:$V$3928,MATCH(AF146,'[2]Cross-Section Database'!$B$2:$B$3928,0),12)</f>
        <v>623100</v>
      </c>
      <c r="AN146" s="21">
        <v>15.24</v>
      </c>
      <c r="AO146" s="21">
        <v>200</v>
      </c>
      <c r="AP146" s="21">
        <v>352</v>
      </c>
      <c r="AQ146" s="16">
        <f>(AP146-AG146)/2</f>
        <v>24.300000000000011</v>
      </c>
      <c r="AR146" s="21">
        <f>(AP146-AG146)/2</f>
        <v>24.300000000000011</v>
      </c>
      <c r="AS146" s="306" t="s">
        <v>5807</v>
      </c>
      <c r="AT146" s="163" t="s">
        <v>4563</v>
      </c>
      <c r="AU146" s="163">
        <f>200/AV146/0.25</f>
        <v>40</v>
      </c>
      <c r="AV146" s="163">
        <v>20</v>
      </c>
      <c r="AW146" s="163">
        <f>IF(AV146=24,353,IF(AV146=22,303,IF(AV146=20,245,IF(AV146=16,157,0))))</f>
        <v>245</v>
      </c>
      <c r="AX146" s="21">
        <v>74</v>
      </c>
      <c r="AY146" s="21">
        <f>AX146</f>
        <v>74</v>
      </c>
      <c r="AZ146" s="21">
        <v>0</v>
      </c>
      <c r="BA146" s="21">
        <v>86</v>
      </c>
      <c r="BB146" s="21">
        <f>AP146-AX146-AY146-AZ146</f>
        <v>204</v>
      </c>
      <c r="BC146" s="15" t="s">
        <v>6313</v>
      </c>
      <c r="BD146" s="163" t="s">
        <v>6209</v>
      </c>
      <c r="BE146" s="163" t="s">
        <v>6209</v>
      </c>
      <c r="BF146" s="163">
        <v>2</v>
      </c>
      <c r="BG146" s="163">
        <v>4</v>
      </c>
      <c r="BH146" s="306">
        <v>120</v>
      </c>
      <c r="BI146" s="163">
        <v>1100</v>
      </c>
      <c r="BJ146" s="163" t="s">
        <v>6193</v>
      </c>
      <c r="BK146" s="163">
        <v>0.9</v>
      </c>
      <c r="BL146" s="163">
        <v>105</v>
      </c>
      <c r="BM146" s="163">
        <v>1137</v>
      </c>
      <c r="BN146" s="163">
        <v>46</v>
      </c>
      <c r="BO146" s="163" t="s">
        <v>4591</v>
      </c>
      <c r="BP146" s="306" t="s">
        <v>5856</v>
      </c>
      <c r="BQ146" s="163">
        <v>7</v>
      </c>
      <c r="BR146" s="163">
        <v>1</v>
      </c>
      <c r="BS146" s="163">
        <v>19</v>
      </c>
      <c r="BT146" s="163">
        <v>100</v>
      </c>
      <c r="BU146" s="163">
        <v>90</v>
      </c>
      <c r="BV146" s="18">
        <v>225</v>
      </c>
      <c r="BW146" s="163" t="s">
        <v>4574</v>
      </c>
      <c r="BX146" s="163" t="s">
        <v>4583</v>
      </c>
      <c r="BY146" s="21">
        <f t="shared" ref="BY146:BY149" si="35">142*BI146/1000</f>
        <v>156.19999999999999</v>
      </c>
      <c r="BZ146" s="21">
        <f>8*PI()*12^2/4</f>
        <v>904.77868423386042</v>
      </c>
      <c r="CA146" s="163">
        <v>25</v>
      </c>
      <c r="CB146" s="121">
        <v>1.11E-2</v>
      </c>
      <c r="CC146" s="163" t="s">
        <v>5665</v>
      </c>
      <c r="CD146" s="46">
        <v>275</v>
      </c>
      <c r="CE146" s="163">
        <v>290</v>
      </c>
      <c r="CF146" s="46">
        <v>410</v>
      </c>
      <c r="CG146" s="163">
        <v>496</v>
      </c>
      <c r="CH146" s="69">
        <v>206000</v>
      </c>
      <c r="CI146" s="163" t="s">
        <v>5665</v>
      </c>
      <c r="CJ146" s="46">
        <v>275</v>
      </c>
      <c r="CK146" s="21">
        <v>282</v>
      </c>
      <c r="CL146" s="47">
        <v>410</v>
      </c>
      <c r="CM146" s="21">
        <v>462</v>
      </c>
      <c r="CN146" s="69">
        <v>206000</v>
      </c>
      <c r="CO146" s="163" t="s">
        <v>5665</v>
      </c>
      <c r="CP146" s="47">
        <v>275</v>
      </c>
      <c r="CQ146" s="163">
        <v>308</v>
      </c>
      <c r="CR146" s="47">
        <v>410</v>
      </c>
      <c r="CS146" s="163">
        <v>503</v>
      </c>
      <c r="CT146" s="61">
        <v>200000</v>
      </c>
      <c r="CU146" s="306" t="s">
        <v>6069</v>
      </c>
      <c r="CV146" s="97">
        <v>41.3</v>
      </c>
      <c r="CW146" s="97">
        <v>3.43</v>
      </c>
      <c r="CX146" s="67">
        <v>33000</v>
      </c>
      <c r="CY146" s="98">
        <v>486</v>
      </c>
      <c r="CZ146" s="97">
        <v>557</v>
      </c>
      <c r="DA146" s="67">
        <v>200000</v>
      </c>
      <c r="DB146" s="294">
        <v>280</v>
      </c>
      <c r="DC146" s="163">
        <v>8.8000000000000007</v>
      </c>
      <c r="DD146" s="163">
        <v>640</v>
      </c>
      <c r="DE146" s="32">
        <v>730</v>
      </c>
      <c r="DF146" s="163">
        <v>800</v>
      </c>
      <c r="DG146" s="32">
        <v>940</v>
      </c>
      <c r="DH146" s="61">
        <v>200000</v>
      </c>
      <c r="DI146" s="43" t="s">
        <v>6078</v>
      </c>
      <c r="DJ146" s="163" t="s">
        <v>4435</v>
      </c>
      <c r="DK146" s="297" t="s">
        <v>4566</v>
      </c>
    </row>
    <row r="147" spans="1:115">
      <c r="A147" s="18">
        <v>142</v>
      </c>
      <c r="B147" s="329"/>
      <c r="C147" s="329"/>
      <c r="D147" s="334"/>
      <c r="E147" s="334"/>
      <c r="F147" s="326"/>
      <c r="G147" s="337"/>
      <c r="H147" s="351"/>
      <c r="I147" s="351"/>
      <c r="J147" s="309" t="s">
        <v>6072</v>
      </c>
      <c r="K147" s="306" t="s">
        <v>4383</v>
      </c>
      <c r="L147" s="163" t="s">
        <v>5792</v>
      </c>
      <c r="M147" s="306" t="s">
        <v>4508</v>
      </c>
      <c r="N147" s="163" t="s">
        <v>4702</v>
      </c>
      <c r="O147" s="18" t="s">
        <v>4507</v>
      </c>
      <c r="P147" s="163" t="s">
        <v>4470</v>
      </c>
      <c r="Q147" s="163" t="s">
        <v>4420</v>
      </c>
      <c r="R147" s="163" t="s">
        <v>6170</v>
      </c>
      <c r="S147" s="163">
        <v>12</v>
      </c>
      <c r="T147" s="163" t="s">
        <v>4420</v>
      </c>
      <c r="U147" s="163" t="s">
        <v>5792</v>
      </c>
      <c r="V147" s="163" t="s">
        <v>4559</v>
      </c>
      <c r="W147" s="18">
        <v>10</v>
      </c>
      <c r="X147" s="231">
        <v>0</v>
      </c>
      <c r="Y147" s="18">
        <v>0</v>
      </c>
      <c r="Z147" s="306" t="s">
        <v>4342</v>
      </c>
      <c r="AA147" s="21">
        <f>INDEX('[2]Cross-Section Database'!$C$2:$V$2928,MATCH(Z147,'[2]Cross-Section Database'!$B$2:$B$2928,0),3)</f>
        <v>206.2</v>
      </c>
      <c r="AB147" s="21">
        <f>INDEX('[2]Cross-Section Database'!$C$2:$V$2928,MATCH(Z147,'[2]Cross-Section Database'!$B$2:$B$2928,0),4)</f>
        <v>204.3</v>
      </c>
      <c r="AC147" s="21">
        <f>INDEX('[2]Cross-Section Database'!$C$2:$V$2928,MATCH(Z147,'[2]Cross-Section Database'!$B$2:$B$2928,0),6)</f>
        <v>12.5</v>
      </c>
      <c r="AD147" s="21">
        <f>INDEX('[2]Cross-Section Database'!$C$2:$V$2928,MATCH(Z147,'[2]Cross-Section Database'!$B$2:$B$2928,0),5)</f>
        <v>7.9</v>
      </c>
      <c r="AE147" s="21">
        <v>1200</v>
      </c>
      <c r="AF147" s="306" t="s">
        <v>4217</v>
      </c>
      <c r="AG147" s="21">
        <f>INDEX('[2]Cross-Section Database'!$C$2:$V$2928,MATCH(AF147,'[2]Cross-Section Database'!$B$2:$B$2928,0),3)</f>
        <v>303.39999999999998</v>
      </c>
      <c r="AH147" s="21">
        <f>INDEX('[2]Cross-Section Database'!$C$2:$V$2928,MATCH(AF147,'[2]Cross-Section Database'!$B$2:$B$2928,0),4)</f>
        <v>165</v>
      </c>
      <c r="AI147" s="21">
        <f>INDEX('[2]Cross-Section Database'!$C$2:$V$2928,MATCH(AF147,'[2]Cross-Section Database'!$B$2:$B$2928,0),6)</f>
        <v>10.199999999999999</v>
      </c>
      <c r="AJ147" s="21">
        <f>INDEX('[2]Cross-Section Database'!$C$2:$V$2928,MATCH(AF147,'[2]Cross-Section Database'!$B$2:$B$2928,0),5)</f>
        <v>6</v>
      </c>
      <c r="AK147" s="21">
        <v>1410</v>
      </c>
      <c r="AL147" s="21">
        <f>INDEX('[2]Cross-Section Database'!$C$2:$V$3928,MATCH(AF147,'[2]Cross-Section Database'!$B$2:$B$3928,0),11)</f>
        <v>85030000</v>
      </c>
      <c r="AM147" s="24">
        <v>623100</v>
      </c>
      <c r="AN147" s="21">
        <v>15.21</v>
      </c>
      <c r="AO147" s="21">
        <v>200</v>
      </c>
      <c r="AP147" s="21">
        <v>352</v>
      </c>
      <c r="AQ147" s="21">
        <f t="shared" ref="AQ147:AQ155" si="36">(AP147-AG147)/2</f>
        <v>24.300000000000011</v>
      </c>
      <c r="AR147" s="21">
        <v>24.300000000000011</v>
      </c>
      <c r="AS147" s="306" t="s">
        <v>5807</v>
      </c>
      <c r="AT147" s="163" t="s">
        <v>4563</v>
      </c>
      <c r="AU147" s="163">
        <f>200/AV147/0.25</f>
        <v>40</v>
      </c>
      <c r="AV147" s="163">
        <v>20</v>
      </c>
      <c r="AW147" s="163">
        <v>245</v>
      </c>
      <c r="AX147" s="21">
        <v>74</v>
      </c>
      <c r="AY147" s="21">
        <v>74</v>
      </c>
      <c r="AZ147" s="21">
        <v>0</v>
      </c>
      <c r="BA147" s="21">
        <v>86</v>
      </c>
      <c r="BB147" s="21">
        <v>204</v>
      </c>
      <c r="BC147" s="15" t="s">
        <v>4470</v>
      </c>
      <c r="BD147" s="163" t="s">
        <v>6209</v>
      </c>
      <c r="BE147" s="163" t="s">
        <v>6209</v>
      </c>
      <c r="BF147" s="163">
        <v>2</v>
      </c>
      <c r="BG147" s="163">
        <v>4</v>
      </c>
      <c r="BH147" s="306">
        <v>120</v>
      </c>
      <c r="BI147" s="163">
        <v>1100</v>
      </c>
      <c r="BJ147" s="163" t="s">
        <v>6193</v>
      </c>
      <c r="BK147" s="163">
        <v>0.9</v>
      </c>
      <c r="BL147" s="163">
        <v>105</v>
      </c>
      <c r="BM147" s="163">
        <v>1137</v>
      </c>
      <c r="BN147" s="163">
        <v>46</v>
      </c>
      <c r="BO147" s="163" t="s">
        <v>4591</v>
      </c>
      <c r="BP147" s="306" t="s">
        <v>5856</v>
      </c>
      <c r="BQ147" s="163">
        <v>7</v>
      </c>
      <c r="BR147" s="163">
        <v>1</v>
      </c>
      <c r="BS147" s="163">
        <v>19</v>
      </c>
      <c r="BT147" s="163">
        <v>100</v>
      </c>
      <c r="BU147" s="163">
        <v>90</v>
      </c>
      <c r="BV147" s="18">
        <v>225</v>
      </c>
      <c r="BW147" s="163" t="s">
        <v>4574</v>
      </c>
      <c r="BX147" s="163" t="s">
        <v>4582</v>
      </c>
      <c r="BY147" s="21">
        <f t="shared" si="35"/>
        <v>156.19999999999999</v>
      </c>
      <c r="BZ147" s="21">
        <f>4*PI()*12^2/4</f>
        <v>452.38934211693021</v>
      </c>
      <c r="CA147" s="163">
        <v>25</v>
      </c>
      <c r="CB147" s="121">
        <v>5.5999999999999999E-3</v>
      </c>
      <c r="CC147" s="163" t="s">
        <v>5665</v>
      </c>
      <c r="CD147" s="46">
        <v>275</v>
      </c>
      <c r="CE147" s="163">
        <v>290</v>
      </c>
      <c r="CF147" s="46">
        <v>410</v>
      </c>
      <c r="CG147" s="163">
        <v>496</v>
      </c>
      <c r="CH147" s="69">
        <v>206000</v>
      </c>
      <c r="CI147" s="163" t="s">
        <v>5665</v>
      </c>
      <c r="CJ147" s="46">
        <v>275</v>
      </c>
      <c r="CK147" s="21">
        <v>283.5</v>
      </c>
      <c r="CL147" s="47">
        <v>410</v>
      </c>
      <c r="CM147" s="21">
        <v>462.5</v>
      </c>
      <c r="CN147" s="69">
        <v>206500</v>
      </c>
      <c r="CO147" s="163" t="s">
        <v>5665</v>
      </c>
      <c r="CP147" s="47">
        <v>275</v>
      </c>
      <c r="CQ147" s="163">
        <v>308</v>
      </c>
      <c r="CR147" s="47">
        <v>410</v>
      </c>
      <c r="CS147" s="163">
        <v>503</v>
      </c>
      <c r="CT147" s="67">
        <v>200000</v>
      </c>
      <c r="CU147" s="163" t="s">
        <v>6069</v>
      </c>
      <c r="CV147" s="21">
        <v>46.8</v>
      </c>
      <c r="CW147" s="21">
        <v>3.31</v>
      </c>
      <c r="CX147" s="67">
        <v>33000</v>
      </c>
      <c r="CY147" s="306">
        <v>486</v>
      </c>
      <c r="CZ147" s="163">
        <v>557</v>
      </c>
      <c r="DA147" s="67">
        <v>200000</v>
      </c>
      <c r="DB147" s="294">
        <v>280</v>
      </c>
      <c r="DC147" s="163">
        <v>8.8000000000000007</v>
      </c>
      <c r="DD147" s="163">
        <v>640</v>
      </c>
      <c r="DE147" s="32">
        <v>730</v>
      </c>
      <c r="DF147" s="163">
        <v>800</v>
      </c>
      <c r="DG147" s="32">
        <v>940</v>
      </c>
      <c r="DH147" s="61">
        <v>200000</v>
      </c>
      <c r="DI147" s="41" t="s">
        <v>6079</v>
      </c>
      <c r="DJ147" s="163" t="s">
        <v>4435</v>
      </c>
      <c r="DK147" s="297" t="s">
        <v>4566</v>
      </c>
    </row>
    <row r="148" spans="1:115">
      <c r="A148" s="18">
        <v>143</v>
      </c>
      <c r="B148" s="329"/>
      <c r="C148" s="329"/>
      <c r="D148" s="334"/>
      <c r="E148" s="334"/>
      <c r="F148" s="326"/>
      <c r="G148" s="337"/>
      <c r="H148" s="351"/>
      <c r="I148" s="351"/>
      <c r="J148" s="309" t="s">
        <v>4399</v>
      </c>
      <c r="K148" s="306" t="s">
        <v>4383</v>
      </c>
      <c r="L148" s="163" t="s">
        <v>5792</v>
      </c>
      <c r="M148" s="306" t="s">
        <v>4508</v>
      </c>
      <c r="N148" s="163" t="s">
        <v>4702</v>
      </c>
      <c r="O148" s="18" t="s">
        <v>4507</v>
      </c>
      <c r="P148" s="163" t="s">
        <v>4470</v>
      </c>
      <c r="Q148" s="163" t="s">
        <v>4420</v>
      </c>
      <c r="R148" s="163" t="s">
        <v>6170</v>
      </c>
      <c r="S148" s="163">
        <v>12</v>
      </c>
      <c r="T148" s="163" t="s">
        <v>4420</v>
      </c>
      <c r="U148" s="163" t="s">
        <v>5792</v>
      </c>
      <c r="V148" s="163" t="s">
        <v>4559</v>
      </c>
      <c r="W148" s="18">
        <v>10</v>
      </c>
      <c r="X148" s="231">
        <v>0</v>
      </c>
      <c r="Y148" s="18">
        <v>0</v>
      </c>
      <c r="Z148" s="306" t="s">
        <v>4342</v>
      </c>
      <c r="AA148" s="21">
        <f>INDEX('[2]Cross-Section Database'!$C$2:$V$2928,MATCH(Z148,'[2]Cross-Section Database'!$B$2:$B$2928,0),3)</f>
        <v>206.2</v>
      </c>
      <c r="AB148" s="21">
        <f>INDEX('[2]Cross-Section Database'!$C$2:$V$2928,MATCH(Z148,'[2]Cross-Section Database'!$B$2:$B$2928,0),4)</f>
        <v>204.3</v>
      </c>
      <c r="AC148" s="21">
        <f>INDEX('[2]Cross-Section Database'!$C$2:$V$2928,MATCH(Z148,'[2]Cross-Section Database'!$B$2:$B$2928,0),6)</f>
        <v>12.5</v>
      </c>
      <c r="AD148" s="21">
        <f>INDEX('[2]Cross-Section Database'!$C$2:$V$2928,MATCH(Z148,'[2]Cross-Section Database'!$B$2:$B$2928,0),5)</f>
        <v>7.9</v>
      </c>
      <c r="AE148" s="21">
        <v>1200</v>
      </c>
      <c r="AF148" s="306" t="s">
        <v>4217</v>
      </c>
      <c r="AG148" s="21">
        <f>INDEX('[2]Cross-Section Database'!$C$2:$V$2928,MATCH(AF148,'[2]Cross-Section Database'!$B$2:$B$2928,0),3)</f>
        <v>303.39999999999998</v>
      </c>
      <c r="AH148" s="21">
        <f>INDEX('[2]Cross-Section Database'!$C$2:$V$2928,MATCH(AF148,'[2]Cross-Section Database'!$B$2:$B$2928,0),4)</f>
        <v>165</v>
      </c>
      <c r="AI148" s="21">
        <f>INDEX('[2]Cross-Section Database'!$C$2:$V$2928,MATCH(AF148,'[2]Cross-Section Database'!$B$2:$B$2928,0),6)</f>
        <v>10.199999999999999</v>
      </c>
      <c r="AJ148" s="21">
        <f>INDEX('[2]Cross-Section Database'!$C$2:$V$2928,MATCH(AF148,'[2]Cross-Section Database'!$B$2:$B$2928,0),5)</f>
        <v>6</v>
      </c>
      <c r="AK148" s="21">
        <v>1410</v>
      </c>
      <c r="AL148" s="21">
        <f>INDEX('[2]Cross-Section Database'!$C$2:$V$3928,MATCH(AF148,'[2]Cross-Section Database'!$B$2:$B$3928,0),11)</f>
        <v>85030000</v>
      </c>
      <c r="AM148" s="24">
        <v>623100</v>
      </c>
      <c r="AN148" s="21">
        <v>15.31</v>
      </c>
      <c r="AO148" s="21">
        <v>200</v>
      </c>
      <c r="AP148" s="21">
        <v>352</v>
      </c>
      <c r="AQ148" s="21">
        <f t="shared" si="36"/>
        <v>24.300000000000011</v>
      </c>
      <c r="AR148" s="21">
        <v>24.300000000000011</v>
      </c>
      <c r="AS148" s="306" t="s">
        <v>5807</v>
      </c>
      <c r="AT148" s="163" t="s">
        <v>4563</v>
      </c>
      <c r="AU148" s="163">
        <f>200/AV148/0.25</f>
        <v>40</v>
      </c>
      <c r="AV148" s="163">
        <v>20</v>
      </c>
      <c r="AW148" s="163">
        <v>245</v>
      </c>
      <c r="AX148" s="21">
        <v>74</v>
      </c>
      <c r="AY148" s="21">
        <v>74</v>
      </c>
      <c r="AZ148" s="21">
        <v>0</v>
      </c>
      <c r="BA148" s="21">
        <v>86</v>
      </c>
      <c r="BB148" s="21">
        <v>204</v>
      </c>
      <c r="BC148" s="15" t="s">
        <v>4470</v>
      </c>
      <c r="BD148" s="163" t="s">
        <v>6209</v>
      </c>
      <c r="BE148" s="163" t="s">
        <v>6209</v>
      </c>
      <c r="BF148" s="163">
        <v>2</v>
      </c>
      <c r="BG148" s="163">
        <v>4</v>
      </c>
      <c r="BH148" s="306">
        <v>120</v>
      </c>
      <c r="BI148" s="163">
        <v>1100</v>
      </c>
      <c r="BJ148" s="163" t="s">
        <v>6193</v>
      </c>
      <c r="BK148" s="163">
        <v>0.9</v>
      </c>
      <c r="BL148" s="163">
        <v>105</v>
      </c>
      <c r="BM148" s="163">
        <v>1137</v>
      </c>
      <c r="BN148" s="163">
        <v>46</v>
      </c>
      <c r="BO148" s="163" t="s">
        <v>4591</v>
      </c>
      <c r="BP148" s="306" t="s">
        <v>5856</v>
      </c>
      <c r="BQ148" s="163">
        <v>7</v>
      </c>
      <c r="BR148" s="163">
        <v>1</v>
      </c>
      <c r="BS148" s="163">
        <v>19</v>
      </c>
      <c r="BT148" s="163">
        <v>100</v>
      </c>
      <c r="BU148" s="163">
        <v>90</v>
      </c>
      <c r="BV148" s="18">
        <v>225</v>
      </c>
      <c r="BW148" s="163" t="s">
        <v>4574</v>
      </c>
      <c r="BX148" s="163" t="s">
        <v>4584</v>
      </c>
      <c r="BY148" s="21">
        <f t="shared" si="35"/>
        <v>156.19999999999999</v>
      </c>
      <c r="BZ148" s="21">
        <f>12*PI()*12^2/4</f>
        <v>1357.1680263507906</v>
      </c>
      <c r="CA148" s="163">
        <v>25</v>
      </c>
      <c r="CB148" s="121">
        <v>1.67E-2</v>
      </c>
      <c r="CC148" s="163" t="s">
        <v>5665</v>
      </c>
      <c r="CD148" s="46">
        <v>275</v>
      </c>
      <c r="CE148" s="163">
        <v>290</v>
      </c>
      <c r="CF148" s="46">
        <v>410</v>
      </c>
      <c r="CG148" s="163">
        <v>496</v>
      </c>
      <c r="CH148" s="69">
        <v>206000</v>
      </c>
      <c r="CI148" s="163" t="s">
        <v>5665</v>
      </c>
      <c r="CJ148" s="46">
        <v>275</v>
      </c>
      <c r="CK148" s="21">
        <v>290</v>
      </c>
      <c r="CL148" s="47">
        <v>410</v>
      </c>
      <c r="CM148" s="21">
        <v>470.5</v>
      </c>
      <c r="CN148" s="69">
        <v>202500</v>
      </c>
      <c r="CO148" s="163" t="s">
        <v>5665</v>
      </c>
      <c r="CP148" s="47">
        <v>275</v>
      </c>
      <c r="CQ148" s="163">
        <v>308</v>
      </c>
      <c r="CR148" s="47">
        <v>410</v>
      </c>
      <c r="CS148" s="163">
        <v>503</v>
      </c>
      <c r="CT148" s="67">
        <v>200000</v>
      </c>
      <c r="CU148" s="163" t="s">
        <v>6069</v>
      </c>
      <c r="CV148" s="21">
        <v>40.299999999999997</v>
      </c>
      <c r="CW148" s="21">
        <v>2.8</v>
      </c>
      <c r="CX148" s="67">
        <v>33000</v>
      </c>
      <c r="CY148" s="306">
        <v>486</v>
      </c>
      <c r="CZ148" s="163">
        <v>557</v>
      </c>
      <c r="DA148" s="67">
        <v>200000</v>
      </c>
      <c r="DB148" s="294">
        <v>280</v>
      </c>
      <c r="DC148" s="163">
        <v>8.8000000000000007</v>
      </c>
      <c r="DD148" s="163">
        <v>640</v>
      </c>
      <c r="DE148" s="32">
        <v>730</v>
      </c>
      <c r="DF148" s="163">
        <v>800</v>
      </c>
      <c r="DG148" s="32">
        <v>940</v>
      </c>
      <c r="DH148" s="61">
        <v>200000</v>
      </c>
      <c r="DI148" s="41" t="s">
        <v>6067</v>
      </c>
      <c r="DJ148" s="163" t="s">
        <v>4435</v>
      </c>
      <c r="DK148" s="297" t="s">
        <v>4566</v>
      </c>
    </row>
    <row r="149" spans="1:115">
      <c r="A149" s="18">
        <v>144</v>
      </c>
      <c r="B149" s="329"/>
      <c r="C149" s="329"/>
      <c r="D149" s="334"/>
      <c r="E149" s="334"/>
      <c r="F149" s="326"/>
      <c r="G149" s="337"/>
      <c r="H149" s="351"/>
      <c r="I149" s="351"/>
      <c r="J149" s="309" t="s">
        <v>4400</v>
      </c>
      <c r="K149" s="306" t="s">
        <v>6314</v>
      </c>
      <c r="L149" s="163" t="s">
        <v>5792</v>
      </c>
      <c r="M149" s="306" t="s">
        <v>4508</v>
      </c>
      <c r="N149" s="163" t="s">
        <v>4702</v>
      </c>
      <c r="O149" s="18" t="s">
        <v>4506</v>
      </c>
      <c r="P149" s="163" t="s">
        <v>4470</v>
      </c>
      <c r="Q149" s="163" t="s">
        <v>4420</v>
      </c>
      <c r="R149" s="163" t="s">
        <v>4420</v>
      </c>
      <c r="S149" s="163" t="s">
        <v>5792</v>
      </c>
      <c r="T149" s="163" t="s">
        <v>4420</v>
      </c>
      <c r="U149" s="163" t="s">
        <v>5792</v>
      </c>
      <c r="V149" s="163" t="s">
        <v>4559</v>
      </c>
      <c r="W149" s="18">
        <v>10</v>
      </c>
      <c r="X149" s="231">
        <v>0</v>
      </c>
      <c r="Y149" s="18">
        <v>0</v>
      </c>
      <c r="Z149" s="306" t="s">
        <v>6315</v>
      </c>
      <c r="AA149" s="21">
        <f>INDEX('[2]Cross-Section Database'!$C$2:$V$2928,MATCH(Z149,'[2]Cross-Section Database'!$B$2:$B$2928,0),3)</f>
        <v>206.2</v>
      </c>
      <c r="AB149" s="21">
        <f>INDEX('[2]Cross-Section Database'!$C$2:$V$2928,MATCH(Z149,'[2]Cross-Section Database'!$B$2:$B$2928,0),4)</f>
        <v>204.3</v>
      </c>
      <c r="AC149" s="21">
        <f>INDEX('[2]Cross-Section Database'!$C$2:$V$2928,MATCH(Z149,'[2]Cross-Section Database'!$B$2:$B$2928,0),6)</f>
        <v>12.5</v>
      </c>
      <c r="AD149" s="21">
        <f>INDEX('[2]Cross-Section Database'!$C$2:$V$2928,MATCH(Z149,'[2]Cross-Section Database'!$B$2:$B$2928,0),5)</f>
        <v>7.9</v>
      </c>
      <c r="AE149" s="21">
        <v>1200</v>
      </c>
      <c r="AF149" s="306" t="s">
        <v>4217</v>
      </c>
      <c r="AG149" s="21">
        <f>INDEX('[2]Cross-Section Database'!$C$2:$V$2928,MATCH(AF149,'[2]Cross-Section Database'!$B$2:$B$2928,0),3)</f>
        <v>303.39999999999998</v>
      </c>
      <c r="AH149" s="21">
        <f>INDEX('[2]Cross-Section Database'!$C$2:$V$2928,MATCH(AF149,'[2]Cross-Section Database'!$B$2:$B$2928,0),4)</f>
        <v>165</v>
      </c>
      <c r="AI149" s="21">
        <f>INDEX('[2]Cross-Section Database'!$C$2:$V$2928,MATCH(AF149,'[2]Cross-Section Database'!$B$2:$B$2928,0),6)</f>
        <v>10.199999999999999</v>
      </c>
      <c r="AJ149" s="21">
        <f>INDEX('[2]Cross-Section Database'!$C$2:$V$2928,MATCH(AF149,'[2]Cross-Section Database'!$B$2:$B$2928,0),5)</f>
        <v>6</v>
      </c>
      <c r="AK149" s="21">
        <v>1410</v>
      </c>
      <c r="AL149" s="21">
        <f>INDEX('[2]Cross-Section Database'!$C$2:$V$3928,MATCH(AF149,'[2]Cross-Section Database'!$B$2:$B$3928,0),11)</f>
        <v>85030000</v>
      </c>
      <c r="AM149" s="24">
        <f>INDEX('[2]Cross-Section Database'!$C$2:$V$3928,MATCH(AF149,'[2]Cross-Section Database'!$B$2:$B$3928,0),12)</f>
        <v>623100</v>
      </c>
      <c r="AN149" s="21">
        <v>15.22</v>
      </c>
      <c r="AO149" s="21">
        <v>166</v>
      </c>
      <c r="AP149" s="21">
        <v>352</v>
      </c>
      <c r="AQ149" s="21">
        <f t="shared" si="36"/>
        <v>24.300000000000011</v>
      </c>
      <c r="AR149" s="21">
        <f t="shared" ref="AR149:AR155" si="37">(AP149-AG149)/2</f>
        <v>24.300000000000011</v>
      </c>
      <c r="AS149" s="306" t="s">
        <v>5807</v>
      </c>
      <c r="AT149" s="163" t="s">
        <v>4563</v>
      </c>
      <c r="AU149" s="163">
        <f>200/AV149/0.25</f>
        <v>40</v>
      </c>
      <c r="AV149" s="163">
        <v>20</v>
      </c>
      <c r="AW149" s="163">
        <f t="shared" ref="AW149:AW169" si="38">IF(AV149=24,353,IF(AV149=22,303,IF(AV149=20,245,IF(AV149=16,157,0))))</f>
        <v>245</v>
      </c>
      <c r="AX149" s="21">
        <v>74</v>
      </c>
      <c r="AY149" s="21">
        <f t="shared" ref="AY149:AY155" si="39">AX149</f>
        <v>74</v>
      </c>
      <c r="AZ149" s="21">
        <v>0</v>
      </c>
      <c r="BA149" s="21">
        <v>86</v>
      </c>
      <c r="BB149" s="21">
        <f>AP149-AX149-AY149-AZ149</f>
        <v>204</v>
      </c>
      <c r="BC149" s="15" t="s">
        <v>6313</v>
      </c>
      <c r="BD149" s="163" t="s">
        <v>6209</v>
      </c>
      <c r="BE149" s="163" t="s">
        <v>6209</v>
      </c>
      <c r="BF149" s="163">
        <v>2</v>
      </c>
      <c r="BG149" s="163">
        <v>4</v>
      </c>
      <c r="BH149" s="306">
        <v>120</v>
      </c>
      <c r="BI149" s="163">
        <v>1100</v>
      </c>
      <c r="BJ149" s="163" t="s">
        <v>6193</v>
      </c>
      <c r="BK149" s="163">
        <v>0.9</v>
      </c>
      <c r="BL149" s="163">
        <v>105</v>
      </c>
      <c r="BM149" s="163">
        <v>1137</v>
      </c>
      <c r="BN149" s="163">
        <v>46</v>
      </c>
      <c r="BO149" s="163" t="s">
        <v>4591</v>
      </c>
      <c r="BP149" s="306" t="s">
        <v>5856</v>
      </c>
      <c r="BQ149" s="163">
        <v>7</v>
      </c>
      <c r="BR149" s="163">
        <v>1</v>
      </c>
      <c r="BS149" s="163">
        <v>19</v>
      </c>
      <c r="BT149" s="163">
        <v>100</v>
      </c>
      <c r="BU149" s="163">
        <v>90</v>
      </c>
      <c r="BV149" s="18">
        <v>225</v>
      </c>
      <c r="BW149" s="163" t="s">
        <v>4574</v>
      </c>
      <c r="BX149" s="163" t="s">
        <v>4583</v>
      </c>
      <c r="BY149" s="21">
        <f t="shared" si="35"/>
        <v>156.19999999999999</v>
      </c>
      <c r="BZ149" s="21">
        <f>8*PI()*12^2/4</f>
        <v>904.77868423386042</v>
      </c>
      <c r="CA149" s="163">
        <v>25</v>
      </c>
      <c r="CB149" s="121">
        <v>1.11E-2</v>
      </c>
      <c r="CC149" s="163" t="s">
        <v>5665</v>
      </c>
      <c r="CD149" s="46">
        <v>275</v>
      </c>
      <c r="CE149" s="163">
        <v>290</v>
      </c>
      <c r="CF149" s="46">
        <v>410</v>
      </c>
      <c r="CG149" s="163">
        <v>496</v>
      </c>
      <c r="CH149" s="69">
        <v>206000</v>
      </c>
      <c r="CI149" s="163" t="s">
        <v>5665</v>
      </c>
      <c r="CJ149" s="46">
        <v>275</v>
      </c>
      <c r="CK149" s="21">
        <v>291</v>
      </c>
      <c r="CL149" s="47">
        <v>410</v>
      </c>
      <c r="CM149" s="21">
        <v>465</v>
      </c>
      <c r="CN149" s="69">
        <v>200000</v>
      </c>
      <c r="CO149" s="163" t="s">
        <v>5665</v>
      </c>
      <c r="CP149" s="47">
        <v>275</v>
      </c>
      <c r="CQ149" s="163">
        <v>308</v>
      </c>
      <c r="CR149" s="47">
        <v>410</v>
      </c>
      <c r="CS149" s="163">
        <v>503</v>
      </c>
      <c r="CT149" s="61">
        <v>200000</v>
      </c>
      <c r="CU149" s="306" t="s">
        <v>6069</v>
      </c>
      <c r="CV149" s="97">
        <v>44.1</v>
      </c>
      <c r="CW149" s="97">
        <v>3.47</v>
      </c>
      <c r="CX149" s="67">
        <v>33000</v>
      </c>
      <c r="CY149" s="98">
        <v>486</v>
      </c>
      <c r="CZ149" s="97">
        <v>557</v>
      </c>
      <c r="DA149" s="67">
        <v>200000</v>
      </c>
      <c r="DB149" s="294">
        <v>280</v>
      </c>
      <c r="DC149" s="163">
        <v>8.8000000000000007</v>
      </c>
      <c r="DD149" s="163">
        <v>640</v>
      </c>
      <c r="DE149" s="32">
        <v>730</v>
      </c>
      <c r="DF149" s="163">
        <v>800</v>
      </c>
      <c r="DG149" s="32">
        <v>940</v>
      </c>
      <c r="DH149" s="61">
        <v>200000</v>
      </c>
      <c r="DI149" s="41" t="s">
        <v>6080</v>
      </c>
      <c r="DJ149" s="163" t="s">
        <v>4435</v>
      </c>
      <c r="DK149" s="297" t="s">
        <v>4566</v>
      </c>
    </row>
    <row r="150" spans="1:115">
      <c r="A150" s="18">
        <v>145</v>
      </c>
      <c r="B150" s="329"/>
      <c r="C150" s="329"/>
      <c r="D150" s="334"/>
      <c r="E150" s="334"/>
      <c r="F150" s="326"/>
      <c r="G150" s="337"/>
      <c r="H150" s="351"/>
      <c r="I150" s="351"/>
      <c r="J150" s="309" t="s">
        <v>4401</v>
      </c>
      <c r="K150" s="306" t="s">
        <v>6314</v>
      </c>
      <c r="L150" s="163" t="s">
        <v>5792</v>
      </c>
      <c r="M150" s="306" t="s">
        <v>4508</v>
      </c>
      <c r="N150" s="163" t="s">
        <v>4702</v>
      </c>
      <c r="O150" s="18" t="s">
        <v>4506</v>
      </c>
      <c r="P150" s="163" t="s">
        <v>4470</v>
      </c>
      <c r="Q150" s="163" t="s">
        <v>4420</v>
      </c>
      <c r="R150" s="163" t="s">
        <v>4420</v>
      </c>
      <c r="S150" s="163" t="s">
        <v>5792</v>
      </c>
      <c r="T150" s="163" t="s">
        <v>4420</v>
      </c>
      <c r="U150" s="163" t="s">
        <v>5792</v>
      </c>
      <c r="V150" s="163" t="s">
        <v>4559</v>
      </c>
      <c r="W150" s="18">
        <v>10</v>
      </c>
      <c r="X150" s="231">
        <v>0</v>
      </c>
      <c r="Y150" s="18">
        <v>0</v>
      </c>
      <c r="Z150" s="306" t="s">
        <v>6315</v>
      </c>
      <c r="AA150" s="21">
        <f>INDEX('[2]Cross-Section Database'!$C$2:$V$2928,MATCH(Z150,'[2]Cross-Section Database'!$B$2:$B$2928,0),3)</f>
        <v>206.2</v>
      </c>
      <c r="AB150" s="21">
        <f>INDEX('[2]Cross-Section Database'!$C$2:$V$2928,MATCH(Z150,'[2]Cross-Section Database'!$B$2:$B$2928,0),4)</f>
        <v>204.3</v>
      </c>
      <c r="AC150" s="21">
        <f>INDEX('[2]Cross-Section Database'!$C$2:$V$2928,MATCH(Z150,'[2]Cross-Section Database'!$B$2:$B$2928,0),6)</f>
        <v>12.5</v>
      </c>
      <c r="AD150" s="21">
        <f>INDEX('[2]Cross-Section Database'!$C$2:$V$2928,MATCH(Z150,'[2]Cross-Section Database'!$B$2:$B$2928,0),5)</f>
        <v>7.9</v>
      </c>
      <c r="AE150" s="21">
        <v>1200</v>
      </c>
      <c r="AF150" s="306" t="s">
        <v>4217</v>
      </c>
      <c r="AG150" s="21">
        <f>INDEX('[2]Cross-Section Database'!$C$2:$V$2928,MATCH(AF150,'[2]Cross-Section Database'!$B$2:$B$2928,0),3)</f>
        <v>303.39999999999998</v>
      </c>
      <c r="AH150" s="21">
        <f>INDEX('[2]Cross-Section Database'!$C$2:$V$2928,MATCH(AF150,'[2]Cross-Section Database'!$B$2:$B$2928,0),4)</f>
        <v>165</v>
      </c>
      <c r="AI150" s="21">
        <f>INDEX('[2]Cross-Section Database'!$C$2:$V$2928,MATCH(AF150,'[2]Cross-Section Database'!$B$2:$B$2928,0),6)</f>
        <v>10.199999999999999</v>
      </c>
      <c r="AJ150" s="21">
        <f>INDEX('[2]Cross-Section Database'!$C$2:$V$2928,MATCH(AF150,'[2]Cross-Section Database'!$B$2:$B$2928,0),5)</f>
        <v>6</v>
      </c>
      <c r="AK150" s="21">
        <v>1410</v>
      </c>
      <c r="AL150" s="21">
        <f>INDEX('[2]Cross-Section Database'!$C$2:$V$3928,MATCH(AF150,'[2]Cross-Section Database'!$B$2:$B$3928,0),11)</f>
        <v>85030000</v>
      </c>
      <c r="AM150" s="24">
        <f>INDEX('[2]Cross-Section Database'!$C$2:$V$3928,MATCH(AF150,'[2]Cross-Section Database'!$B$2:$B$3928,0),12)</f>
        <v>623100</v>
      </c>
      <c r="AN150" s="21">
        <v>15.29</v>
      </c>
      <c r="AO150" s="21">
        <v>166</v>
      </c>
      <c r="AP150" s="21">
        <v>352</v>
      </c>
      <c r="AQ150" s="21">
        <f t="shared" si="36"/>
        <v>24.300000000000011</v>
      </c>
      <c r="AR150" s="21">
        <f t="shared" si="37"/>
        <v>24.300000000000011</v>
      </c>
      <c r="AS150" s="306" t="s">
        <v>5807</v>
      </c>
      <c r="AT150" s="163" t="s">
        <v>4563</v>
      </c>
      <c r="AU150" s="163">
        <f t="shared" ref="AU150:AU155" si="40">200/AV150/0.25</f>
        <v>40</v>
      </c>
      <c r="AV150" s="163">
        <v>20</v>
      </c>
      <c r="AW150" s="163">
        <f t="shared" si="38"/>
        <v>245</v>
      </c>
      <c r="AX150" s="21">
        <v>74</v>
      </c>
      <c r="AY150" s="21">
        <f t="shared" si="39"/>
        <v>74</v>
      </c>
      <c r="AZ150" s="21">
        <v>0</v>
      </c>
      <c r="BA150" s="21">
        <v>86</v>
      </c>
      <c r="BB150" s="21">
        <f t="shared" ref="BB150:BB155" si="41">AP150-AX150-AY150-AZ150</f>
        <v>204</v>
      </c>
      <c r="BC150" s="15" t="s">
        <v>6313</v>
      </c>
      <c r="BD150" s="163" t="s">
        <v>6209</v>
      </c>
      <c r="BE150" s="163" t="s">
        <v>6209</v>
      </c>
      <c r="BF150" s="163">
        <v>2</v>
      </c>
      <c r="BG150" s="163">
        <v>4</v>
      </c>
      <c r="BH150" s="306">
        <v>120</v>
      </c>
      <c r="BI150" s="163">
        <v>1100</v>
      </c>
      <c r="BJ150" s="163" t="s">
        <v>6193</v>
      </c>
      <c r="BK150" s="163">
        <v>0.9</v>
      </c>
      <c r="BL150" s="163">
        <v>105</v>
      </c>
      <c r="BM150" s="163">
        <v>1137</v>
      </c>
      <c r="BN150" s="163">
        <v>46</v>
      </c>
      <c r="BO150" s="163" t="s">
        <v>4591</v>
      </c>
      <c r="BP150" s="306" t="s">
        <v>5856</v>
      </c>
      <c r="BQ150" s="163">
        <v>7</v>
      </c>
      <c r="BR150" s="163">
        <v>1</v>
      </c>
      <c r="BS150" s="163">
        <v>19</v>
      </c>
      <c r="BT150" s="163">
        <v>100</v>
      </c>
      <c r="BU150" s="163">
        <v>90</v>
      </c>
      <c r="BV150" s="18">
        <v>225</v>
      </c>
      <c r="BW150" s="163" t="s">
        <v>4574</v>
      </c>
      <c r="BX150" s="163" t="s">
        <v>4573</v>
      </c>
      <c r="BY150" s="21">
        <f>142*BI150/1000</f>
        <v>156.19999999999999</v>
      </c>
      <c r="BZ150" s="21">
        <v>0</v>
      </c>
      <c r="CA150" s="163">
        <v>25</v>
      </c>
      <c r="CB150" s="121">
        <v>0</v>
      </c>
      <c r="CC150" s="163" t="s">
        <v>5665</v>
      </c>
      <c r="CD150" s="46">
        <v>275</v>
      </c>
      <c r="CE150" s="163">
        <v>290</v>
      </c>
      <c r="CF150" s="46">
        <v>410</v>
      </c>
      <c r="CG150" s="163">
        <v>496</v>
      </c>
      <c r="CH150" s="69">
        <v>206000</v>
      </c>
      <c r="CI150" s="163" t="s">
        <v>5665</v>
      </c>
      <c r="CJ150" s="46">
        <v>275</v>
      </c>
      <c r="CK150" s="21">
        <v>290.5</v>
      </c>
      <c r="CL150" s="47">
        <v>410</v>
      </c>
      <c r="CM150" s="21">
        <v>468</v>
      </c>
      <c r="CN150" s="69">
        <v>201500</v>
      </c>
      <c r="CO150" s="163" t="s">
        <v>5665</v>
      </c>
      <c r="CP150" s="47">
        <v>275</v>
      </c>
      <c r="CQ150" s="163">
        <v>308</v>
      </c>
      <c r="CR150" s="47">
        <v>410</v>
      </c>
      <c r="CS150" s="163">
        <v>503</v>
      </c>
      <c r="CT150" s="61">
        <v>200000</v>
      </c>
      <c r="CU150" s="306" t="s">
        <v>6069</v>
      </c>
      <c r="CV150" s="97">
        <v>44.4</v>
      </c>
      <c r="CW150" s="97">
        <v>3.32</v>
      </c>
      <c r="CX150" s="67">
        <v>33000</v>
      </c>
      <c r="CY150" s="98">
        <v>486</v>
      </c>
      <c r="CZ150" s="97">
        <v>557</v>
      </c>
      <c r="DA150" s="67">
        <v>200000</v>
      </c>
      <c r="DB150" s="294">
        <v>280</v>
      </c>
      <c r="DC150" s="163">
        <v>8.8000000000000007</v>
      </c>
      <c r="DD150" s="163">
        <v>640</v>
      </c>
      <c r="DE150" s="32">
        <v>730</v>
      </c>
      <c r="DF150" s="163">
        <v>800</v>
      </c>
      <c r="DG150" s="32">
        <v>940</v>
      </c>
      <c r="DH150" s="61">
        <v>200000</v>
      </c>
      <c r="DI150" s="41" t="s">
        <v>6081</v>
      </c>
      <c r="DJ150" s="163" t="s">
        <v>4435</v>
      </c>
      <c r="DK150" s="297" t="s">
        <v>4566</v>
      </c>
    </row>
    <row r="151" spans="1:115">
      <c r="A151" s="18">
        <v>146</v>
      </c>
      <c r="B151" s="329"/>
      <c r="C151" s="329"/>
      <c r="D151" s="334"/>
      <c r="E151" s="334"/>
      <c r="F151" s="326"/>
      <c r="G151" s="337"/>
      <c r="H151" s="351"/>
      <c r="I151" s="351"/>
      <c r="J151" s="309" t="s">
        <v>6074</v>
      </c>
      <c r="K151" s="306" t="s">
        <v>6314</v>
      </c>
      <c r="L151" s="163" t="s">
        <v>5792</v>
      </c>
      <c r="M151" s="306" t="s">
        <v>4508</v>
      </c>
      <c r="N151" s="163" t="s">
        <v>4702</v>
      </c>
      <c r="O151" s="18" t="s">
        <v>4507</v>
      </c>
      <c r="P151" s="163" t="s">
        <v>4470</v>
      </c>
      <c r="Q151" s="163" t="s">
        <v>4420</v>
      </c>
      <c r="R151" s="163" t="s">
        <v>6170</v>
      </c>
      <c r="S151" s="163">
        <v>12</v>
      </c>
      <c r="T151" s="163" t="s">
        <v>4420</v>
      </c>
      <c r="U151" s="163" t="s">
        <v>5792</v>
      </c>
      <c r="V151" s="163" t="s">
        <v>4559</v>
      </c>
      <c r="W151" s="18">
        <v>10</v>
      </c>
      <c r="X151" s="231">
        <v>0</v>
      </c>
      <c r="Y151" s="18">
        <v>0</v>
      </c>
      <c r="Z151" s="306" t="s">
        <v>6315</v>
      </c>
      <c r="AA151" s="21">
        <f>INDEX('[2]Cross-Section Database'!$C$2:$V$2928,MATCH(Z151,'[2]Cross-Section Database'!$B$2:$B$2928,0),3)</f>
        <v>206.2</v>
      </c>
      <c r="AB151" s="21">
        <f>INDEX('[2]Cross-Section Database'!$C$2:$V$2928,MATCH(Z151,'[2]Cross-Section Database'!$B$2:$B$2928,0),4)</f>
        <v>204.3</v>
      </c>
      <c r="AC151" s="21">
        <f>INDEX('[2]Cross-Section Database'!$C$2:$V$2928,MATCH(Z151,'[2]Cross-Section Database'!$B$2:$B$2928,0),6)</f>
        <v>12.5</v>
      </c>
      <c r="AD151" s="21">
        <f>INDEX('[2]Cross-Section Database'!$C$2:$V$2928,MATCH(Z151,'[2]Cross-Section Database'!$B$2:$B$2928,0),5)</f>
        <v>7.9</v>
      </c>
      <c r="AE151" s="21">
        <v>1200</v>
      </c>
      <c r="AF151" s="306" t="s">
        <v>4217</v>
      </c>
      <c r="AG151" s="21">
        <f>INDEX('[2]Cross-Section Database'!$C$2:$V$2928,MATCH(AF151,'[2]Cross-Section Database'!$B$2:$B$2928,0),3)</f>
        <v>303.39999999999998</v>
      </c>
      <c r="AH151" s="21">
        <f>INDEX('[2]Cross-Section Database'!$C$2:$V$2928,MATCH(AF151,'[2]Cross-Section Database'!$B$2:$B$2928,0),4)</f>
        <v>165</v>
      </c>
      <c r="AI151" s="21">
        <f>INDEX('[2]Cross-Section Database'!$C$2:$V$2928,MATCH(AF151,'[2]Cross-Section Database'!$B$2:$B$2928,0),6)</f>
        <v>10.199999999999999</v>
      </c>
      <c r="AJ151" s="21">
        <f>INDEX('[2]Cross-Section Database'!$C$2:$V$2928,MATCH(AF151,'[2]Cross-Section Database'!$B$2:$B$2928,0),5)</f>
        <v>6</v>
      </c>
      <c r="AK151" s="21">
        <v>1410</v>
      </c>
      <c r="AL151" s="21">
        <f>INDEX('[2]Cross-Section Database'!$C$2:$V$3928,MATCH(AF151,'[2]Cross-Section Database'!$B$2:$B$3928,0),11)</f>
        <v>85030000</v>
      </c>
      <c r="AM151" s="24">
        <f>INDEX('[2]Cross-Section Database'!$C$2:$V$3928,MATCH(AF151,'[2]Cross-Section Database'!$B$2:$B$3928,0),12)</f>
        <v>623100</v>
      </c>
      <c r="AN151" s="21">
        <v>15.185</v>
      </c>
      <c r="AO151" s="21">
        <v>200</v>
      </c>
      <c r="AP151" s="21">
        <v>352</v>
      </c>
      <c r="AQ151" s="21">
        <f t="shared" si="36"/>
        <v>24.300000000000011</v>
      </c>
      <c r="AR151" s="21">
        <f>(AP151-AG151)/2</f>
        <v>24.300000000000011</v>
      </c>
      <c r="AS151" s="306" t="s">
        <v>5807</v>
      </c>
      <c r="AT151" s="163" t="s">
        <v>4563</v>
      </c>
      <c r="AU151" s="163">
        <f>200/AV151/0.25</f>
        <v>40</v>
      </c>
      <c r="AV151" s="163">
        <v>20</v>
      </c>
      <c r="AW151" s="163">
        <f>IF(AV151=24,353,IF(AV151=22,303,IF(AV151=20,245,IF(AV151=16,157,0))))</f>
        <v>245</v>
      </c>
      <c r="AX151" s="21">
        <v>74</v>
      </c>
      <c r="AY151" s="21">
        <f>AX151</f>
        <v>74</v>
      </c>
      <c r="AZ151" s="21">
        <v>0</v>
      </c>
      <c r="BA151" s="21">
        <v>86</v>
      </c>
      <c r="BB151" s="21">
        <f>AP151-AX151-AY151-AZ151</f>
        <v>204</v>
      </c>
      <c r="BC151" s="15" t="s">
        <v>6313</v>
      </c>
      <c r="BD151" s="163" t="s">
        <v>6209</v>
      </c>
      <c r="BE151" s="163" t="s">
        <v>6209</v>
      </c>
      <c r="BF151" s="163">
        <v>2</v>
      </c>
      <c r="BG151" s="163">
        <v>4</v>
      </c>
      <c r="BH151" s="306">
        <v>120</v>
      </c>
      <c r="BI151" s="163">
        <v>1100</v>
      </c>
      <c r="BJ151" s="163" t="s">
        <v>6193</v>
      </c>
      <c r="BK151" s="163">
        <v>0.9</v>
      </c>
      <c r="BL151" s="163">
        <v>105</v>
      </c>
      <c r="BM151" s="163">
        <v>1137</v>
      </c>
      <c r="BN151" s="163">
        <v>46</v>
      </c>
      <c r="BO151" s="163" t="s">
        <v>4591</v>
      </c>
      <c r="BP151" s="306" t="s">
        <v>5856</v>
      </c>
      <c r="BQ151" s="163">
        <v>7</v>
      </c>
      <c r="BR151" s="163">
        <v>1</v>
      </c>
      <c r="BS151" s="163">
        <v>19</v>
      </c>
      <c r="BT151" s="163">
        <v>100</v>
      </c>
      <c r="BU151" s="163">
        <v>90</v>
      </c>
      <c r="BV151" s="18">
        <v>225</v>
      </c>
      <c r="BW151" s="163" t="s">
        <v>6166</v>
      </c>
      <c r="BX151" s="163" t="s">
        <v>4584</v>
      </c>
      <c r="BY151" s="21">
        <f>142*BI151/1000+((BI151/225)+1)*PI()*8^2/4</f>
        <v>452.20784113823828</v>
      </c>
      <c r="BZ151" s="21">
        <f>12*PI()*12^2/4</f>
        <v>1357.1680263507906</v>
      </c>
      <c r="CA151" s="163">
        <v>25</v>
      </c>
      <c r="CB151" s="121">
        <v>1.67E-2</v>
      </c>
      <c r="CC151" s="163" t="s">
        <v>5665</v>
      </c>
      <c r="CD151" s="46">
        <v>275</v>
      </c>
      <c r="CE151" s="163">
        <v>290</v>
      </c>
      <c r="CF151" s="46">
        <v>410</v>
      </c>
      <c r="CG151" s="163">
        <v>496</v>
      </c>
      <c r="CH151" s="69">
        <v>206000</v>
      </c>
      <c r="CI151" s="163" t="s">
        <v>5665</v>
      </c>
      <c r="CJ151" s="46">
        <v>275</v>
      </c>
      <c r="CK151" s="21">
        <v>287</v>
      </c>
      <c r="CL151" s="47">
        <v>410</v>
      </c>
      <c r="CM151" s="21">
        <v>464.5</v>
      </c>
      <c r="CN151" s="69">
        <v>203500</v>
      </c>
      <c r="CO151" s="163" t="s">
        <v>5665</v>
      </c>
      <c r="CP151" s="47">
        <v>275</v>
      </c>
      <c r="CQ151" s="163">
        <v>308</v>
      </c>
      <c r="CR151" s="47">
        <v>410</v>
      </c>
      <c r="CS151" s="163">
        <v>503</v>
      </c>
      <c r="CT151" s="61">
        <v>200000</v>
      </c>
      <c r="CU151" s="306" t="s">
        <v>6069</v>
      </c>
      <c r="CV151" s="97">
        <v>44.2</v>
      </c>
      <c r="CW151" s="97">
        <v>3.44</v>
      </c>
      <c r="CX151" s="67">
        <v>33000</v>
      </c>
      <c r="CY151" s="98">
        <v>486</v>
      </c>
      <c r="CZ151" s="97">
        <v>557</v>
      </c>
      <c r="DA151" s="67">
        <v>200000</v>
      </c>
      <c r="DB151" s="294">
        <v>280</v>
      </c>
      <c r="DC151" s="163">
        <v>8.8000000000000007</v>
      </c>
      <c r="DD151" s="163">
        <v>640</v>
      </c>
      <c r="DE151" s="32">
        <v>730</v>
      </c>
      <c r="DF151" s="163">
        <v>800</v>
      </c>
      <c r="DG151" s="32">
        <v>940</v>
      </c>
      <c r="DH151" s="61">
        <v>200000</v>
      </c>
      <c r="DI151" s="41" t="s">
        <v>6076</v>
      </c>
      <c r="DJ151" s="163" t="s">
        <v>4435</v>
      </c>
      <c r="DK151" s="297" t="s">
        <v>4566</v>
      </c>
    </row>
    <row r="152" spans="1:115">
      <c r="A152" s="18">
        <v>147</v>
      </c>
      <c r="B152" s="329"/>
      <c r="C152" s="329"/>
      <c r="D152" s="334"/>
      <c r="E152" s="334"/>
      <c r="F152" s="326"/>
      <c r="G152" s="337"/>
      <c r="H152" s="351"/>
      <c r="I152" s="351"/>
      <c r="J152" s="309" t="s">
        <v>4403</v>
      </c>
      <c r="K152" s="306" t="s">
        <v>6314</v>
      </c>
      <c r="L152" s="163" t="s">
        <v>5792</v>
      </c>
      <c r="M152" s="306" t="s">
        <v>4508</v>
      </c>
      <c r="N152" s="163" t="s">
        <v>4702</v>
      </c>
      <c r="O152" s="18" t="s">
        <v>4506</v>
      </c>
      <c r="P152" s="163" t="s">
        <v>4470</v>
      </c>
      <c r="Q152" s="163" t="s">
        <v>4420</v>
      </c>
      <c r="R152" s="163" t="s">
        <v>4420</v>
      </c>
      <c r="S152" s="163" t="s">
        <v>5792</v>
      </c>
      <c r="T152" s="163" t="s">
        <v>4420</v>
      </c>
      <c r="U152" s="163" t="s">
        <v>5792</v>
      </c>
      <c r="V152" s="163" t="s">
        <v>4559</v>
      </c>
      <c r="W152" s="18">
        <v>10</v>
      </c>
      <c r="X152" s="231">
        <v>0</v>
      </c>
      <c r="Y152" s="18">
        <v>0</v>
      </c>
      <c r="Z152" s="306" t="s">
        <v>6315</v>
      </c>
      <c r="AA152" s="21">
        <f>INDEX('[2]Cross-Section Database'!$C$2:$V$2928,MATCH(Z152,'[2]Cross-Section Database'!$B$2:$B$2928,0),3)</f>
        <v>206.2</v>
      </c>
      <c r="AB152" s="21">
        <f>INDEX('[2]Cross-Section Database'!$C$2:$V$2928,MATCH(Z152,'[2]Cross-Section Database'!$B$2:$B$2928,0),4)</f>
        <v>204.3</v>
      </c>
      <c r="AC152" s="21">
        <f>INDEX('[2]Cross-Section Database'!$C$2:$V$2928,MATCH(Z152,'[2]Cross-Section Database'!$B$2:$B$2928,0),6)</f>
        <v>12.5</v>
      </c>
      <c r="AD152" s="21">
        <f>INDEX('[2]Cross-Section Database'!$C$2:$V$2928,MATCH(Z152,'[2]Cross-Section Database'!$B$2:$B$2928,0),5)</f>
        <v>7.9</v>
      </c>
      <c r="AE152" s="21">
        <v>1200</v>
      </c>
      <c r="AF152" s="306" t="s">
        <v>4217</v>
      </c>
      <c r="AG152" s="21">
        <f>INDEX('[2]Cross-Section Database'!$C$2:$V$2928,MATCH(AF152,'[2]Cross-Section Database'!$B$2:$B$2928,0),3)</f>
        <v>303.39999999999998</v>
      </c>
      <c r="AH152" s="21">
        <f>INDEX('[2]Cross-Section Database'!$C$2:$V$2928,MATCH(AF152,'[2]Cross-Section Database'!$B$2:$B$2928,0),4)</f>
        <v>165</v>
      </c>
      <c r="AI152" s="21">
        <f>INDEX('[2]Cross-Section Database'!$C$2:$V$2928,MATCH(AF152,'[2]Cross-Section Database'!$B$2:$B$2928,0),6)</f>
        <v>10.199999999999999</v>
      </c>
      <c r="AJ152" s="21">
        <f>INDEX('[2]Cross-Section Database'!$C$2:$V$2928,MATCH(AF152,'[2]Cross-Section Database'!$B$2:$B$2928,0),5)</f>
        <v>6</v>
      </c>
      <c r="AK152" s="21">
        <v>1410</v>
      </c>
      <c r="AL152" s="21">
        <f>INDEX('[2]Cross-Section Database'!$C$2:$V$3928,MATCH(AF152,'[2]Cross-Section Database'!$B$2:$B$3928,0),11)</f>
        <v>85030000</v>
      </c>
      <c r="AM152" s="24">
        <f>INDEX('[2]Cross-Section Database'!$C$2:$V$3928,MATCH(AF152,'[2]Cross-Section Database'!$B$2:$B$3928,0),12)</f>
        <v>623100</v>
      </c>
      <c r="AN152" s="21">
        <v>15.2</v>
      </c>
      <c r="AO152" s="21">
        <v>166</v>
      </c>
      <c r="AP152" s="21">
        <v>352</v>
      </c>
      <c r="AQ152" s="21">
        <f t="shared" si="36"/>
        <v>24.300000000000011</v>
      </c>
      <c r="AR152" s="21">
        <f t="shared" si="37"/>
        <v>24.300000000000011</v>
      </c>
      <c r="AS152" s="306" t="s">
        <v>5807</v>
      </c>
      <c r="AT152" s="163" t="s">
        <v>4563</v>
      </c>
      <c r="AU152" s="163">
        <f t="shared" si="40"/>
        <v>40</v>
      </c>
      <c r="AV152" s="163">
        <v>20</v>
      </c>
      <c r="AW152" s="163">
        <f t="shared" si="38"/>
        <v>245</v>
      </c>
      <c r="AX152" s="21">
        <v>74</v>
      </c>
      <c r="AY152" s="21">
        <f t="shared" si="39"/>
        <v>74</v>
      </c>
      <c r="AZ152" s="21">
        <v>0</v>
      </c>
      <c r="BA152" s="21">
        <v>86</v>
      </c>
      <c r="BB152" s="21">
        <f t="shared" si="41"/>
        <v>204</v>
      </c>
      <c r="BC152" s="15" t="s">
        <v>6313</v>
      </c>
      <c r="BD152" s="163" t="s">
        <v>6209</v>
      </c>
      <c r="BE152" s="163" t="s">
        <v>6209</v>
      </c>
      <c r="BF152" s="163">
        <v>2</v>
      </c>
      <c r="BG152" s="163">
        <v>4</v>
      </c>
      <c r="BH152" s="306">
        <v>120</v>
      </c>
      <c r="BI152" s="163">
        <v>1100</v>
      </c>
      <c r="BJ152" s="163" t="s">
        <v>6193</v>
      </c>
      <c r="BK152" s="163">
        <v>0.9</v>
      </c>
      <c r="BL152" s="163">
        <v>105</v>
      </c>
      <c r="BM152" s="163">
        <v>1137</v>
      </c>
      <c r="BN152" s="163">
        <v>46</v>
      </c>
      <c r="BO152" s="163" t="s">
        <v>4591</v>
      </c>
      <c r="BP152" s="306" t="s">
        <v>5856</v>
      </c>
      <c r="BQ152" s="163">
        <v>7</v>
      </c>
      <c r="BR152" s="163">
        <v>1</v>
      </c>
      <c r="BS152" s="163">
        <v>19</v>
      </c>
      <c r="BT152" s="163">
        <v>100</v>
      </c>
      <c r="BU152" s="163">
        <v>90</v>
      </c>
      <c r="BV152" s="18">
        <v>225</v>
      </c>
      <c r="BW152" s="163" t="s">
        <v>4574</v>
      </c>
      <c r="BX152" s="163" t="s">
        <v>4582</v>
      </c>
      <c r="BY152" s="21">
        <f t="shared" ref="BY152" si="42">142*BI152/1000</f>
        <v>156.19999999999999</v>
      </c>
      <c r="BZ152" s="21">
        <f>4*PI()*12^2/4</f>
        <v>452.38934211693021</v>
      </c>
      <c r="CA152" s="163">
        <v>25</v>
      </c>
      <c r="CB152" s="121">
        <v>5.5999999999999999E-3</v>
      </c>
      <c r="CC152" s="163" t="s">
        <v>5665</v>
      </c>
      <c r="CD152" s="46">
        <v>275</v>
      </c>
      <c r="CE152" s="163">
        <v>290</v>
      </c>
      <c r="CF152" s="46">
        <v>410</v>
      </c>
      <c r="CG152" s="163">
        <v>496</v>
      </c>
      <c r="CH152" s="69">
        <v>206000</v>
      </c>
      <c r="CI152" s="163" t="s">
        <v>5665</v>
      </c>
      <c r="CJ152" s="46">
        <v>275</v>
      </c>
      <c r="CK152" s="21">
        <v>287</v>
      </c>
      <c r="CL152" s="47">
        <v>410</v>
      </c>
      <c r="CM152" s="21">
        <v>464.5</v>
      </c>
      <c r="CN152" s="69">
        <v>203500</v>
      </c>
      <c r="CO152" s="163" t="s">
        <v>5665</v>
      </c>
      <c r="CP152" s="47">
        <v>275</v>
      </c>
      <c r="CQ152" s="163">
        <v>309</v>
      </c>
      <c r="CR152" s="47">
        <v>410</v>
      </c>
      <c r="CS152" s="163">
        <v>500</v>
      </c>
      <c r="CT152" s="61">
        <v>200000</v>
      </c>
      <c r="CU152" s="306" t="s">
        <v>6069</v>
      </c>
      <c r="CV152" s="97">
        <v>41.7</v>
      </c>
      <c r="CW152" s="97">
        <v>2.7</v>
      </c>
      <c r="CX152" s="67">
        <v>33000</v>
      </c>
      <c r="CY152" s="98">
        <v>486</v>
      </c>
      <c r="CZ152" s="97">
        <v>557</v>
      </c>
      <c r="DA152" s="67">
        <v>200000</v>
      </c>
      <c r="DB152" s="294">
        <v>280</v>
      </c>
      <c r="DC152" s="163">
        <v>8.8000000000000007</v>
      </c>
      <c r="DD152" s="163">
        <v>640</v>
      </c>
      <c r="DE152" s="32">
        <v>730</v>
      </c>
      <c r="DF152" s="163">
        <v>800</v>
      </c>
      <c r="DG152" s="32">
        <v>940</v>
      </c>
      <c r="DH152" s="61">
        <v>200000</v>
      </c>
      <c r="DI152" s="41" t="s">
        <v>5855</v>
      </c>
      <c r="DJ152" s="163" t="s">
        <v>4435</v>
      </c>
      <c r="DK152" s="297" t="s">
        <v>4566</v>
      </c>
    </row>
    <row r="153" spans="1:115">
      <c r="A153" s="18">
        <v>148</v>
      </c>
      <c r="B153" s="329"/>
      <c r="C153" s="329"/>
      <c r="D153" s="334"/>
      <c r="E153" s="334"/>
      <c r="F153" s="326"/>
      <c r="G153" s="337"/>
      <c r="H153" s="351"/>
      <c r="I153" s="351"/>
      <c r="J153" s="311" t="s">
        <v>6071</v>
      </c>
      <c r="K153" s="306" t="s">
        <v>6314</v>
      </c>
      <c r="L153" s="163" t="s">
        <v>5792</v>
      </c>
      <c r="M153" s="306" t="s">
        <v>4508</v>
      </c>
      <c r="N153" s="163" t="s">
        <v>4702</v>
      </c>
      <c r="O153" s="18" t="s">
        <v>4507</v>
      </c>
      <c r="P153" s="163" t="s">
        <v>4420</v>
      </c>
      <c r="Q153" s="163" t="s">
        <v>4420</v>
      </c>
      <c r="R153" s="163" t="s">
        <v>6170</v>
      </c>
      <c r="S153" s="163">
        <v>12</v>
      </c>
      <c r="T153" s="163" t="s">
        <v>4420</v>
      </c>
      <c r="U153" s="163" t="s">
        <v>5792</v>
      </c>
      <c r="V153" s="163" t="s">
        <v>4559</v>
      </c>
      <c r="W153" s="18">
        <v>10</v>
      </c>
      <c r="X153" s="231">
        <v>0</v>
      </c>
      <c r="Y153" s="18">
        <v>0</v>
      </c>
      <c r="Z153" s="306" t="s">
        <v>6315</v>
      </c>
      <c r="AA153" s="21">
        <f>INDEX('[2]Cross-Section Database'!$C$2:$V$2928,MATCH(Z153,'[2]Cross-Section Database'!$B$2:$B$2928,0),3)</f>
        <v>206.2</v>
      </c>
      <c r="AB153" s="21">
        <f>INDEX('[2]Cross-Section Database'!$C$2:$V$2928,MATCH(Z153,'[2]Cross-Section Database'!$B$2:$B$2928,0),4)</f>
        <v>204.3</v>
      </c>
      <c r="AC153" s="21">
        <f>INDEX('[2]Cross-Section Database'!$C$2:$V$2928,MATCH(Z153,'[2]Cross-Section Database'!$B$2:$B$2928,0),6)</f>
        <v>12.5</v>
      </c>
      <c r="AD153" s="21">
        <f>INDEX('[2]Cross-Section Database'!$C$2:$V$2928,MATCH(Z153,'[2]Cross-Section Database'!$B$2:$B$2928,0),5)</f>
        <v>7.9</v>
      </c>
      <c r="AE153" s="21">
        <v>1200</v>
      </c>
      <c r="AF153" s="306" t="s">
        <v>4217</v>
      </c>
      <c r="AG153" s="21">
        <f>INDEX('[2]Cross-Section Database'!$C$2:$V$2928,MATCH(AF153,'[2]Cross-Section Database'!$B$2:$B$2928,0),3)</f>
        <v>303.39999999999998</v>
      </c>
      <c r="AH153" s="21">
        <f>INDEX('[2]Cross-Section Database'!$C$2:$V$2928,MATCH(AF153,'[2]Cross-Section Database'!$B$2:$B$2928,0),4)</f>
        <v>165</v>
      </c>
      <c r="AI153" s="21">
        <f>INDEX('[2]Cross-Section Database'!$C$2:$V$2928,MATCH(AF153,'[2]Cross-Section Database'!$B$2:$B$2928,0),6)</f>
        <v>10.199999999999999</v>
      </c>
      <c r="AJ153" s="21">
        <f>INDEX('[2]Cross-Section Database'!$C$2:$V$2928,MATCH(AF153,'[2]Cross-Section Database'!$B$2:$B$2928,0),5)</f>
        <v>6</v>
      </c>
      <c r="AK153" s="21">
        <v>1410</v>
      </c>
      <c r="AL153" s="21">
        <f>INDEX('[2]Cross-Section Database'!$C$2:$V$3928,MATCH(AF153,'[2]Cross-Section Database'!$B$2:$B$3928,0),11)</f>
        <v>85030000</v>
      </c>
      <c r="AM153" s="24">
        <f>INDEX('[2]Cross-Section Database'!$C$2:$V$3928,MATCH(AF153,'[2]Cross-Section Database'!$B$2:$B$3928,0),12)</f>
        <v>623100</v>
      </c>
      <c r="AN153" s="21">
        <v>15.22</v>
      </c>
      <c r="AO153" s="21">
        <v>200</v>
      </c>
      <c r="AP153" s="21">
        <v>352</v>
      </c>
      <c r="AQ153" s="21">
        <f t="shared" si="36"/>
        <v>24.300000000000011</v>
      </c>
      <c r="AR153" s="21">
        <f>(AP153-AG153)/2</f>
        <v>24.300000000000011</v>
      </c>
      <c r="AS153" s="306" t="s">
        <v>5807</v>
      </c>
      <c r="AT153" s="163" t="s">
        <v>4563</v>
      </c>
      <c r="AU153" s="163">
        <f>200/AV153/0.25</f>
        <v>40</v>
      </c>
      <c r="AV153" s="163">
        <v>20</v>
      </c>
      <c r="AW153" s="163">
        <f>IF(AV153=24,353,IF(AV153=22,303,IF(AV153=20,245,IF(AV153=16,157,0))))</f>
        <v>245</v>
      </c>
      <c r="AX153" s="21">
        <v>74</v>
      </c>
      <c r="AY153" s="21">
        <f>AX153</f>
        <v>74</v>
      </c>
      <c r="AZ153" s="21">
        <v>0</v>
      </c>
      <c r="BA153" s="21">
        <v>86</v>
      </c>
      <c r="BB153" s="21">
        <f>AP153-AX153-AY153-AZ153</f>
        <v>204</v>
      </c>
      <c r="BC153" s="15" t="s">
        <v>6313</v>
      </c>
      <c r="BD153" s="163" t="s">
        <v>6209</v>
      </c>
      <c r="BE153" s="163" t="s">
        <v>6209</v>
      </c>
      <c r="BF153" s="163">
        <v>2</v>
      </c>
      <c r="BG153" s="163">
        <v>4</v>
      </c>
      <c r="BH153" s="202" t="s">
        <v>5792</v>
      </c>
      <c r="BI153" s="203" t="s">
        <v>5792</v>
      </c>
      <c r="BJ153" s="203" t="s">
        <v>5792</v>
      </c>
      <c r="BK153" s="203" t="s">
        <v>5792</v>
      </c>
      <c r="BL153" s="203" t="s">
        <v>5792</v>
      </c>
      <c r="BM153" s="203" t="s">
        <v>5792</v>
      </c>
      <c r="BN153" s="203" t="s">
        <v>5792</v>
      </c>
      <c r="BO153" s="203" t="s">
        <v>5792</v>
      </c>
      <c r="BP153" s="202" t="s">
        <v>5792</v>
      </c>
      <c r="BQ153" s="203" t="s">
        <v>5792</v>
      </c>
      <c r="BR153" s="203" t="s">
        <v>5792</v>
      </c>
      <c r="BS153" s="203" t="s">
        <v>5792</v>
      </c>
      <c r="BT153" s="203" t="s">
        <v>5792</v>
      </c>
      <c r="BU153" s="203" t="s">
        <v>5792</v>
      </c>
      <c r="BV153" s="218" t="s">
        <v>5792</v>
      </c>
      <c r="BW153" s="202" t="s">
        <v>5792</v>
      </c>
      <c r="BX153" s="203" t="s">
        <v>5792</v>
      </c>
      <c r="BY153" s="203" t="s">
        <v>5792</v>
      </c>
      <c r="BZ153" s="203" t="s">
        <v>5792</v>
      </c>
      <c r="CA153" s="203" t="s">
        <v>5792</v>
      </c>
      <c r="CB153" s="218" t="s">
        <v>5792</v>
      </c>
      <c r="CC153" s="163" t="s">
        <v>5665</v>
      </c>
      <c r="CD153" s="46">
        <v>275</v>
      </c>
      <c r="CE153" s="163">
        <v>290</v>
      </c>
      <c r="CF153" s="46">
        <v>410</v>
      </c>
      <c r="CG153" s="163">
        <v>496</v>
      </c>
      <c r="CH153" s="69">
        <v>206000</v>
      </c>
      <c r="CI153" s="163" t="s">
        <v>5665</v>
      </c>
      <c r="CJ153" s="46">
        <v>275</v>
      </c>
      <c r="CK153" s="21">
        <v>287</v>
      </c>
      <c r="CL153" s="47">
        <v>410</v>
      </c>
      <c r="CM153" s="21">
        <v>464.5</v>
      </c>
      <c r="CN153" s="69">
        <v>203500</v>
      </c>
      <c r="CO153" s="163" t="s">
        <v>5665</v>
      </c>
      <c r="CP153" s="47">
        <v>275</v>
      </c>
      <c r="CQ153" s="163">
        <v>309</v>
      </c>
      <c r="CR153" s="47">
        <v>410</v>
      </c>
      <c r="CS153" s="163">
        <v>500</v>
      </c>
      <c r="CT153" s="266">
        <v>200000</v>
      </c>
      <c r="CU153" s="207" t="s">
        <v>5792</v>
      </c>
      <c r="CV153" s="208" t="s">
        <v>5792</v>
      </c>
      <c r="CW153" s="208" t="s">
        <v>5792</v>
      </c>
      <c r="CX153" s="209" t="s">
        <v>5792</v>
      </c>
      <c r="CY153" s="207" t="s">
        <v>5792</v>
      </c>
      <c r="CZ153" s="208" t="s">
        <v>5792</v>
      </c>
      <c r="DA153" s="209" t="s">
        <v>5792</v>
      </c>
      <c r="DB153" s="283" t="s">
        <v>5792</v>
      </c>
      <c r="DC153" s="163">
        <v>8.8000000000000007</v>
      </c>
      <c r="DD153" s="163">
        <v>640</v>
      </c>
      <c r="DE153" s="32">
        <v>730</v>
      </c>
      <c r="DF153" s="163">
        <v>800</v>
      </c>
      <c r="DG153" s="32">
        <v>940</v>
      </c>
      <c r="DH153" s="61">
        <v>200000</v>
      </c>
      <c r="DI153" s="41" t="s">
        <v>4765</v>
      </c>
      <c r="DJ153" s="163" t="s">
        <v>4435</v>
      </c>
      <c r="DK153" s="297" t="s">
        <v>4566</v>
      </c>
    </row>
    <row r="154" spans="1:115">
      <c r="A154" s="18">
        <v>149</v>
      </c>
      <c r="B154" s="329"/>
      <c r="C154" s="329"/>
      <c r="D154" s="334"/>
      <c r="E154" s="334"/>
      <c r="F154" s="326"/>
      <c r="G154" s="337"/>
      <c r="H154" s="351"/>
      <c r="I154" s="351"/>
      <c r="J154" s="309" t="s">
        <v>6070</v>
      </c>
      <c r="K154" s="306" t="s">
        <v>6314</v>
      </c>
      <c r="L154" s="163" t="s">
        <v>5792</v>
      </c>
      <c r="M154" s="306" t="s">
        <v>4508</v>
      </c>
      <c r="N154" s="163" t="s">
        <v>4702</v>
      </c>
      <c r="O154" s="18" t="s">
        <v>4507</v>
      </c>
      <c r="P154" s="163" t="s">
        <v>4470</v>
      </c>
      <c r="Q154" s="163" t="s">
        <v>4420</v>
      </c>
      <c r="R154" s="163" t="s">
        <v>6170</v>
      </c>
      <c r="S154" s="163">
        <v>12</v>
      </c>
      <c r="T154" s="163" t="s">
        <v>4420</v>
      </c>
      <c r="U154" s="163" t="s">
        <v>5792</v>
      </c>
      <c r="V154" s="163" t="s">
        <v>4559</v>
      </c>
      <c r="W154" s="18">
        <v>10</v>
      </c>
      <c r="X154" s="231">
        <v>0</v>
      </c>
      <c r="Y154" s="18">
        <v>0</v>
      </c>
      <c r="Z154" s="306" t="s">
        <v>6315</v>
      </c>
      <c r="AA154" s="21">
        <f>INDEX('[2]Cross-Section Database'!$C$2:$V$2928,MATCH(Z154,'[2]Cross-Section Database'!$B$2:$B$2928,0),3)</f>
        <v>206.2</v>
      </c>
      <c r="AB154" s="21">
        <f>INDEX('[2]Cross-Section Database'!$C$2:$V$2928,MATCH(Z154,'[2]Cross-Section Database'!$B$2:$B$2928,0),4)</f>
        <v>204.3</v>
      </c>
      <c r="AC154" s="21">
        <f>INDEX('[2]Cross-Section Database'!$C$2:$V$2928,MATCH(Z154,'[2]Cross-Section Database'!$B$2:$B$2928,0),6)</f>
        <v>12.5</v>
      </c>
      <c r="AD154" s="21">
        <f>INDEX('[2]Cross-Section Database'!$C$2:$V$2928,MATCH(Z154,'[2]Cross-Section Database'!$B$2:$B$2928,0),5)</f>
        <v>7.9</v>
      </c>
      <c r="AE154" s="21">
        <v>1200</v>
      </c>
      <c r="AF154" s="306" t="s">
        <v>4234</v>
      </c>
      <c r="AG154" s="21">
        <f>INDEX('[2]Cross-Section Database'!$C$2:$V$2928,MATCH(AF154,'[2]Cross-Section Database'!$B$2:$B$2928,0),3)</f>
        <v>449.8</v>
      </c>
      <c r="AH154" s="21">
        <f>INDEX('[2]Cross-Section Database'!$C$2:$V$2928,MATCH(AF154,'[2]Cross-Section Database'!$B$2:$B$2928,0),4)</f>
        <v>152.4</v>
      </c>
      <c r="AI154" s="21">
        <f>INDEX('[2]Cross-Section Database'!$C$2:$V$2928,MATCH(AF154,'[2]Cross-Section Database'!$B$2:$B$2928,0),6)</f>
        <v>10.9</v>
      </c>
      <c r="AJ154" s="21">
        <f>INDEX('[2]Cross-Section Database'!$C$2:$V$2928,MATCH(AF154,'[2]Cross-Section Database'!$B$2:$B$2928,0),5)</f>
        <v>7.6</v>
      </c>
      <c r="AK154" s="21">
        <v>1410</v>
      </c>
      <c r="AL154" s="21">
        <f>INDEX('[2]Cross-Section Database'!$C$2:$V$3928,MATCH(AF154,'[2]Cross-Section Database'!$B$2:$B$3928,0),11)</f>
        <v>213700000</v>
      </c>
      <c r="AM154" s="24">
        <f>INDEX('[2]Cross-Section Database'!$C$2:$V$3928,MATCH(AF154,'[2]Cross-Section Database'!$B$2:$B$3928,0),12)</f>
        <v>1096000</v>
      </c>
      <c r="AN154" s="21">
        <v>15.19</v>
      </c>
      <c r="AO154" s="21">
        <v>200</v>
      </c>
      <c r="AP154" s="21">
        <v>500</v>
      </c>
      <c r="AQ154" s="21">
        <f t="shared" si="36"/>
        <v>25.099999999999994</v>
      </c>
      <c r="AR154" s="21">
        <f>(AP154-AG154)/2</f>
        <v>25.099999999999994</v>
      </c>
      <c r="AS154" s="306" t="s">
        <v>5807</v>
      </c>
      <c r="AT154" s="163" t="s">
        <v>4563</v>
      </c>
      <c r="AU154" s="163">
        <f>200/AV154/0.25</f>
        <v>40</v>
      </c>
      <c r="AV154" s="163">
        <v>20</v>
      </c>
      <c r="AW154" s="163">
        <f>IF(AV154=24,353,IF(AV154=22,303,IF(AV154=20,245,IF(AV154=16,157,0))))</f>
        <v>245</v>
      </c>
      <c r="AX154" s="21">
        <v>74</v>
      </c>
      <c r="AY154" s="21">
        <f>AX154</f>
        <v>74</v>
      </c>
      <c r="AZ154" s="21">
        <v>0</v>
      </c>
      <c r="BA154" s="21">
        <v>86</v>
      </c>
      <c r="BB154" s="21">
        <f>AP154-AX154-AY154-AZ154</f>
        <v>352</v>
      </c>
      <c r="BC154" s="15" t="s">
        <v>6313</v>
      </c>
      <c r="BD154" s="163" t="s">
        <v>6209</v>
      </c>
      <c r="BE154" s="163" t="s">
        <v>6209</v>
      </c>
      <c r="BF154" s="163">
        <v>2</v>
      </c>
      <c r="BG154" s="163">
        <v>4</v>
      </c>
      <c r="BH154" s="306">
        <v>120</v>
      </c>
      <c r="BI154" s="163">
        <v>1100</v>
      </c>
      <c r="BJ154" s="163" t="s">
        <v>6193</v>
      </c>
      <c r="BK154" s="163">
        <v>0.9</v>
      </c>
      <c r="BL154" s="163">
        <v>105</v>
      </c>
      <c r="BM154" s="163">
        <v>1137</v>
      </c>
      <c r="BN154" s="163">
        <v>46</v>
      </c>
      <c r="BO154" s="163" t="s">
        <v>4591</v>
      </c>
      <c r="BP154" s="306" t="s">
        <v>5856</v>
      </c>
      <c r="BQ154" s="163">
        <v>7</v>
      </c>
      <c r="BR154" s="163">
        <v>1</v>
      </c>
      <c r="BS154" s="163">
        <v>19</v>
      </c>
      <c r="BT154" s="163">
        <v>100</v>
      </c>
      <c r="BU154" s="163">
        <v>90</v>
      </c>
      <c r="BV154" s="18">
        <v>225</v>
      </c>
      <c r="BW154" s="163" t="s">
        <v>4574</v>
      </c>
      <c r="BX154" s="163" t="s">
        <v>4583</v>
      </c>
      <c r="BY154" s="21">
        <f>142*BI154/1000</f>
        <v>156.19999999999999</v>
      </c>
      <c r="BZ154" s="21">
        <f>8*PI()*12^2/4</f>
        <v>904.77868423386042</v>
      </c>
      <c r="CA154" s="163">
        <v>25</v>
      </c>
      <c r="CB154" s="121">
        <v>1.11E-2</v>
      </c>
      <c r="CC154" s="163" t="s">
        <v>5665</v>
      </c>
      <c r="CD154" s="46">
        <v>275</v>
      </c>
      <c r="CE154" s="163">
        <v>290</v>
      </c>
      <c r="CF154" s="46">
        <v>410</v>
      </c>
      <c r="CG154" s="163">
        <v>496</v>
      </c>
      <c r="CH154" s="69">
        <v>206000</v>
      </c>
      <c r="CI154" s="163" t="s">
        <v>5665</v>
      </c>
      <c r="CJ154" s="46">
        <v>275</v>
      </c>
      <c r="CK154" s="21">
        <v>320</v>
      </c>
      <c r="CL154" s="47">
        <v>410</v>
      </c>
      <c r="CM154" s="21">
        <v>484</v>
      </c>
      <c r="CN154" s="69">
        <v>199500</v>
      </c>
      <c r="CO154" s="163" t="s">
        <v>5665</v>
      </c>
      <c r="CP154" s="47">
        <v>275</v>
      </c>
      <c r="CQ154" s="163">
        <v>309</v>
      </c>
      <c r="CR154" s="47">
        <v>410</v>
      </c>
      <c r="CS154" s="163">
        <v>500</v>
      </c>
      <c r="CT154" s="268">
        <v>200000</v>
      </c>
      <c r="CU154" s="267" t="s">
        <v>6069</v>
      </c>
      <c r="CV154" s="269">
        <v>49.8</v>
      </c>
      <c r="CW154" s="269">
        <v>4.0599999999999996</v>
      </c>
      <c r="CX154" s="270">
        <v>33000</v>
      </c>
      <c r="CY154" s="271">
        <v>486</v>
      </c>
      <c r="CZ154" s="269">
        <v>557</v>
      </c>
      <c r="DA154" s="270">
        <v>200000</v>
      </c>
      <c r="DB154" s="294">
        <v>280</v>
      </c>
      <c r="DC154" s="163">
        <v>8.8000000000000007</v>
      </c>
      <c r="DD154" s="163">
        <v>640</v>
      </c>
      <c r="DE154" s="32">
        <v>730</v>
      </c>
      <c r="DF154" s="163">
        <v>800</v>
      </c>
      <c r="DG154" s="32">
        <v>940</v>
      </c>
      <c r="DH154" s="61">
        <v>200000</v>
      </c>
      <c r="DI154" s="272" t="s">
        <v>6077</v>
      </c>
      <c r="DJ154" s="163" t="s">
        <v>4435</v>
      </c>
      <c r="DK154" s="297" t="s">
        <v>4566</v>
      </c>
    </row>
    <row r="155" spans="1:115" ht="16.2" thickBot="1">
      <c r="A155" s="18">
        <v>150</v>
      </c>
      <c r="B155" s="329"/>
      <c r="C155" s="329"/>
      <c r="D155" s="334"/>
      <c r="E155" s="334"/>
      <c r="F155" s="326"/>
      <c r="G155" s="337"/>
      <c r="H155" s="351"/>
      <c r="I155" s="351"/>
      <c r="J155" s="312" t="s">
        <v>4406</v>
      </c>
      <c r="K155" s="306" t="s">
        <v>6314</v>
      </c>
      <c r="L155" s="163" t="s">
        <v>5792</v>
      </c>
      <c r="M155" s="306" t="s">
        <v>4508</v>
      </c>
      <c r="N155" s="163" t="s">
        <v>4702</v>
      </c>
      <c r="O155" s="18" t="s">
        <v>4506</v>
      </c>
      <c r="P155" s="163" t="s">
        <v>4420</v>
      </c>
      <c r="Q155" s="163" t="s">
        <v>4420</v>
      </c>
      <c r="R155" s="163" t="s">
        <v>4420</v>
      </c>
      <c r="S155" s="163" t="s">
        <v>5792</v>
      </c>
      <c r="T155" s="163" t="s">
        <v>4420</v>
      </c>
      <c r="U155" s="163" t="s">
        <v>5792</v>
      </c>
      <c r="V155" s="163" t="s">
        <v>4559</v>
      </c>
      <c r="W155" s="18">
        <v>10</v>
      </c>
      <c r="X155" s="231">
        <v>0</v>
      </c>
      <c r="Y155" s="18">
        <v>0</v>
      </c>
      <c r="Z155" s="306" t="s">
        <v>6315</v>
      </c>
      <c r="AA155" s="21">
        <f>INDEX('[2]Cross-Section Database'!$C$2:$V$2928,MATCH(Z155,'[2]Cross-Section Database'!$B$2:$B$2928,0),3)</f>
        <v>206.2</v>
      </c>
      <c r="AB155" s="21">
        <f>INDEX('[2]Cross-Section Database'!$C$2:$V$2928,MATCH(Z155,'[2]Cross-Section Database'!$B$2:$B$2928,0),4)</f>
        <v>204.3</v>
      </c>
      <c r="AC155" s="21">
        <f>INDEX('[2]Cross-Section Database'!$C$2:$V$2928,MATCH(Z155,'[2]Cross-Section Database'!$B$2:$B$2928,0),6)</f>
        <v>12.5</v>
      </c>
      <c r="AD155" s="21">
        <f>INDEX('[2]Cross-Section Database'!$C$2:$V$2928,MATCH(Z155,'[2]Cross-Section Database'!$B$2:$B$2928,0),5)</f>
        <v>7.9</v>
      </c>
      <c r="AE155" s="21">
        <v>1200</v>
      </c>
      <c r="AF155" s="306" t="s">
        <v>4217</v>
      </c>
      <c r="AG155" s="21">
        <f>INDEX('[2]Cross-Section Database'!$C$2:$V$2928,MATCH(AF155,'[2]Cross-Section Database'!$B$2:$B$2928,0),3)</f>
        <v>303.39999999999998</v>
      </c>
      <c r="AH155" s="21">
        <f>INDEX('[2]Cross-Section Database'!$C$2:$V$2928,MATCH(AF155,'[2]Cross-Section Database'!$B$2:$B$2928,0),4)</f>
        <v>165</v>
      </c>
      <c r="AI155" s="21">
        <f>INDEX('[2]Cross-Section Database'!$C$2:$V$2928,MATCH(AF155,'[2]Cross-Section Database'!$B$2:$B$2928,0),6)</f>
        <v>10.199999999999999</v>
      </c>
      <c r="AJ155" s="21">
        <f>INDEX('[2]Cross-Section Database'!$C$2:$V$2928,MATCH(AF155,'[2]Cross-Section Database'!$B$2:$B$2928,0),5)</f>
        <v>6</v>
      </c>
      <c r="AK155" s="21">
        <v>1410</v>
      </c>
      <c r="AL155" s="21">
        <f>INDEX('[2]Cross-Section Database'!$C$2:$V$3928,MATCH(AF155,'[2]Cross-Section Database'!$B$2:$B$3928,0),11)</f>
        <v>85030000</v>
      </c>
      <c r="AM155" s="24">
        <f>INDEX('[2]Cross-Section Database'!$C$2:$V$3928,MATCH(AF155,'[2]Cross-Section Database'!$B$2:$B$3928,0),12)</f>
        <v>623100</v>
      </c>
      <c r="AN155" s="21">
        <v>15.2</v>
      </c>
      <c r="AO155" s="21">
        <v>166</v>
      </c>
      <c r="AP155" s="21">
        <v>352</v>
      </c>
      <c r="AQ155" s="21">
        <f t="shared" si="36"/>
        <v>24.300000000000011</v>
      </c>
      <c r="AR155" s="21">
        <f t="shared" si="37"/>
        <v>24.300000000000011</v>
      </c>
      <c r="AS155" s="306" t="s">
        <v>5807</v>
      </c>
      <c r="AT155" s="163" t="s">
        <v>4563</v>
      </c>
      <c r="AU155" s="163">
        <f t="shared" si="40"/>
        <v>40</v>
      </c>
      <c r="AV155" s="163">
        <v>20</v>
      </c>
      <c r="AW155" s="163">
        <f t="shared" si="38"/>
        <v>245</v>
      </c>
      <c r="AX155" s="21">
        <v>74</v>
      </c>
      <c r="AY155" s="21">
        <f t="shared" si="39"/>
        <v>74</v>
      </c>
      <c r="AZ155" s="21">
        <v>0</v>
      </c>
      <c r="BA155" s="21">
        <v>86</v>
      </c>
      <c r="BB155" s="21">
        <f t="shared" si="41"/>
        <v>204</v>
      </c>
      <c r="BC155" s="15" t="s">
        <v>6313</v>
      </c>
      <c r="BD155" s="163" t="s">
        <v>6209</v>
      </c>
      <c r="BE155" s="163" t="s">
        <v>6209</v>
      </c>
      <c r="BF155" s="163">
        <v>2</v>
      </c>
      <c r="BG155" s="163">
        <v>4</v>
      </c>
      <c r="BH155" s="197" t="s">
        <v>5792</v>
      </c>
      <c r="BI155" s="198" t="s">
        <v>5792</v>
      </c>
      <c r="BJ155" s="198" t="s">
        <v>5792</v>
      </c>
      <c r="BK155" s="198" t="s">
        <v>5792</v>
      </c>
      <c r="BL155" s="198" t="s">
        <v>5792</v>
      </c>
      <c r="BM155" s="198" t="s">
        <v>5792</v>
      </c>
      <c r="BN155" s="198" t="s">
        <v>5792</v>
      </c>
      <c r="BO155" s="198" t="s">
        <v>5792</v>
      </c>
      <c r="BP155" s="197" t="s">
        <v>5792</v>
      </c>
      <c r="BQ155" s="198" t="s">
        <v>5792</v>
      </c>
      <c r="BR155" s="198" t="s">
        <v>5792</v>
      </c>
      <c r="BS155" s="198" t="s">
        <v>5792</v>
      </c>
      <c r="BT155" s="198" t="s">
        <v>5792</v>
      </c>
      <c r="BU155" s="198" t="s">
        <v>5792</v>
      </c>
      <c r="BV155" s="220" t="s">
        <v>5792</v>
      </c>
      <c r="BW155" s="197" t="s">
        <v>5792</v>
      </c>
      <c r="BX155" s="198" t="s">
        <v>5792</v>
      </c>
      <c r="BY155" s="198" t="s">
        <v>5792</v>
      </c>
      <c r="BZ155" s="198" t="s">
        <v>5792</v>
      </c>
      <c r="CA155" s="198" t="s">
        <v>5792</v>
      </c>
      <c r="CB155" s="220" t="s">
        <v>5792</v>
      </c>
      <c r="CC155" s="163" t="s">
        <v>5665</v>
      </c>
      <c r="CD155" s="46">
        <v>275</v>
      </c>
      <c r="CE155" s="163">
        <v>290</v>
      </c>
      <c r="CF155" s="46">
        <v>410</v>
      </c>
      <c r="CG155" s="163">
        <v>496</v>
      </c>
      <c r="CH155" s="69">
        <v>206000</v>
      </c>
      <c r="CI155" s="163" t="s">
        <v>5665</v>
      </c>
      <c r="CJ155" s="46">
        <v>275</v>
      </c>
      <c r="CK155" s="21">
        <v>287</v>
      </c>
      <c r="CL155" s="47">
        <v>410</v>
      </c>
      <c r="CM155" s="21">
        <v>464.5</v>
      </c>
      <c r="CN155" s="69">
        <v>203500</v>
      </c>
      <c r="CO155" s="163" t="s">
        <v>5665</v>
      </c>
      <c r="CP155" s="47">
        <v>275</v>
      </c>
      <c r="CQ155" s="163">
        <v>309</v>
      </c>
      <c r="CR155" s="47">
        <v>410</v>
      </c>
      <c r="CS155" s="163">
        <v>500</v>
      </c>
      <c r="CT155" s="61">
        <v>200000</v>
      </c>
      <c r="CU155" s="210" t="s">
        <v>5792</v>
      </c>
      <c r="CV155" s="211" t="s">
        <v>5792</v>
      </c>
      <c r="CW155" s="211" t="s">
        <v>5792</v>
      </c>
      <c r="CX155" s="212" t="s">
        <v>5792</v>
      </c>
      <c r="CY155" s="210" t="s">
        <v>5792</v>
      </c>
      <c r="CZ155" s="211" t="s">
        <v>5792</v>
      </c>
      <c r="DA155" s="212" t="s">
        <v>5792</v>
      </c>
      <c r="DB155" s="284" t="s">
        <v>5792</v>
      </c>
      <c r="DC155" s="163">
        <v>8.8000000000000007</v>
      </c>
      <c r="DD155" s="163">
        <v>640</v>
      </c>
      <c r="DE155" s="32">
        <v>730</v>
      </c>
      <c r="DF155" s="163">
        <v>800</v>
      </c>
      <c r="DG155" s="32">
        <v>940</v>
      </c>
      <c r="DH155" s="61">
        <v>200000</v>
      </c>
      <c r="DI155" s="249" t="s">
        <v>5838</v>
      </c>
      <c r="DJ155" s="163" t="s">
        <v>4435</v>
      </c>
      <c r="DK155" s="297" t="s">
        <v>4566</v>
      </c>
    </row>
    <row r="156" spans="1:115" ht="15.6" customHeight="1">
      <c r="A156" s="48">
        <v>151</v>
      </c>
      <c r="B156" s="325">
        <v>21</v>
      </c>
      <c r="C156" s="325">
        <v>1994</v>
      </c>
      <c r="D156" s="325" t="s">
        <v>5962</v>
      </c>
      <c r="E156" s="464" t="s">
        <v>5974</v>
      </c>
      <c r="F156" s="325">
        <v>4</v>
      </c>
      <c r="G156" s="464" t="s">
        <v>5961</v>
      </c>
      <c r="H156" s="328" t="s">
        <v>5955</v>
      </c>
      <c r="I156" s="328" t="s">
        <v>6235</v>
      </c>
      <c r="J156" s="129" t="s">
        <v>4639</v>
      </c>
      <c r="K156" s="299" t="s">
        <v>4383</v>
      </c>
      <c r="L156" s="302" t="s">
        <v>5792</v>
      </c>
      <c r="M156" s="299" t="s">
        <v>4509</v>
      </c>
      <c r="N156" s="162" t="s">
        <v>4703</v>
      </c>
      <c r="O156" s="48" t="s">
        <v>4507</v>
      </c>
      <c r="P156" s="299" t="s">
        <v>4420</v>
      </c>
      <c r="Q156" s="302" t="s">
        <v>4420</v>
      </c>
      <c r="R156" s="302" t="s">
        <v>6169</v>
      </c>
      <c r="S156" s="302">
        <v>6</v>
      </c>
      <c r="T156" s="302" t="s">
        <v>4420</v>
      </c>
      <c r="U156" s="302" t="s">
        <v>5792</v>
      </c>
      <c r="V156" s="162" t="s">
        <v>4559</v>
      </c>
      <c r="W156" s="17">
        <v>6</v>
      </c>
      <c r="X156" s="239">
        <v>0</v>
      </c>
      <c r="Y156" s="17">
        <v>0</v>
      </c>
      <c r="Z156" s="302" t="s">
        <v>5060</v>
      </c>
      <c r="AA156" s="16">
        <f>INDEX('[2]Cross-Section Database'!$C$2:$V$2928,MATCH(Z156,'[2]Cross-Section Database'!$B$2:$B$2928,0),3)</f>
        <v>203</v>
      </c>
      <c r="AB156" s="16">
        <f>INDEX('[2]Cross-Section Database'!$C$2:$V$2928,MATCH(Z156,'[2]Cross-Section Database'!$B$2:$B$2928,0),4)</f>
        <v>203</v>
      </c>
      <c r="AC156" s="16">
        <f>INDEX('[2]Cross-Section Database'!$C$2:$V$2928,MATCH(Z156,'[2]Cross-Section Database'!$B$2:$B$2928,0),6)</f>
        <v>11</v>
      </c>
      <c r="AD156" s="16">
        <f>INDEX('[2]Cross-Section Database'!$C$2:$V$2928,MATCH(Z156,'[2]Cross-Section Database'!$B$2:$B$2928,0),5)</f>
        <v>7.3</v>
      </c>
      <c r="AE156" s="16">
        <v>1250</v>
      </c>
      <c r="AF156" s="305" t="s">
        <v>5082</v>
      </c>
      <c r="AG156" s="16">
        <f>INDEX('[2]Cross-Section Database'!$C$2:$V$23928,MATCH(AF156,'[2]Cross-Section Database'!$B$2:$B$3928,0),3)</f>
        <v>203</v>
      </c>
      <c r="AH156" s="16">
        <f>INDEX('[2]Cross-Section Database'!$C$2:$V$3928,MATCH(AF156,'[2]Cross-Section Database'!$B$2:$B$3928,0),4)</f>
        <v>133</v>
      </c>
      <c r="AI156" s="16">
        <f>INDEX('[2]Cross-Section Database'!$C$2:$V$3928,MATCH(AF156,'[2]Cross-Section Database'!$B$2:$B$3928,0),6)</f>
        <v>7.8</v>
      </c>
      <c r="AJ156" s="16">
        <f>INDEX('[2]Cross-Section Database'!$C$2:$V$3928,MATCH(AF156,'[2]Cross-Section Database'!$B$2:$B$3928,0),5)</f>
        <v>5.8</v>
      </c>
      <c r="AK156" s="16">
        <v>691</v>
      </c>
      <c r="AL156" s="16">
        <f>INDEX('[2]Cross-Section Database'!$C$2:$V$3928,MATCH(AF156,'[2]Cross-Section Database'!$B$2:$B$3928,0),11)</f>
        <v>23600000</v>
      </c>
      <c r="AM156" s="26">
        <f>INDEX('[2]Cross-Section Database'!$C$2:$V$3928,MATCH(AF156,'[2]Cross-Section Database'!$B$2:$B$3928,0),12)</f>
        <v>260000</v>
      </c>
      <c r="AN156" s="53">
        <v>16</v>
      </c>
      <c r="AO156" s="45">
        <v>200</v>
      </c>
      <c r="AP156" s="45">
        <v>203</v>
      </c>
      <c r="AQ156" s="45">
        <v>0</v>
      </c>
      <c r="AR156" s="51">
        <v>0</v>
      </c>
      <c r="AS156" s="305" t="s">
        <v>5807</v>
      </c>
      <c r="AT156" s="162" t="s">
        <v>5956</v>
      </c>
      <c r="AU156" s="302">
        <v>80</v>
      </c>
      <c r="AV156" s="302">
        <v>16</v>
      </c>
      <c r="AW156" s="162">
        <f t="shared" si="38"/>
        <v>157</v>
      </c>
      <c r="AX156" s="45">
        <v>67.8</v>
      </c>
      <c r="AY156" s="45">
        <v>67.8</v>
      </c>
      <c r="AZ156" s="45">
        <v>0</v>
      </c>
      <c r="BA156" s="45">
        <v>140</v>
      </c>
      <c r="BB156" s="16">
        <f>AP156-AX156-AY156-AZ156</f>
        <v>67.399999999999991</v>
      </c>
      <c r="BC156" s="22" t="s">
        <v>4470</v>
      </c>
      <c r="BD156" s="162" t="s">
        <v>6209</v>
      </c>
      <c r="BE156" s="162" t="s">
        <v>6209</v>
      </c>
      <c r="BF156" s="162">
        <v>2</v>
      </c>
      <c r="BG156" s="302">
        <v>4</v>
      </c>
      <c r="BH156" s="200" t="s">
        <v>5792</v>
      </c>
      <c r="BI156" s="201" t="s">
        <v>5792</v>
      </c>
      <c r="BJ156" s="201" t="s">
        <v>5792</v>
      </c>
      <c r="BK156" s="201" t="s">
        <v>5792</v>
      </c>
      <c r="BL156" s="201" t="s">
        <v>5792</v>
      </c>
      <c r="BM156" s="201" t="s">
        <v>5792</v>
      </c>
      <c r="BN156" s="201" t="s">
        <v>5792</v>
      </c>
      <c r="BO156" s="201" t="s">
        <v>5792</v>
      </c>
      <c r="BP156" s="200" t="s">
        <v>5792</v>
      </c>
      <c r="BQ156" s="201" t="s">
        <v>5792</v>
      </c>
      <c r="BR156" s="201" t="s">
        <v>5792</v>
      </c>
      <c r="BS156" s="201" t="s">
        <v>5792</v>
      </c>
      <c r="BT156" s="201" t="s">
        <v>5792</v>
      </c>
      <c r="BU156" s="201" t="s">
        <v>5792</v>
      </c>
      <c r="BV156" s="219" t="s">
        <v>5792</v>
      </c>
      <c r="BW156" s="200" t="s">
        <v>5792</v>
      </c>
      <c r="BX156" s="201" t="s">
        <v>5792</v>
      </c>
      <c r="BY156" s="201" t="s">
        <v>5792</v>
      </c>
      <c r="BZ156" s="201" t="s">
        <v>5792</v>
      </c>
      <c r="CA156" s="201" t="s">
        <v>5792</v>
      </c>
      <c r="CB156" s="219" t="s">
        <v>5792</v>
      </c>
      <c r="CC156" s="299" t="s">
        <v>5957</v>
      </c>
      <c r="CD156" s="302">
        <v>250</v>
      </c>
      <c r="CE156" s="45">
        <v>299</v>
      </c>
      <c r="CF156" s="45">
        <v>400</v>
      </c>
      <c r="CG156" s="31">
        <f>CF156*1.1</f>
        <v>440.00000000000006</v>
      </c>
      <c r="CH156" s="66">
        <v>200000</v>
      </c>
      <c r="CI156" s="302" t="s">
        <v>5957</v>
      </c>
      <c r="CJ156" s="302">
        <v>250</v>
      </c>
      <c r="CK156" s="45">
        <v>299</v>
      </c>
      <c r="CL156" s="45">
        <v>400</v>
      </c>
      <c r="CM156" s="31">
        <f>CL156*1.1</f>
        <v>440.00000000000006</v>
      </c>
      <c r="CN156" s="66">
        <v>200000</v>
      </c>
      <c r="CO156" s="302" t="s">
        <v>5957</v>
      </c>
      <c r="CP156" s="302">
        <v>250</v>
      </c>
      <c r="CQ156" s="45">
        <v>299</v>
      </c>
      <c r="CR156" s="45">
        <v>400</v>
      </c>
      <c r="CS156" s="31">
        <f>CR156*1.1</f>
        <v>440.00000000000006</v>
      </c>
      <c r="CT156" s="66">
        <v>200000</v>
      </c>
      <c r="CU156" s="204" t="s">
        <v>5792</v>
      </c>
      <c r="CV156" s="205" t="s">
        <v>5792</v>
      </c>
      <c r="CW156" s="205" t="s">
        <v>5792</v>
      </c>
      <c r="CX156" s="206" t="s">
        <v>5792</v>
      </c>
      <c r="CY156" s="204" t="s">
        <v>5792</v>
      </c>
      <c r="CZ156" s="205" t="s">
        <v>5792</v>
      </c>
      <c r="DA156" s="206" t="s">
        <v>5792</v>
      </c>
      <c r="DB156" s="282" t="s">
        <v>5792</v>
      </c>
      <c r="DC156" s="302" t="s">
        <v>5958</v>
      </c>
      <c r="DD156" s="302">
        <v>640</v>
      </c>
      <c r="DE156" s="30">
        <v>730</v>
      </c>
      <c r="DF156" s="12">
        <v>800</v>
      </c>
      <c r="DG156" s="30">
        <v>940</v>
      </c>
      <c r="DH156" s="66">
        <v>200000</v>
      </c>
      <c r="DI156" s="244" t="s">
        <v>5959</v>
      </c>
      <c r="DJ156" s="299" t="s">
        <v>4435</v>
      </c>
      <c r="DK156" s="296" t="s">
        <v>4566</v>
      </c>
    </row>
    <row r="157" spans="1:115">
      <c r="A157" s="18">
        <v>152</v>
      </c>
      <c r="B157" s="326"/>
      <c r="C157" s="326"/>
      <c r="D157" s="326"/>
      <c r="E157" s="465"/>
      <c r="F157" s="326"/>
      <c r="G157" s="465"/>
      <c r="H157" s="329"/>
      <c r="I157" s="329"/>
      <c r="J157" s="311" t="s">
        <v>4640</v>
      </c>
      <c r="K157" s="306" t="s">
        <v>4383</v>
      </c>
      <c r="L157" s="163" t="s">
        <v>5792</v>
      </c>
      <c r="M157" s="306" t="s">
        <v>4509</v>
      </c>
      <c r="N157" s="163" t="s">
        <v>4703</v>
      </c>
      <c r="O157" s="18" t="s">
        <v>4507</v>
      </c>
      <c r="P157" s="306" t="s">
        <v>4420</v>
      </c>
      <c r="Q157" s="163" t="s">
        <v>4420</v>
      </c>
      <c r="R157" s="303" t="s">
        <v>6169</v>
      </c>
      <c r="S157" s="163">
        <v>6</v>
      </c>
      <c r="T157" s="163" t="s">
        <v>4420</v>
      </c>
      <c r="U157" s="163" t="s">
        <v>5792</v>
      </c>
      <c r="V157" s="163" t="s">
        <v>4559</v>
      </c>
      <c r="W157" s="18">
        <v>6</v>
      </c>
      <c r="X157" s="230">
        <v>0</v>
      </c>
      <c r="Y157" s="18">
        <v>0</v>
      </c>
      <c r="Z157" s="303" t="s">
        <v>5060</v>
      </c>
      <c r="AA157" s="21">
        <f>INDEX('[2]Cross-Section Database'!$C$2:$V$2928,MATCH(Z157,'[2]Cross-Section Database'!$B$2:$B$2928,0),3)</f>
        <v>203</v>
      </c>
      <c r="AB157" s="21">
        <f>INDEX('[2]Cross-Section Database'!$C$2:$V$2928,MATCH(Z157,'[2]Cross-Section Database'!$B$2:$B$2928,0),4)</f>
        <v>203</v>
      </c>
      <c r="AC157" s="21">
        <f>INDEX('[2]Cross-Section Database'!$C$2:$V$2928,MATCH(Z157,'[2]Cross-Section Database'!$B$2:$B$2928,0),6)</f>
        <v>11</v>
      </c>
      <c r="AD157" s="21">
        <f>INDEX('[2]Cross-Section Database'!$C$2:$V$2928,MATCH(Z157,'[2]Cross-Section Database'!$B$2:$B$2928,0),5)</f>
        <v>7.3</v>
      </c>
      <c r="AE157" s="46">
        <v>1250</v>
      </c>
      <c r="AF157" s="306" t="s">
        <v>5082</v>
      </c>
      <c r="AG157" s="21">
        <f>INDEX('[2]Cross-Section Database'!$C$2:$V$23928,MATCH(AF157,'[2]Cross-Section Database'!$B$2:$B$3928,0),3)</f>
        <v>203</v>
      </c>
      <c r="AH157" s="21">
        <f>INDEX('[2]Cross-Section Database'!$C$2:$V$3928,MATCH(AF157,'[2]Cross-Section Database'!$B$2:$B$3928,0),4)</f>
        <v>133</v>
      </c>
      <c r="AI157" s="21">
        <f>INDEX('[2]Cross-Section Database'!$C$2:$V$3928,MATCH(AF157,'[2]Cross-Section Database'!$B$2:$B$3928,0),6)</f>
        <v>7.8</v>
      </c>
      <c r="AJ157" s="21">
        <f>INDEX('[2]Cross-Section Database'!$C$2:$V$3928,MATCH(AF157,'[2]Cross-Section Database'!$B$2:$B$3928,0),5)</f>
        <v>5.8</v>
      </c>
      <c r="AK157" s="21">
        <v>691</v>
      </c>
      <c r="AL157" s="21">
        <f>INDEX('[2]Cross-Section Database'!$C$2:$V$3928,MATCH(AF157,'[2]Cross-Section Database'!$B$2:$B$3928,0),11)</f>
        <v>23600000</v>
      </c>
      <c r="AM157" s="24">
        <f>INDEX('[2]Cross-Section Database'!$C$2:$V$3928,MATCH(AF157,'[2]Cross-Section Database'!$B$2:$B$3928,0),12)</f>
        <v>260000</v>
      </c>
      <c r="AN157" s="54">
        <v>16</v>
      </c>
      <c r="AO157" s="46">
        <v>200</v>
      </c>
      <c r="AP157" s="46">
        <v>203</v>
      </c>
      <c r="AQ157" s="46">
        <v>0</v>
      </c>
      <c r="AR157" s="52">
        <v>0</v>
      </c>
      <c r="AS157" s="306" t="s">
        <v>5807</v>
      </c>
      <c r="AT157" s="163" t="s">
        <v>5960</v>
      </c>
      <c r="AU157" s="303">
        <v>130</v>
      </c>
      <c r="AV157" s="303">
        <v>20</v>
      </c>
      <c r="AW157" s="163">
        <f t="shared" si="38"/>
        <v>245</v>
      </c>
      <c r="AX157" s="46">
        <v>67.8</v>
      </c>
      <c r="AY157" s="46">
        <v>67.8</v>
      </c>
      <c r="AZ157" s="46">
        <v>0</v>
      </c>
      <c r="BA157" s="46">
        <v>140</v>
      </c>
      <c r="BB157" s="46">
        <f t="shared" ref="BB157:BB159" si="43">AP157-AX157-AY157-AZ157</f>
        <v>67.399999999999991</v>
      </c>
      <c r="BC157" s="240" t="s">
        <v>4470</v>
      </c>
      <c r="BD157" s="163" t="s">
        <v>6209</v>
      </c>
      <c r="BE157" s="163" t="s">
        <v>6209</v>
      </c>
      <c r="BF157" s="163">
        <v>2</v>
      </c>
      <c r="BG157" s="303">
        <v>4</v>
      </c>
      <c r="BH157" s="202" t="s">
        <v>5792</v>
      </c>
      <c r="BI157" s="203" t="s">
        <v>5792</v>
      </c>
      <c r="BJ157" s="203" t="s">
        <v>5792</v>
      </c>
      <c r="BK157" s="203" t="s">
        <v>5792</v>
      </c>
      <c r="BL157" s="203" t="s">
        <v>5792</v>
      </c>
      <c r="BM157" s="203" t="s">
        <v>5792</v>
      </c>
      <c r="BN157" s="203" t="s">
        <v>5792</v>
      </c>
      <c r="BO157" s="203" t="s">
        <v>5792</v>
      </c>
      <c r="BP157" s="202" t="s">
        <v>5792</v>
      </c>
      <c r="BQ157" s="203" t="s">
        <v>5792</v>
      </c>
      <c r="BR157" s="203" t="s">
        <v>5792</v>
      </c>
      <c r="BS157" s="203" t="s">
        <v>5792</v>
      </c>
      <c r="BT157" s="203" t="s">
        <v>5792</v>
      </c>
      <c r="BU157" s="203" t="s">
        <v>5792</v>
      </c>
      <c r="BV157" s="218" t="s">
        <v>5792</v>
      </c>
      <c r="BW157" s="202" t="s">
        <v>5792</v>
      </c>
      <c r="BX157" s="203" t="s">
        <v>5792</v>
      </c>
      <c r="BY157" s="203" t="s">
        <v>5792</v>
      </c>
      <c r="BZ157" s="203" t="s">
        <v>5792</v>
      </c>
      <c r="CA157" s="203" t="s">
        <v>5792</v>
      </c>
      <c r="CB157" s="218" t="s">
        <v>5792</v>
      </c>
      <c r="CC157" s="300" t="s">
        <v>5957</v>
      </c>
      <c r="CD157" s="303">
        <v>250</v>
      </c>
      <c r="CE157" s="46">
        <v>299</v>
      </c>
      <c r="CF157" s="46">
        <v>400</v>
      </c>
      <c r="CG157" s="33">
        <f t="shared" ref="CG157:CG159" si="44">CF157*1.1</f>
        <v>440.00000000000006</v>
      </c>
      <c r="CH157" s="67">
        <v>200000</v>
      </c>
      <c r="CI157" s="303" t="s">
        <v>5957</v>
      </c>
      <c r="CJ157" s="303">
        <v>250</v>
      </c>
      <c r="CK157" s="46">
        <v>299</v>
      </c>
      <c r="CL157" s="46">
        <v>400</v>
      </c>
      <c r="CM157" s="33">
        <f t="shared" ref="CM157:CM159" si="45">CL157*1.1</f>
        <v>440.00000000000006</v>
      </c>
      <c r="CN157" s="67">
        <v>200000</v>
      </c>
      <c r="CO157" s="303" t="s">
        <v>5957</v>
      </c>
      <c r="CP157" s="303">
        <v>250</v>
      </c>
      <c r="CQ157" s="46">
        <v>299</v>
      </c>
      <c r="CR157" s="46">
        <v>400</v>
      </c>
      <c r="CS157" s="33">
        <f t="shared" ref="CS157:CS159" si="46">CR157*1.1</f>
        <v>440.00000000000006</v>
      </c>
      <c r="CT157" s="67">
        <v>200000</v>
      </c>
      <c r="CU157" s="207" t="s">
        <v>5792</v>
      </c>
      <c r="CV157" s="208" t="s">
        <v>5792</v>
      </c>
      <c r="CW157" s="208" t="s">
        <v>5792</v>
      </c>
      <c r="CX157" s="209" t="s">
        <v>5792</v>
      </c>
      <c r="CY157" s="207" t="s">
        <v>5792</v>
      </c>
      <c r="CZ157" s="208" t="s">
        <v>5792</v>
      </c>
      <c r="DA157" s="209" t="s">
        <v>5792</v>
      </c>
      <c r="DB157" s="283" t="s">
        <v>5792</v>
      </c>
      <c r="DC157" s="303" t="s">
        <v>5958</v>
      </c>
      <c r="DD157" s="303">
        <v>640</v>
      </c>
      <c r="DE157" s="32">
        <v>730</v>
      </c>
      <c r="DF157" s="10">
        <v>800</v>
      </c>
      <c r="DG157" s="32">
        <v>940</v>
      </c>
      <c r="DH157" s="67">
        <v>200000</v>
      </c>
      <c r="DI157" s="243" t="s">
        <v>5959</v>
      </c>
      <c r="DJ157" s="300" t="s">
        <v>4435</v>
      </c>
      <c r="DK157" s="297" t="s">
        <v>4566</v>
      </c>
    </row>
    <row r="158" spans="1:115">
      <c r="A158" s="18">
        <v>153</v>
      </c>
      <c r="B158" s="326"/>
      <c r="C158" s="326"/>
      <c r="D158" s="326"/>
      <c r="E158" s="465"/>
      <c r="F158" s="326"/>
      <c r="G158" s="465"/>
      <c r="H158" s="329"/>
      <c r="I158" s="329"/>
      <c r="J158" s="311" t="s">
        <v>4641</v>
      </c>
      <c r="K158" s="306" t="s">
        <v>4383</v>
      </c>
      <c r="L158" s="163" t="s">
        <v>5792</v>
      </c>
      <c r="M158" s="306" t="s">
        <v>4509</v>
      </c>
      <c r="N158" s="163" t="s">
        <v>4703</v>
      </c>
      <c r="O158" s="18" t="s">
        <v>4507</v>
      </c>
      <c r="P158" s="306" t="s">
        <v>4420</v>
      </c>
      <c r="Q158" s="163" t="s">
        <v>4420</v>
      </c>
      <c r="R158" s="303" t="s">
        <v>6169</v>
      </c>
      <c r="S158" s="163">
        <v>6</v>
      </c>
      <c r="T158" s="163" t="s">
        <v>4420</v>
      </c>
      <c r="U158" s="163" t="s">
        <v>5792</v>
      </c>
      <c r="V158" s="163" t="s">
        <v>4559</v>
      </c>
      <c r="W158" s="18">
        <v>6</v>
      </c>
      <c r="X158" s="230">
        <v>0</v>
      </c>
      <c r="Y158" s="18">
        <v>0</v>
      </c>
      <c r="Z158" s="303" t="s">
        <v>5060</v>
      </c>
      <c r="AA158" s="21">
        <f>INDEX('[2]Cross-Section Database'!$C$2:$V$2928,MATCH(Z158,'[2]Cross-Section Database'!$B$2:$B$2928,0),3)</f>
        <v>203</v>
      </c>
      <c r="AB158" s="21">
        <f>INDEX('[2]Cross-Section Database'!$C$2:$V$2928,MATCH(Z158,'[2]Cross-Section Database'!$B$2:$B$2928,0),4)</f>
        <v>203</v>
      </c>
      <c r="AC158" s="21">
        <f>INDEX('[2]Cross-Section Database'!$C$2:$V$2928,MATCH(Z158,'[2]Cross-Section Database'!$B$2:$B$2928,0),6)</f>
        <v>11</v>
      </c>
      <c r="AD158" s="21">
        <f>INDEX('[2]Cross-Section Database'!$C$2:$V$2928,MATCH(Z158,'[2]Cross-Section Database'!$B$2:$B$2928,0),5)</f>
        <v>7.3</v>
      </c>
      <c r="AE158" s="46">
        <v>1250</v>
      </c>
      <c r="AF158" s="306" t="s">
        <v>5082</v>
      </c>
      <c r="AG158" s="21">
        <f>INDEX('[2]Cross-Section Database'!$C$2:$V$23928,MATCH(AF158,'[2]Cross-Section Database'!$B$2:$B$3928,0),3)</f>
        <v>203</v>
      </c>
      <c r="AH158" s="21">
        <f>INDEX('[2]Cross-Section Database'!$C$2:$V$3928,MATCH(AF158,'[2]Cross-Section Database'!$B$2:$B$3928,0),4)</f>
        <v>133</v>
      </c>
      <c r="AI158" s="21">
        <f>INDEX('[2]Cross-Section Database'!$C$2:$V$3928,MATCH(AF158,'[2]Cross-Section Database'!$B$2:$B$3928,0),6)</f>
        <v>7.8</v>
      </c>
      <c r="AJ158" s="21">
        <f>INDEX('[2]Cross-Section Database'!$C$2:$V$3928,MATCH(AF158,'[2]Cross-Section Database'!$B$2:$B$3928,0),5)</f>
        <v>5.8</v>
      </c>
      <c r="AK158" s="21">
        <v>695</v>
      </c>
      <c r="AL158" s="21">
        <f>INDEX('[2]Cross-Section Database'!$C$2:$V$3928,MATCH(AF158,'[2]Cross-Section Database'!$B$2:$B$3928,0),11)</f>
        <v>23600000</v>
      </c>
      <c r="AM158" s="24">
        <f>INDEX('[2]Cross-Section Database'!$C$2:$V$3928,MATCH(AF158,'[2]Cross-Section Database'!$B$2:$B$3928,0),12)</f>
        <v>260000</v>
      </c>
      <c r="AN158" s="54">
        <v>20</v>
      </c>
      <c r="AO158" s="46">
        <v>200</v>
      </c>
      <c r="AP158" s="46">
        <v>203</v>
      </c>
      <c r="AQ158" s="46">
        <v>0</v>
      </c>
      <c r="AR158" s="52">
        <v>0</v>
      </c>
      <c r="AS158" s="306" t="s">
        <v>5807</v>
      </c>
      <c r="AT158" s="163" t="s">
        <v>5956</v>
      </c>
      <c r="AU158" s="303">
        <v>80</v>
      </c>
      <c r="AV158" s="303">
        <v>16</v>
      </c>
      <c r="AW158" s="163">
        <f t="shared" si="38"/>
        <v>157</v>
      </c>
      <c r="AX158" s="46">
        <v>67.8</v>
      </c>
      <c r="AY158" s="46">
        <v>67.8</v>
      </c>
      <c r="AZ158" s="46">
        <v>0</v>
      </c>
      <c r="BA158" s="46">
        <v>140</v>
      </c>
      <c r="BB158" s="46">
        <f t="shared" si="43"/>
        <v>67.399999999999991</v>
      </c>
      <c r="BC158" s="240" t="s">
        <v>4470</v>
      </c>
      <c r="BD158" s="163" t="s">
        <v>6209</v>
      </c>
      <c r="BE158" s="163" t="s">
        <v>6209</v>
      </c>
      <c r="BF158" s="163">
        <v>2</v>
      </c>
      <c r="BG158" s="303">
        <v>4</v>
      </c>
      <c r="BH158" s="202" t="s">
        <v>5792</v>
      </c>
      <c r="BI158" s="203" t="s">
        <v>5792</v>
      </c>
      <c r="BJ158" s="203" t="s">
        <v>5792</v>
      </c>
      <c r="BK158" s="203" t="s">
        <v>5792</v>
      </c>
      <c r="BL158" s="203" t="s">
        <v>5792</v>
      </c>
      <c r="BM158" s="203" t="s">
        <v>5792</v>
      </c>
      <c r="BN158" s="203" t="s">
        <v>5792</v>
      </c>
      <c r="BO158" s="203" t="s">
        <v>5792</v>
      </c>
      <c r="BP158" s="202" t="s">
        <v>5792</v>
      </c>
      <c r="BQ158" s="203" t="s">
        <v>5792</v>
      </c>
      <c r="BR158" s="203" t="s">
        <v>5792</v>
      </c>
      <c r="BS158" s="203" t="s">
        <v>5792</v>
      </c>
      <c r="BT158" s="203" t="s">
        <v>5792</v>
      </c>
      <c r="BU158" s="203" t="s">
        <v>5792</v>
      </c>
      <c r="BV158" s="218" t="s">
        <v>5792</v>
      </c>
      <c r="BW158" s="202" t="s">
        <v>5792</v>
      </c>
      <c r="BX158" s="203" t="s">
        <v>5792</v>
      </c>
      <c r="BY158" s="203" t="s">
        <v>5792</v>
      </c>
      <c r="BZ158" s="203" t="s">
        <v>5792</v>
      </c>
      <c r="CA158" s="203" t="s">
        <v>5792</v>
      </c>
      <c r="CB158" s="218" t="s">
        <v>5792</v>
      </c>
      <c r="CC158" s="300" t="s">
        <v>5957</v>
      </c>
      <c r="CD158" s="303">
        <v>250</v>
      </c>
      <c r="CE158" s="46">
        <v>299</v>
      </c>
      <c r="CF158" s="46">
        <v>400</v>
      </c>
      <c r="CG158" s="33">
        <f t="shared" si="44"/>
        <v>440.00000000000006</v>
      </c>
      <c r="CH158" s="67">
        <v>200000</v>
      </c>
      <c r="CI158" s="303" t="s">
        <v>5957</v>
      </c>
      <c r="CJ158" s="303">
        <v>250</v>
      </c>
      <c r="CK158" s="46">
        <v>299</v>
      </c>
      <c r="CL158" s="46">
        <v>400</v>
      </c>
      <c r="CM158" s="33">
        <f t="shared" si="45"/>
        <v>440.00000000000006</v>
      </c>
      <c r="CN158" s="67">
        <v>200000</v>
      </c>
      <c r="CO158" s="303" t="s">
        <v>5957</v>
      </c>
      <c r="CP158" s="303">
        <v>250</v>
      </c>
      <c r="CQ158" s="46">
        <v>299</v>
      </c>
      <c r="CR158" s="46">
        <v>400</v>
      </c>
      <c r="CS158" s="33">
        <f t="shared" si="46"/>
        <v>440.00000000000006</v>
      </c>
      <c r="CT158" s="67">
        <v>200000</v>
      </c>
      <c r="CU158" s="207" t="s">
        <v>5792</v>
      </c>
      <c r="CV158" s="208" t="s">
        <v>5792</v>
      </c>
      <c r="CW158" s="208" t="s">
        <v>5792</v>
      </c>
      <c r="CX158" s="209" t="s">
        <v>5792</v>
      </c>
      <c r="CY158" s="207" t="s">
        <v>5792</v>
      </c>
      <c r="CZ158" s="208" t="s">
        <v>5792</v>
      </c>
      <c r="DA158" s="209" t="s">
        <v>5792</v>
      </c>
      <c r="DB158" s="283" t="s">
        <v>5792</v>
      </c>
      <c r="DC158" s="303" t="s">
        <v>5958</v>
      </c>
      <c r="DD158" s="303">
        <v>640</v>
      </c>
      <c r="DE158" s="32">
        <v>730</v>
      </c>
      <c r="DF158" s="10">
        <v>800</v>
      </c>
      <c r="DG158" s="32">
        <v>940</v>
      </c>
      <c r="DH158" s="67">
        <v>200000</v>
      </c>
      <c r="DI158" s="243" t="s">
        <v>4765</v>
      </c>
      <c r="DJ158" s="300" t="s">
        <v>4435</v>
      </c>
      <c r="DK158" s="297" t="s">
        <v>4566</v>
      </c>
    </row>
    <row r="159" spans="1:115" ht="16.2" thickBot="1">
      <c r="A159" s="14">
        <v>154</v>
      </c>
      <c r="B159" s="327"/>
      <c r="C159" s="327"/>
      <c r="D159" s="327"/>
      <c r="E159" s="466"/>
      <c r="F159" s="327"/>
      <c r="G159" s="466"/>
      <c r="H159" s="330"/>
      <c r="I159" s="330"/>
      <c r="J159" s="312" t="s">
        <v>5954</v>
      </c>
      <c r="K159" s="143" t="s">
        <v>4383</v>
      </c>
      <c r="L159" s="164" t="s">
        <v>5792</v>
      </c>
      <c r="M159" s="143" t="s">
        <v>4509</v>
      </c>
      <c r="N159" s="164" t="s">
        <v>4703</v>
      </c>
      <c r="O159" s="14" t="s">
        <v>4507</v>
      </c>
      <c r="P159" s="143" t="s">
        <v>4420</v>
      </c>
      <c r="Q159" s="164" t="s">
        <v>4420</v>
      </c>
      <c r="R159" s="304" t="s">
        <v>6169</v>
      </c>
      <c r="S159" s="164">
        <v>6</v>
      </c>
      <c r="T159" s="164" t="s">
        <v>4420</v>
      </c>
      <c r="U159" s="164" t="s">
        <v>5792</v>
      </c>
      <c r="V159" s="164" t="s">
        <v>4559</v>
      </c>
      <c r="W159" s="14">
        <v>6</v>
      </c>
      <c r="X159" s="235">
        <v>0</v>
      </c>
      <c r="Y159" s="14">
        <v>0</v>
      </c>
      <c r="Z159" s="304" t="s">
        <v>5060</v>
      </c>
      <c r="AA159" s="23">
        <f>INDEX('[2]Cross-Section Database'!$C$2:$V$2928,MATCH(Z159,'[2]Cross-Section Database'!$B$2:$B$2928,0),3)</f>
        <v>203</v>
      </c>
      <c r="AB159" s="23">
        <f>INDEX('[2]Cross-Section Database'!$C$2:$V$2928,MATCH(Z159,'[2]Cross-Section Database'!$B$2:$B$2928,0),4)</f>
        <v>203</v>
      </c>
      <c r="AC159" s="23">
        <f>INDEX('[2]Cross-Section Database'!$C$2:$V$2928,MATCH(Z159,'[2]Cross-Section Database'!$B$2:$B$2928,0),6)</f>
        <v>11</v>
      </c>
      <c r="AD159" s="23">
        <f>INDEX('[2]Cross-Section Database'!$C$2:$V$2928,MATCH(Z159,'[2]Cross-Section Database'!$B$2:$B$2928,0),5)</f>
        <v>7.3</v>
      </c>
      <c r="AE159" s="23">
        <v>1250</v>
      </c>
      <c r="AF159" s="143" t="s">
        <v>5082</v>
      </c>
      <c r="AG159" s="23">
        <f>INDEX('[2]Cross-Section Database'!$C$2:$V$23928,MATCH(AF159,'[2]Cross-Section Database'!$B$2:$B$3928,0),3)</f>
        <v>203</v>
      </c>
      <c r="AH159" s="23">
        <f>INDEX('[2]Cross-Section Database'!$C$2:$V$3928,MATCH(AF159,'[2]Cross-Section Database'!$B$2:$B$3928,0),4)</f>
        <v>133</v>
      </c>
      <c r="AI159" s="23">
        <f>INDEX('[2]Cross-Section Database'!$C$2:$V$3928,MATCH(AF159,'[2]Cross-Section Database'!$B$2:$B$3928,0),6)</f>
        <v>7.8</v>
      </c>
      <c r="AJ159" s="23">
        <f>INDEX('[2]Cross-Section Database'!$C$2:$V$3928,MATCH(AF159,'[2]Cross-Section Database'!$B$2:$B$3928,0),5)</f>
        <v>5.8</v>
      </c>
      <c r="AK159" s="23">
        <v>695</v>
      </c>
      <c r="AL159" s="21">
        <f>INDEX('[2]Cross-Section Database'!$C$2:$V$3928,MATCH(AF159,'[2]Cross-Section Database'!$B$2:$B$3928,0),11)</f>
        <v>23600000</v>
      </c>
      <c r="AM159" s="24">
        <f>INDEX('[2]Cross-Section Database'!$C$2:$V$3928,MATCH(AF159,'[2]Cross-Section Database'!$B$2:$B$3928,0),12)</f>
        <v>260000</v>
      </c>
      <c r="AN159" s="55">
        <v>20</v>
      </c>
      <c r="AO159" s="56">
        <v>200</v>
      </c>
      <c r="AP159" s="56">
        <v>203</v>
      </c>
      <c r="AQ159" s="56">
        <v>0</v>
      </c>
      <c r="AR159" s="57">
        <v>0</v>
      </c>
      <c r="AS159" s="143" t="s">
        <v>5807</v>
      </c>
      <c r="AT159" s="164" t="s">
        <v>5960</v>
      </c>
      <c r="AU159" s="164">
        <v>130</v>
      </c>
      <c r="AV159" s="304">
        <v>20</v>
      </c>
      <c r="AW159" s="164">
        <f t="shared" si="38"/>
        <v>245</v>
      </c>
      <c r="AX159" s="56">
        <v>67.8</v>
      </c>
      <c r="AY159" s="56">
        <v>67.8</v>
      </c>
      <c r="AZ159" s="56">
        <v>0</v>
      </c>
      <c r="BA159" s="56">
        <v>140</v>
      </c>
      <c r="BB159" s="56">
        <f t="shared" si="43"/>
        <v>67.399999999999991</v>
      </c>
      <c r="BC159" s="242" t="s">
        <v>4470</v>
      </c>
      <c r="BD159" s="164" t="s">
        <v>6209</v>
      </c>
      <c r="BE159" s="164" t="s">
        <v>6209</v>
      </c>
      <c r="BF159" s="164">
        <v>2</v>
      </c>
      <c r="BG159" s="304">
        <v>4</v>
      </c>
      <c r="BH159" s="197" t="s">
        <v>5792</v>
      </c>
      <c r="BI159" s="198" t="s">
        <v>5792</v>
      </c>
      <c r="BJ159" s="198" t="s">
        <v>5792</v>
      </c>
      <c r="BK159" s="198" t="s">
        <v>5792</v>
      </c>
      <c r="BL159" s="198" t="s">
        <v>5792</v>
      </c>
      <c r="BM159" s="198" t="s">
        <v>5792</v>
      </c>
      <c r="BN159" s="198" t="s">
        <v>5792</v>
      </c>
      <c r="BO159" s="198" t="s">
        <v>5792</v>
      </c>
      <c r="BP159" s="197" t="s">
        <v>5792</v>
      </c>
      <c r="BQ159" s="198" t="s">
        <v>5792</v>
      </c>
      <c r="BR159" s="198" t="s">
        <v>5792</v>
      </c>
      <c r="BS159" s="198" t="s">
        <v>5792</v>
      </c>
      <c r="BT159" s="198" t="s">
        <v>5792</v>
      </c>
      <c r="BU159" s="198" t="s">
        <v>5792</v>
      </c>
      <c r="BV159" s="220" t="s">
        <v>5792</v>
      </c>
      <c r="BW159" s="197" t="s">
        <v>5792</v>
      </c>
      <c r="BX159" s="198" t="s">
        <v>5792</v>
      </c>
      <c r="BY159" s="198" t="s">
        <v>5792</v>
      </c>
      <c r="BZ159" s="198" t="s">
        <v>5792</v>
      </c>
      <c r="CA159" s="198" t="s">
        <v>5792</v>
      </c>
      <c r="CB159" s="220" t="s">
        <v>5792</v>
      </c>
      <c r="CC159" s="301" t="s">
        <v>5957</v>
      </c>
      <c r="CD159" s="304">
        <v>250</v>
      </c>
      <c r="CE159" s="56">
        <v>299</v>
      </c>
      <c r="CF159" s="56">
        <v>400</v>
      </c>
      <c r="CG159" s="35">
        <f t="shared" si="44"/>
        <v>440.00000000000006</v>
      </c>
      <c r="CH159" s="70">
        <v>200000</v>
      </c>
      <c r="CI159" s="304" t="s">
        <v>5957</v>
      </c>
      <c r="CJ159" s="304">
        <v>250</v>
      </c>
      <c r="CK159" s="56">
        <v>299</v>
      </c>
      <c r="CL159" s="56">
        <v>400</v>
      </c>
      <c r="CM159" s="35">
        <f t="shared" si="45"/>
        <v>440.00000000000006</v>
      </c>
      <c r="CN159" s="70">
        <v>200000</v>
      </c>
      <c r="CO159" s="304" t="s">
        <v>5957</v>
      </c>
      <c r="CP159" s="304">
        <v>250</v>
      </c>
      <c r="CQ159" s="56">
        <v>299</v>
      </c>
      <c r="CR159" s="56">
        <v>400</v>
      </c>
      <c r="CS159" s="35">
        <f t="shared" si="46"/>
        <v>440.00000000000006</v>
      </c>
      <c r="CT159" s="70">
        <v>200000</v>
      </c>
      <c r="CU159" s="210" t="s">
        <v>5792</v>
      </c>
      <c r="CV159" s="211" t="s">
        <v>5792</v>
      </c>
      <c r="CW159" s="211" t="s">
        <v>5792</v>
      </c>
      <c r="CX159" s="212" t="s">
        <v>5792</v>
      </c>
      <c r="CY159" s="210" t="s">
        <v>5792</v>
      </c>
      <c r="CZ159" s="211" t="s">
        <v>5792</v>
      </c>
      <c r="DA159" s="212" t="s">
        <v>5792</v>
      </c>
      <c r="DB159" s="284" t="s">
        <v>5792</v>
      </c>
      <c r="DC159" s="304" t="s">
        <v>5958</v>
      </c>
      <c r="DD159" s="304">
        <v>640</v>
      </c>
      <c r="DE159" s="34">
        <v>730</v>
      </c>
      <c r="DF159" s="13">
        <v>800</v>
      </c>
      <c r="DG159" s="34">
        <v>940</v>
      </c>
      <c r="DH159" s="70">
        <v>200000</v>
      </c>
      <c r="DI159" s="245" t="s">
        <v>4765</v>
      </c>
      <c r="DJ159" s="301" t="s">
        <v>4435</v>
      </c>
      <c r="DK159" s="298" t="s">
        <v>4566</v>
      </c>
    </row>
    <row r="160" spans="1:115" ht="15.6" customHeight="1">
      <c r="A160" s="17">
        <v>155</v>
      </c>
      <c r="B160" s="325">
        <v>22</v>
      </c>
      <c r="C160" s="325">
        <v>1994</v>
      </c>
      <c r="D160" s="345" t="s">
        <v>4673</v>
      </c>
      <c r="E160" s="333" t="s">
        <v>4859</v>
      </c>
      <c r="F160" s="325">
        <v>6</v>
      </c>
      <c r="G160" s="328" t="s">
        <v>5913</v>
      </c>
      <c r="H160" s="325" t="s">
        <v>5902</v>
      </c>
      <c r="I160" s="325" t="s">
        <v>4577</v>
      </c>
      <c r="J160" s="313" t="s">
        <v>4607</v>
      </c>
      <c r="K160" s="305" t="s">
        <v>4383</v>
      </c>
      <c r="L160" s="162" t="s">
        <v>5792</v>
      </c>
      <c r="M160" s="305" t="s">
        <v>4508</v>
      </c>
      <c r="N160" s="162" t="s">
        <v>4702</v>
      </c>
      <c r="O160" s="17" t="s">
        <v>4507</v>
      </c>
      <c r="P160" s="162" t="s">
        <v>4470</v>
      </c>
      <c r="Q160" s="162" t="s">
        <v>4420</v>
      </c>
      <c r="R160" s="162" t="s">
        <v>4420</v>
      </c>
      <c r="S160" s="162" t="s">
        <v>5792</v>
      </c>
      <c r="T160" s="162" t="s">
        <v>4420</v>
      </c>
      <c r="U160" s="162" t="s">
        <v>5792</v>
      </c>
      <c r="V160" s="30" t="s">
        <v>4559</v>
      </c>
      <c r="W160" s="88">
        <v>10</v>
      </c>
      <c r="X160" s="231">
        <v>0</v>
      </c>
      <c r="Y160" s="142">
        <v>0</v>
      </c>
      <c r="Z160" s="305" t="s">
        <v>6315</v>
      </c>
      <c r="AA160" s="16">
        <f>INDEX('[2]Cross-Section Database'!$C$2:$V$2928,MATCH(Z160,'[2]Cross-Section Database'!$B$2:$B$2928,0),3)</f>
        <v>206.2</v>
      </c>
      <c r="AB160" s="16">
        <f>INDEX('[2]Cross-Section Database'!$C$2:$V$2928,MATCH(Z160,'[2]Cross-Section Database'!$B$2:$B$2928,0),4)</f>
        <v>204.3</v>
      </c>
      <c r="AC160" s="16">
        <f>INDEX('[2]Cross-Section Database'!$C$2:$V$2928,MATCH(Z160,'[2]Cross-Section Database'!$B$2:$B$2928,0),6)</f>
        <v>12.5</v>
      </c>
      <c r="AD160" s="16">
        <f>INDEX('[2]Cross-Section Database'!$C$2:$V$2928,MATCH(Z160,'[2]Cross-Section Database'!$B$2:$B$2928,0),5)</f>
        <v>7.9</v>
      </c>
      <c r="AE160" s="16">
        <v>1220</v>
      </c>
      <c r="AF160" s="305" t="s">
        <v>4217</v>
      </c>
      <c r="AG160" s="16">
        <f>INDEX('[2]Cross-Section Database'!$C$2:$V$2928,MATCH(AF160,'[2]Cross-Section Database'!$B$2:$B$2928,0),3)</f>
        <v>303.39999999999998</v>
      </c>
      <c r="AH160" s="16">
        <f>INDEX('[2]Cross-Section Database'!$C$2:$V$2928,MATCH(AF160,'[2]Cross-Section Database'!$B$2:$B$2928,0),4)</f>
        <v>165</v>
      </c>
      <c r="AI160" s="16">
        <f>INDEX('[2]Cross-Section Database'!$C$2:$V$2928,MATCH(AF160,'[2]Cross-Section Database'!$B$2:$B$2928,0),6)</f>
        <v>10.199999999999999</v>
      </c>
      <c r="AJ160" s="16">
        <f>INDEX('[2]Cross-Section Database'!$C$2:$V$2928,MATCH(AF160,'[2]Cross-Section Database'!$B$2:$B$2928,0),5)</f>
        <v>6</v>
      </c>
      <c r="AK160" s="16">
        <v>1500</v>
      </c>
      <c r="AL160" s="16">
        <f>INDEX('[2]Cross-Section Database'!$C$2:$V$3928,MATCH(AF160,'[2]Cross-Section Database'!$B$2:$B$3928,0),11)</f>
        <v>85030000</v>
      </c>
      <c r="AM160" s="26">
        <f>INDEX('[2]Cross-Section Database'!$C$2:$V$3928,MATCH(AF160,'[2]Cross-Section Database'!$B$2:$B$3928,0),12)</f>
        <v>623100</v>
      </c>
      <c r="AN160" s="16">
        <v>10</v>
      </c>
      <c r="AO160" s="16">
        <v>150</v>
      </c>
      <c r="AP160" s="16">
        <v>285</v>
      </c>
      <c r="AQ160" s="16">
        <v>0</v>
      </c>
      <c r="AR160" s="162">
        <v>0</v>
      </c>
      <c r="AS160" s="305" t="s">
        <v>5807</v>
      </c>
      <c r="AT160" s="162" t="s">
        <v>4613</v>
      </c>
      <c r="AU160" s="162">
        <f t="shared" ref="AU160:AU165" si="47">150/AV160/0.25</f>
        <v>30</v>
      </c>
      <c r="AV160" s="162">
        <v>20</v>
      </c>
      <c r="AW160" s="162">
        <f t="shared" si="38"/>
        <v>245</v>
      </c>
      <c r="AX160" s="16">
        <v>69.2</v>
      </c>
      <c r="AY160" s="16">
        <f t="shared" si="34"/>
        <v>69.2</v>
      </c>
      <c r="AZ160" s="16">
        <v>55</v>
      </c>
      <c r="BA160" s="16">
        <v>90</v>
      </c>
      <c r="BB160" s="16">
        <f t="shared" ref="BB160:BB165" si="48">AP160-AX160-AY160-2*AZ160</f>
        <v>36.600000000000023</v>
      </c>
      <c r="BC160" s="22" t="s">
        <v>4420</v>
      </c>
      <c r="BD160" s="162" t="s">
        <v>4465</v>
      </c>
      <c r="BE160" s="162" t="s">
        <v>4465</v>
      </c>
      <c r="BF160" s="162">
        <v>4</v>
      </c>
      <c r="BG160" s="162">
        <v>8</v>
      </c>
      <c r="BH160" s="305">
        <v>120</v>
      </c>
      <c r="BI160" s="162">
        <v>1200</v>
      </c>
      <c r="BJ160" s="162" t="s">
        <v>6193</v>
      </c>
      <c r="BK160" s="162">
        <v>0.9</v>
      </c>
      <c r="BL160" s="162">
        <v>105</v>
      </c>
      <c r="BM160" s="162">
        <v>1137</v>
      </c>
      <c r="BN160" s="162">
        <v>46</v>
      </c>
      <c r="BO160" s="162" t="s">
        <v>4591</v>
      </c>
      <c r="BP160" s="305" t="s">
        <v>5856</v>
      </c>
      <c r="BQ160" s="162">
        <v>6</v>
      </c>
      <c r="BR160" s="162">
        <v>1</v>
      </c>
      <c r="BS160" s="162">
        <v>19</v>
      </c>
      <c r="BT160" s="162">
        <v>100</v>
      </c>
      <c r="BU160" s="30">
        <v>40</v>
      </c>
      <c r="BV160" s="17">
        <f t="shared" ref="BV160:BV165" si="49">AK160/6</f>
        <v>250</v>
      </c>
      <c r="BW160" s="162" t="s">
        <v>4574</v>
      </c>
      <c r="BX160" s="162" t="s">
        <v>4573</v>
      </c>
      <c r="BY160" s="21">
        <f>142*BI165/1000</f>
        <v>170.4</v>
      </c>
      <c r="BZ160" s="21">
        <v>0</v>
      </c>
      <c r="CA160" s="30">
        <v>20</v>
      </c>
      <c r="CB160" s="123">
        <v>0</v>
      </c>
      <c r="CC160" s="162" t="s">
        <v>5665</v>
      </c>
      <c r="CD160" s="162">
        <v>275</v>
      </c>
      <c r="CE160" s="16">
        <f t="shared" ref="CE160:CE165" si="50">(317.4+289.8)/2</f>
        <v>303.60000000000002</v>
      </c>
      <c r="CF160" s="162">
        <v>410</v>
      </c>
      <c r="CG160" s="16">
        <f t="shared" ref="CG160:CG165" si="51">(485.9+458.8)/2</f>
        <v>472.35</v>
      </c>
      <c r="CH160" s="66">
        <v>200000</v>
      </c>
      <c r="CI160" s="305" t="s">
        <v>5665</v>
      </c>
      <c r="CJ160" s="162">
        <v>275</v>
      </c>
      <c r="CK160" s="16">
        <f t="shared" ref="CK160:CK165" si="52">(377.4+314)/2</f>
        <v>345.7</v>
      </c>
      <c r="CL160" s="72">
        <v>410</v>
      </c>
      <c r="CM160" s="16">
        <f t="shared" ref="CM160:CM165" si="53">(514.8+496.6)/2</f>
        <v>505.7</v>
      </c>
      <c r="CN160" s="66">
        <v>200000</v>
      </c>
      <c r="CO160" s="30" t="s">
        <v>5665</v>
      </c>
      <c r="CP160" s="65">
        <v>275</v>
      </c>
      <c r="CQ160" s="30">
        <v>360</v>
      </c>
      <c r="CR160" s="65">
        <v>410</v>
      </c>
      <c r="CS160" s="16">
        <v>458.8</v>
      </c>
      <c r="CT160" s="61">
        <v>200000</v>
      </c>
      <c r="CU160" s="305" t="s">
        <v>5796</v>
      </c>
      <c r="CV160" s="16">
        <v>37.299999999999997</v>
      </c>
      <c r="CW160" s="16">
        <v>2.74</v>
      </c>
      <c r="CX160" s="66">
        <v>34785</v>
      </c>
      <c r="CY160" s="305">
        <v>657</v>
      </c>
      <c r="CZ160" s="162">
        <v>705</v>
      </c>
      <c r="DA160" s="66">
        <v>200000</v>
      </c>
      <c r="DB160" s="293">
        <v>280</v>
      </c>
      <c r="DC160" s="162">
        <v>8.8000000000000007</v>
      </c>
      <c r="DD160" s="162">
        <v>640</v>
      </c>
      <c r="DE160" s="30">
        <v>730</v>
      </c>
      <c r="DF160" s="162">
        <v>800</v>
      </c>
      <c r="DG160" s="32">
        <v>940</v>
      </c>
      <c r="DH160" s="76">
        <v>200000</v>
      </c>
      <c r="DI160" s="41" t="s">
        <v>4778</v>
      </c>
      <c r="DJ160" s="32" t="s">
        <v>4435</v>
      </c>
      <c r="DK160" s="297" t="s">
        <v>6219</v>
      </c>
    </row>
    <row r="161" spans="1:115">
      <c r="A161" s="18">
        <v>156</v>
      </c>
      <c r="B161" s="326"/>
      <c r="C161" s="326"/>
      <c r="D161" s="346"/>
      <c r="E161" s="334"/>
      <c r="F161" s="326"/>
      <c r="G161" s="329"/>
      <c r="H161" s="326"/>
      <c r="I161" s="326"/>
      <c r="J161" s="309" t="s">
        <v>4608</v>
      </c>
      <c r="K161" s="306" t="s">
        <v>4383</v>
      </c>
      <c r="L161" s="163" t="s">
        <v>5792</v>
      </c>
      <c r="M161" s="306" t="s">
        <v>4508</v>
      </c>
      <c r="N161" s="163" t="s">
        <v>4702</v>
      </c>
      <c r="O161" s="18" t="s">
        <v>4507</v>
      </c>
      <c r="P161" s="163" t="s">
        <v>4470</v>
      </c>
      <c r="Q161" s="163" t="s">
        <v>4420</v>
      </c>
      <c r="R161" s="163" t="s">
        <v>4420</v>
      </c>
      <c r="S161" s="163" t="s">
        <v>5792</v>
      </c>
      <c r="T161" s="163" t="s">
        <v>4420</v>
      </c>
      <c r="U161" s="163" t="s">
        <v>5792</v>
      </c>
      <c r="V161" s="32" t="s">
        <v>4559</v>
      </c>
      <c r="W161" s="73">
        <v>10</v>
      </c>
      <c r="X161" s="231">
        <v>0</v>
      </c>
      <c r="Y161" s="142">
        <v>0</v>
      </c>
      <c r="Z161" s="306" t="s">
        <v>4342</v>
      </c>
      <c r="AA161" s="21">
        <f>INDEX('[2]Cross-Section Database'!$C$2:$V$2928,MATCH(Z161,'[2]Cross-Section Database'!$B$2:$B$2928,0),3)</f>
        <v>206.2</v>
      </c>
      <c r="AB161" s="21">
        <f>INDEX('[2]Cross-Section Database'!$C$2:$V$2928,MATCH(Z161,'[2]Cross-Section Database'!$B$2:$B$2928,0),4)</f>
        <v>204.3</v>
      </c>
      <c r="AC161" s="21">
        <f>INDEX('[2]Cross-Section Database'!$C$2:$V$2928,MATCH(Z161,'[2]Cross-Section Database'!$B$2:$B$2928,0),6)</f>
        <v>12.5</v>
      </c>
      <c r="AD161" s="21">
        <f>INDEX('[2]Cross-Section Database'!$C$2:$V$2928,MATCH(Z161,'[2]Cross-Section Database'!$B$2:$B$2928,0),5)</f>
        <v>7.9</v>
      </c>
      <c r="AE161" s="21">
        <v>1220</v>
      </c>
      <c r="AF161" s="306" t="s">
        <v>4217</v>
      </c>
      <c r="AG161" s="21">
        <f>INDEX('[2]Cross-Section Database'!$C$2:$V$2928,MATCH(AF161,'[2]Cross-Section Database'!$B$2:$B$2928,0),3)</f>
        <v>303.39999999999998</v>
      </c>
      <c r="AH161" s="21">
        <f>INDEX('[2]Cross-Section Database'!$C$2:$V$2928,MATCH(AF161,'[2]Cross-Section Database'!$B$2:$B$2928,0),4)</f>
        <v>165</v>
      </c>
      <c r="AI161" s="21">
        <f>INDEX('[2]Cross-Section Database'!$C$2:$V$2928,MATCH(AF161,'[2]Cross-Section Database'!$B$2:$B$2928,0),6)</f>
        <v>10.199999999999999</v>
      </c>
      <c r="AJ161" s="21">
        <f>INDEX('[2]Cross-Section Database'!$C$2:$V$2928,MATCH(AF161,'[2]Cross-Section Database'!$B$2:$B$2928,0),5)</f>
        <v>6</v>
      </c>
      <c r="AK161" s="21">
        <v>1500</v>
      </c>
      <c r="AL161" s="21">
        <f>INDEX('[2]Cross-Section Database'!$C$2:$V$3928,MATCH(AF161,'[2]Cross-Section Database'!$B$2:$B$3928,0),11)</f>
        <v>85030000</v>
      </c>
      <c r="AM161" s="24">
        <f>INDEX('[2]Cross-Section Database'!$C$2:$V$3928,MATCH(AF161,'[2]Cross-Section Database'!$B$2:$B$3928,0),12)</f>
        <v>623100</v>
      </c>
      <c r="AN161" s="21">
        <v>10</v>
      </c>
      <c r="AO161" s="21">
        <v>150</v>
      </c>
      <c r="AP161" s="21">
        <v>285</v>
      </c>
      <c r="AQ161" s="21">
        <v>0</v>
      </c>
      <c r="AR161" s="21">
        <v>0</v>
      </c>
      <c r="AS161" s="306" t="s">
        <v>5807</v>
      </c>
      <c r="AT161" s="163" t="s">
        <v>4613</v>
      </c>
      <c r="AU161" s="163">
        <f t="shared" si="47"/>
        <v>30</v>
      </c>
      <c r="AV161" s="163">
        <v>20</v>
      </c>
      <c r="AW161" s="163">
        <f t="shared" si="38"/>
        <v>245</v>
      </c>
      <c r="AX161" s="21">
        <v>69.2</v>
      </c>
      <c r="AY161" s="21">
        <f t="shared" si="34"/>
        <v>69.2</v>
      </c>
      <c r="AZ161" s="21">
        <v>55</v>
      </c>
      <c r="BA161" s="21">
        <v>90</v>
      </c>
      <c r="BB161" s="21">
        <f t="shared" si="48"/>
        <v>36.600000000000023</v>
      </c>
      <c r="BC161" s="15" t="s">
        <v>4420</v>
      </c>
      <c r="BD161" s="163" t="s">
        <v>4465</v>
      </c>
      <c r="BE161" s="163" t="s">
        <v>4465</v>
      </c>
      <c r="BF161" s="163">
        <v>4</v>
      </c>
      <c r="BG161" s="163">
        <v>8</v>
      </c>
      <c r="BH161" s="306">
        <v>120</v>
      </c>
      <c r="BI161" s="163">
        <v>1200</v>
      </c>
      <c r="BJ161" s="163" t="s">
        <v>6193</v>
      </c>
      <c r="BK161" s="163">
        <v>0.9</v>
      </c>
      <c r="BL161" s="163">
        <v>105</v>
      </c>
      <c r="BM161" s="163">
        <v>1137</v>
      </c>
      <c r="BN161" s="163">
        <v>46</v>
      </c>
      <c r="BO161" s="163" t="s">
        <v>4591</v>
      </c>
      <c r="BP161" s="306" t="s">
        <v>5856</v>
      </c>
      <c r="BQ161" s="163">
        <v>6</v>
      </c>
      <c r="BR161" s="163">
        <v>1</v>
      </c>
      <c r="BS161" s="163">
        <v>19</v>
      </c>
      <c r="BT161" s="163">
        <v>100</v>
      </c>
      <c r="BU161" s="32">
        <v>40</v>
      </c>
      <c r="BV161" s="18">
        <f t="shared" si="49"/>
        <v>250</v>
      </c>
      <c r="BW161" s="163" t="s">
        <v>4573</v>
      </c>
      <c r="BX161" s="32" t="s">
        <v>6094</v>
      </c>
      <c r="BY161" s="21">
        <v>0</v>
      </c>
      <c r="BZ161" s="21">
        <f>10*PI()*12^2/4</f>
        <v>1130.9733552923256</v>
      </c>
      <c r="CA161" s="32">
        <v>20</v>
      </c>
      <c r="CB161" s="121">
        <v>0.01</v>
      </c>
      <c r="CC161" s="163" t="s">
        <v>5665</v>
      </c>
      <c r="CD161" s="163">
        <v>275</v>
      </c>
      <c r="CE161" s="21">
        <f t="shared" si="50"/>
        <v>303.60000000000002</v>
      </c>
      <c r="CF161" s="163">
        <v>410</v>
      </c>
      <c r="CG161" s="21">
        <f t="shared" si="51"/>
        <v>472.35</v>
      </c>
      <c r="CH161" s="67">
        <v>200000</v>
      </c>
      <c r="CI161" s="306" t="s">
        <v>5665</v>
      </c>
      <c r="CJ161" s="163">
        <v>275</v>
      </c>
      <c r="CK161" s="21">
        <f t="shared" si="52"/>
        <v>345.7</v>
      </c>
      <c r="CL161" s="47">
        <v>410</v>
      </c>
      <c r="CM161" s="21">
        <f t="shared" si="53"/>
        <v>505.7</v>
      </c>
      <c r="CN161" s="67">
        <v>200000</v>
      </c>
      <c r="CO161" s="32" t="s">
        <v>5665</v>
      </c>
      <c r="CP161" s="60">
        <v>275</v>
      </c>
      <c r="CQ161" s="32">
        <v>360</v>
      </c>
      <c r="CR161" s="60">
        <v>410</v>
      </c>
      <c r="CS161" s="21">
        <v>458.8</v>
      </c>
      <c r="CT161" s="61">
        <v>200000</v>
      </c>
      <c r="CU161" s="306" t="s">
        <v>5796</v>
      </c>
      <c r="CV161" s="21">
        <v>44.7</v>
      </c>
      <c r="CW161" s="21">
        <v>3.53</v>
      </c>
      <c r="CX161" s="67">
        <v>34785</v>
      </c>
      <c r="CY161" s="306">
        <v>657</v>
      </c>
      <c r="CZ161" s="163">
        <v>705</v>
      </c>
      <c r="DA161" s="67">
        <v>200000</v>
      </c>
      <c r="DB161" s="294">
        <v>280</v>
      </c>
      <c r="DC161" s="163">
        <v>8.8000000000000007</v>
      </c>
      <c r="DD161" s="163">
        <v>640</v>
      </c>
      <c r="DE161" s="32">
        <v>730</v>
      </c>
      <c r="DF161" s="163">
        <v>800</v>
      </c>
      <c r="DG161" s="32">
        <v>940</v>
      </c>
      <c r="DH161" s="61">
        <v>200000</v>
      </c>
      <c r="DI161" s="41" t="s">
        <v>4776</v>
      </c>
      <c r="DJ161" s="32" t="s">
        <v>4435</v>
      </c>
      <c r="DK161" s="297" t="s">
        <v>6219</v>
      </c>
    </row>
    <row r="162" spans="1:115">
      <c r="A162" s="18">
        <v>157</v>
      </c>
      <c r="B162" s="326"/>
      <c r="C162" s="326"/>
      <c r="D162" s="346"/>
      <c r="E162" s="334"/>
      <c r="F162" s="326"/>
      <c r="G162" s="329"/>
      <c r="H162" s="326"/>
      <c r="I162" s="326"/>
      <c r="J162" s="309" t="s">
        <v>4609</v>
      </c>
      <c r="K162" s="306" t="s">
        <v>4383</v>
      </c>
      <c r="L162" s="163" t="s">
        <v>5792</v>
      </c>
      <c r="M162" s="306" t="s">
        <v>4508</v>
      </c>
      <c r="N162" s="163" t="s">
        <v>4702</v>
      </c>
      <c r="O162" s="18" t="s">
        <v>4507</v>
      </c>
      <c r="P162" s="163" t="s">
        <v>4470</v>
      </c>
      <c r="Q162" s="163" t="s">
        <v>4420</v>
      </c>
      <c r="R162" s="163" t="s">
        <v>6169</v>
      </c>
      <c r="S162" s="163">
        <v>10</v>
      </c>
      <c r="T162" s="163" t="s">
        <v>4420</v>
      </c>
      <c r="U162" s="163" t="s">
        <v>5792</v>
      </c>
      <c r="V162" s="32" t="s">
        <v>4559</v>
      </c>
      <c r="W162" s="73">
        <v>10</v>
      </c>
      <c r="X162" s="231">
        <v>0</v>
      </c>
      <c r="Y162" s="142">
        <v>0</v>
      </c>
      <c r="Z162" s="306" t="s">
        <v>6315</v>
      </c>
      <c r="AA162" s="21">
        <f>INDEX('[2]Cross-Section Database'!$C$2:$V$2928,MATCH(Z162,'[2]Cross-Section Database'!$B$2:$B$2928,0),3)</f>
        <v>206.2</v>
      </c>
      <c r="AB162" s="21">
        <f>INDEX('[2]Cross-Section Database'!$C$2:$V$2928,MATCH(Z162,'[2]Cross-Section Database'!$B$2:$B$2928,0),4)</f>
        <v>204.3</v>
      </c>
      <c r="AC162" s="21">
        <f>INDEX('[2]Cross-Section Database'!$C$2:$V$2928,MATCH(Z162,'[2]Cross-Section Database'!$B$2:$B$2928,0),6)</f>
        <v>12.5</v>
      </c>
      <c r="AD162" s="21">
        <f>INDEX('[2]Cross-Section Database'!$C$2:$V$2928,MATCH(Z162,'[2]Cross-Section Database'!$B$2:$B$2928,0),5)</f>
        <v>7.9</v>
      </c>
      <c r="AE162" s="21">
        <v>1220</v>
      </c>
      <c r="AF162" s="306" t="s">
        <v>4217</v>
      </c>
      <c r="AG162" s="21">
        <f>INDEX('[2]Cross-Section Database'!$C$2:$V$2928,MATCH(AF162,'[2]Cross-Section Database'!$B$2:$B$2928,0),3)</f>
        <v>303.39999999999998</v>
      </c>
      <c r="AH162" s="21">
        <f>INDEX('[2]Cross-Section Database'!$C$2:$V$2928,MATCH(AF162,'[2]Cross-Section Database'!$B$2:$B$2928,0),4)</f>
        <v>165</v>
      </c>
      <c r="AI162" s="21">
        <f>INDEX('[2]Cross-Section Database'!$C$2:$V$2928,MATCH(AF162,'[2]Cross-Section Database'!$B$2:$B$2928,0),6)</f>
        <v>10.199999999999999</v>
      </c>
      <c r="AJ162" s="21">
        <f>INDEX('[2]Cross-Section Database'!$C$2:$V$2928,MATCH(AF162,'[2]Cross-Section Database'!$B$2:$B$2928,0),5)</f>
        <v>6</v>
      </c>
      <c r="AK162" s="21">
        <v>1500</v>
      </c>
      <c r="AL162" s="21">
        <f>INDEX('[2]Cross-Section Database'!$C$2:$V$3928,MATCH(AF162,'[2]Cross-Section Database'!$B$2:$B$3928,0),11)</f>
        <v>85030000</v>
      </c>
      <c r="AM162" s="24">
        <f>INDEX('[2]Cross-Section Database'!$C$2:$V$3928,MATCH(AF162,'[2]Cross-Section Database'!$B$2:$B$3928,0),12)</f>
        <v>623100</v>
      </c>
      <c r="AN162" s="21">
        <v>10</v>
      </c>
      <c r="AO162" s="21">
        <v>150</v>
      </c>
      <c r="AP162" s="21">
        <v>285</v>
      </c>
      <c r="AQ162" s="21">
        <v>0</v>
      </c>
      <c r="AR162" s="21">
        <v>0</v>
      </c>
      <c r="AS162" s="306" t="s">
        <v>5807</v>
      </c>
      <c r="AT162" s="163" t="s">
        <v>4613</v>
      </c>
      <c r="AU162" s="163">
        <f t="shared" si="47"/>
        <v>30</v>
      </c>
      <c r="AV162" s="163">
        <v>20</v>
      </c>
      <c r="AW162" s="163">
        <f t="shared" si="38"/>
        <v>245</v>
      </c>
      <c r="AX162" s="21">
        <v>69.2</v>
      </c>
      <c r="AY162" s="21">
        <f t="shared" si="34"/>
        <v>69.2</v>
      </c>
      <c r="AZ162" s="21">
        <v>55</v>
      </c>
      <c r="BA162" s="21">
        <v>90</v>
      </c>
      <c r="BB162" s="21">
        <f t="shared" si="48"/>
        <v>36.600000000000023</v>
      </c>
      <c r="BC162" s="15" t="s">
        <v>4420</v>
      </c>
      <c r="BD162" s="163" t="s">
        <v>4465</v>
      </c>
      <c r="BE162" s="163" t="s">
        <v>4465</v>
      </c>
      <c r="BF162" s="163">
        <v>4</v>
      </c>
      <c r="BG162" s="163">
        <v>8</v>
      </c>
      <c r="BH162" s="306">
        <v>120</v>
      </c>
      <c r="BI162" s="163">
        <v>1200</v>
      </c>
      <c r="BJ162" s="163" t="s">
        <v>6193</v>
      </c>
      <c r="BK162" s="163">
        <v>0.9</v>
      </c>
      <c r="BL162" s="163">
        <v>105</v>
      </c>
      <c r="BM162" s="163">
        <v>1137</v>
      </c>
      <c r="BN162" s="163">
        <v>46</v>
      </c>
      <c r="BO162" s="163" t="s">
        <v>4591</v>
      </c>
      <c r="BP162" s="306" t="s">
        <v>5856</v>
      </c>
      <c r="BQ162" s="163">
        <v>6</v>
      </c>
      <c r="BR162" s="163">
        <v>1</v>
      </c>
      <c r="BS162" s="163">
        <v>19</v>
      </c>
      <c r="BT162" s="163">
        <v>100</v>
      </c>
      <c r="BU162" s="32">
        <v>40</v>
      </c>
      <c r="BV162" s="18">
        <f t="shared" si="49"/>
        <v>250</v>
      </c>
      <c r="BW162" s="163" t="s">
        <v>4573</v>
      </c>
      <c r="BX162" s="32" t="s">
        <v>6094</v>
      </c>
      <c r="BY162" s="21">
        <v>0</v>
      </c>
      <c r="BZ162" s="21">
        <f>10*PI()*12^2/4</f>
        <v>1130.9733552923256</v>
      </c>
      <c r="CA162" s="32">
        <v>20</v>
      </c>
      <c r="CB162" s="121">
        <v>0.01</v>
      </c>
      <c r="CC162" s="163" t="s">
        <v>5665</v>
      </c>
      <c r="CD162" s="163">
        <v>275</v>
      </c>
      <c r="CE162" s="21">
        <f t="shared" si="50"/>
        <v>303.60000000000002</v>
      </c>
      <c r="CF162" s="163">
        <v>410</v>
      </c>
      <c r="CG162" s="21">
        <f t="shared" si="51"/>
        <v>472.35</v>
      </c>
      <c r="CH162" s="67">
        <v>200000</v>
      </c>
      <c r="CI162" s="306" t="s">
        <v>5665</v>
      </c>
      <c r="CJ162" s="163">
        <v>275</v>
      </c>
      <c r="CK162" s="21">
        <f t="shared" si="52"/>
        <v>345.7</v>
      </c>
      <c r="CL162" s="47">
        <v>410</v>
      </c>
      <c r="CM162" s="21">
        <f t="shared" si="53"/>
        <v>505.7</v>
      </c>
      <c r="CN162" s="67">
        <v>200000</v>
      </c>
      <c r="CO162" s="32" t="s">
        <v>5665</v>
      </c>
      <c r="CP162" s="60">
        <v>275</v>
      </c>
      <c r="CQ162" s="32">
        <v>360</v>
      </c>
      <c r="CR162" s="60">
        <v>410</v>
      </c>
      <c r="CS162" s="21">
        <v>458.8</v>
      </c>
      <c r="CT162" s="61">
        <v>200000</v>
      </c>
      <c r="CU162" s="306" t="s">
        <v>5796</v>
      </c>
      <c r="CV162" s="21">
        <v>41.2</v>
      </c>
      <c r="CW162" s="21">
        <v>3.21</v>
      </c>
      <c r="CX162" s="67">
        <v>34785</v>
      </c>
      <c r="CY162" s="306">
        <v>497</v>
      </c>
      <c r="CZ162" s="163">
        <v>870</v>
      </c>
      <c r="DA162" s="67">
        <v>200000</v>
      </c>
      <c r="DB162" s="294">
        <v>280</v>
      </c>
      <c r="DC162" s="163">
        <v>8.8000000000000007</v>
      </c>
      <c r="DD162" s="163">
        <v>640</v>
      </c>
      <c r="DE162" s="32">
        <v>730</v>
      </c>
      <c r="DF162" s="163">
        <v>800</v>
      </c>
      <c r="DG162" s="32">
        <v>940</v>
      </c>
      <c r="DH162" s="61">
        <v>200000</v>
      </c>
      <c r="DI162" s="41" t="s">
        <v>4777</v>
      </c>
      <c r="DJ162" s="32" t="s">
        <v>4435</v>
      </c>
      <c r="DK162" s="297" t="s">
        <v>6219</v>
      </c>
    </row>
    <row r="163" spans="1:115">
      <c r="A163" s="18">
        <v>158</v>
      </c>
      <c r="B163" s="326"/>
      <c r="C163" s="326"/>
      <c r="D163" s="346"/>
      <c r="E163" s="334"/>
      <c r="F163" s="326"/>
      <c r="G163" s="329"/>
      <c r="H163" s="326"/>
      <c r="I163" s="326"/>
      <c r="J163" s="309" t="s">
        <v>4610</v>
      </c>
      <c r="K163" s="306" t="s">
        <v>4383</v>
      </c>
      <c r="L163" s="163" t="s">
        <v>5792</v>
      </c>
      <c r="M163" s="306" t="s">
        <v>4508</v>
      </c>
      <c r="N163" s="163" t="s">
        <v>4702</v>
      </c>
      <c r="O163" s="18" t="s">
        <v>4507</v>
      </c>
      <c r="P163" s="163" t="s">
        <v>4470</v>
      </c>
      <c r="Q163" s="163" t="s">
        <v>4420</v>
      </c>
      <c r="R163" s="163" t="s">
        <v>4420</v>
      </c>
      <c r="S163" s="163" t="s">
        <v>5792</v>
      </c>
      <c r="T163" s="163" t="s">
        <v>4420</v>
      </c>
      <c r="U163" s="163" t="s">
        <v>5792</v>
      </c>
      <c r="V163" s="32" t="s">
        <v>4559</v>
      </c>
      <c r="W163" s="73">
        <v>10</v>
      </c>
      <c r="X163" s="231">
        <v>0</v>
      </c>
      <c r="Y163" s="142">
        <v>0</v>
      </c>
      <c r="Z163" s="306" t="s">
        <v>6315</v>
      </c>
      <c r="AA163" s="21">
        <f>INDEX('[2]Cross-Section Database'!$C$2:$V$2928,MATCH(Z163,'[2]Cross-Section Database'!$B$2:$B$2928,0),3)</f>
        <v>206.2</v>
      </c>
      <c r="AB163" s="21">
        <f>INDEX('[2]Cross-Section Database'!$C$2:$V$2928,MATCH(Z163,'[2]Cross-Section Database'!$B$2:$B$2928,0),4)</f>
        <v>204.3</v>
      </c>
      <c r="AC163" s="21">
        <f>INDEX('[2]Cross-Section Database'!$C$2:$V$2928,MATCH(Z163,'[2]Cross-Section Database'!$B$2:$B$2928,0),6)</f>
        <v>12.5</v>
      </c>
      <c r="AD163" s="21">
        <f>INDEX('[2]Cross-Section Database'!$C$2:$V$2928,MATCH(Z163,'[2]Cross-Section Database'!$B$2:$B$2928,0),5)</f>
        <v>7.9</v>
      </c>
      <c r="AE163" s="21">
        <v>1220</v>
      </c>
      <c r="AF163" s="306" t="s">
        <v>4217</v>
      </c>
      <c r="AG163" s="21">
        <f>INDEX('[2]Cross-Section Database'!$C$2:$V$2928,MATCH(AF163,'[2]Cross-Section Database'!$B$2:$B$2928,0),3)</f>
        <v>303.39999999999998</v>
      </c>
      <c r="AH163" s="21">
        <f>INDEX('[2]Cross-Section Database'!$C$2:$V$2928,MATCH(AF163,'[2]Cross-Section Database'!$B$2:$B$2928,0),4)</f>
        <v>165</v>
      </c>
      <c r="AI163" s="21">
        <f>INDEX('[2]Cross-Section Database'!$C$2:$V$2928,MATCH(AF163,'[2]Cross-Section Database'!$B$2:$B$2928,0),6)</f>
        <v>10.199999999999999</v>
      </c>
      <c r="AJ163" s="21">
        <f>INDEX('[2]Cross-Section Database'!$C$2:$V$2928,MATCH(AF163,'[2]Cross-Section Database'!$B$2:$B$2928,0),5)</f>
        <v>6</v>
      </c>
      <c r="AK163" s="21">
        <v>1500</v>
      </c>
      <c r="AL163" s="21">
        <f>INDEX('[2]Cross-Section Database'!$C$2:$V$3928,MATCH(AF163,'[2]Cross-Section Database'!$B$2:$B$3928,0),11)</f>
        <v>85030000</v>
      </c>
      <c r="AM163" s="24">
        <f>INDEX('[2]Cross-Section Database'!$C$2:$V$3928,MATCH(AF163,'[2]Cross-Section Database'!$B$2:$B$3928,0),12)</f>
        <v>623100</v>
      </c>
      <c r="AN163" s="21">
        <v>10</v>
      </c>
      <c r="AO163" s="21">
        <v>150</v>
      </c>
      <c r="AP163" s="21">
        <v>285</v>
      </c>
      <c r="AQ163" s="21">
        <v>0</v>
      </c>
      <c r="AR163" s="21">
        <v>0</v>
      </c>
      <c r="AS163" s="306" t="s">
        <v>5807</v>
      </c>
      <c r="AT163" s="163" t="s">
        <v>4613</v>
      </c>
      <c r="AU163" s="163">
        <f t="shared" si="47"/>
        <v>30</v>
      </c>
      <c r="AV163" s="163">
        <v>20</v>
      </c>
      <c r="AW163" s="163">
        <f t="shared" si="38"/>
        <v>245</v>
      </c>
      <c r="AX163" s="21">
        <v>69.2</v>
      </c>
      <c r="AY163" s="21">
        <f t="shared" si="34"/>
        <v>69.2</v>
      </c>
      <c r="AZ163" s="21">
        <v>55</v>
      </c>
      <c r="BA163" s="21">
        <v>90</v>
      </c>
      <c r="BB163" s="21">
        <f t="shared" si="48"/>
        <v>36.600000000000023</v>
      </c>
      <c r="BC163" s="15" t="s">
        <v>4420</v>
      </c>
      <c r="BD163" s="163" t="s">
        <v>4465</v>
      </c>
      <c r="BE163" s="163" t="s">
        <v>4465</v>
      </c>
      <c r="BF163" s="163">
        <v>4</v>
      </c>
      <c r="BG163" s="163">
        <v>8</v>
      </c>
      <c r="BH163" s="306">
        <v>120</v>
      </c>
      <c r="BI163" s="163">
        <v>1200</v>
      </c>
      <c r="BJ163" s="163" t="s">
        <v>6193</v>
      </c>
      <c r="BK163" s="163">
        <v>0.9</v>
      </c>
      <c r="BL163" s="163">
        <v>105</v>
      </c>
      <c r="BM163" s="163">
        <v>1137</v>
      </c>
      <c r="BN163" s="163">
        <v>46</v>
      </c>
      <c r="BO163" s="163" t="s">
        <v>4591</v>
      </c>
      <c r="BP163" s="306" t="s">
        <v>5856</v>
      </c>
      <c r="BQ163" s="163">
        <v>6</v>
      </c>
      <c r="BR163" s="163">
        <v>1</v>
      </c>
      <c r="BS163" s="163">
        <v>19</v>
      </c>
      <c r="BT163" s="163">
        <v>100</v>
      </c>
      <c r="BU163" s="32">
        <v>40</v>
      </c>
      <c r="BV163" s="18">
        <f t="shared" si="49"/>
        <v>250</v>
      </c>
      <c r="BW163" s="163" t="s">
        <v>4574</v>
      </c>
      <c r="BX163" s="32" t="s">
        <v>6095</v>
      </c>
      <c r="BY163" s="21">
        <f>142*BI165/1000</f>
        <v>170.4</v>
      </c>
      <c r="BZ163" s="21">
        <f>8*PI()*10^2/4</f>
        <v>628.31853071795865</v>
      </c>
      <c r="CA163" s="32">
        <v>20</v>
      </c>
      <c r="CB163" s="121">
        <v>1.2E-2</v>
      </c>
      <c r="CC163" s="163" t="s">
        <v>5665</v>
      </c>
      <c r="CD163" s="163">
        <v>275</v>
      </c>
      <c r="CE163" s="21">
        <f t="shared" si="50"/>
        <v>303.60000000000002</v>
      </c>
      <c r="CF163" s="163">
        <v>410</v>
      </c>
      <c r="CG163" s="21">
        <f t="shared" si="51"/>
        <v>472.35</v>
      </c>
      <c r="CH163" s="67">
        <v>200000</v>
      </c>
      <c r="CI163" s="306" t="s">
        <v>5665</v>
      </c>
      <c r="CJ163" s="163">
        <v>275</v>
      </c>
      <c r="CK163" s="21">
        <f t="shared" si="52"/>
        <v>345.7</v>
      </c>
      <c r="CL163" s="47">
        <v>410</v>
      </c>
      <c r="CM163" s="21">
        <f t="shared" si="53"/>
        <v>505.7</v>
      </c>
      <c r="CN163" s="67">
        <v>200000</v>
      </c>
      <c r="CO163" s="32" t="s">
        <v>5665</v>
      </c>
      <c r="CP163" s="60">
        <v>275</v>
      </c>
      <c r="CQ163" s="32">
        <v>360</v>
      </c>
      <c r="CR163" s="60">
        <v>410</v>
      </c>
      <c r="CS163" s="21">
        <v>458.8</v>
      </c>
      <c r="CT163" s="61">
        <v>200000</v>
      </c>
      <c r="CU163" s="306" t="s">
        <v>5796</v>
      </c>
      <c r="CV163" s="21">
        <v>44.3</v>
      </c>
      <c r="CW163" s="21">
        <v>3.56</v>
      </c>
      <c r="CX163" s="67">
        <v>34785</v>
      </c>
      <c r="CY163" s="306">
        <v>504</v>
      </c>
      <c r="CZ163" s="163">
        <v>622</v>
      </c>
      <c r="DA163" s="67">
        <v>200000</v>
      </c>
      <c r="DB163" s="294">
        <v>280</v>
      </c>
      <c r="DC163" s="163">
        <v>8.8000000000000007</v>
      </c>
      <c r="DD163" s="163">
        <v>640</v>
      </c>
      <c r="DE163" s="32">
        <v>730</v>
      </c>
      <c r="DF163" s="163">
        <v>800</v>
      </c>
      <c r="DG163" s="32">
        <v>940</v>
      </c>
      <c r="DH163" s="61">
        <v>200000</v>
      </c>
      <c r="DI163" s="41" t="s">
        <v>4776</v>
      </c>
      <c r="DJ163" s="32" t="s">
        <v>4435</v>
      </c>
      <c r="DK163" s="297" t="s">
        <v>6219</v>
      </c>
    </row>
    <row r="164" spans="1:115">
      <c r="A164" s="18">
        <v>159</v>
      </c>
      <c r="B164" s="326"/>
      <c r="C164" s="326"/>
      <c r="D164" s="346"/>
      <c r="E164" s="334"/>
      <c r="F164" s="326"/>
      <c r="G164" s="329"/>
      <c r="H164" s="326"/>
      <c r="I164" s="326"/>
      <c r="J164" s="309" t="s">
        <v>4611</v>
      </c>
      <c r="K164" s="306" t="s">
        <v>4383</v>
      </c>
      <c r="L164" s="163" t="s">
        <v>5792</v>
      </c>
      <c r="M164" s="306" t="s">
        <v>4508</v>
      </c>
      <c r="N164" s="163" t="s">
        <v>4702</v>
      </c>
      <c r="O164" s="18" t="s">
        <v>4507</v>
      </c>
      <c r="P164" s="163" t="s">
        <v>4470</v>
      </c>
      <c r="Q164" s="163" t="s">
        <v>4420</v>
      </c>
      <c r="R164" s="163" t="s">
        <v>4420</v>
      </c>
      <c r="S164" s="163" t="s">
        <v>5792</v>
      </c>
      <c r="T164" s="163" t="s">
        <v>4420</v>
      </c>
      <c r="U164" s="163" t="s">
        <v>5792</v>
      </c>
      <c r="V164" s="32" t="s">
        <v>4559</v>
      </c>
      <c r="W164" s="73">
        <v>10</v>
      </c>
      <c r="X164" s="231">
        <v>0</v>
      </c>
      <c r="Y164" s="142">
        <v>0</v>
      </c>
      <c r="Z164" s="306" t="s">
        <v>6315</v>
      </c>
      <c r="AA164" s="21">
        <f>INDEX('[2]Cross-Section Database'!$C$2:$V$2928,MATCH(Z164,'[2]Cross-Section Database'!$B$2:$B$2928,0),3)</f>
        <v>206.2</v>
      </c>
      <c r="AB164" s="21">
        <f>INDEX('[2]Cross-Section Database'!$C$2:$V$2928,MATCH(Z164,'[2]Cross-Section Database'!$B$2:$B$2928,0),4)</f>
        <v>204.3</v>
      </c>
      <c r="AC164" s="21">
        <f>INDEX('[2]Cross-Section Database'!$C$2:$V$2928,MATCH(Z164,'[2]Cross-Section Database'!$B$2:$B$2928,0),6)</f>
        <v>12.5</v>
      </c>
      <c r="AD164" s="21">
        <f>INDEX('[2]Cross-Section Database'!$C$2:$V$2928,MATCH(Z164,'[2]Cross-Section Database'!$B$2:$B$2928,0),5)</f>
        <v>7.9</v>
      </c>
      <c r="AE164" s="21">
        <v>1220</v>
      </c>
      <c r="AF164" s="306" t="s">
        <v>4217</v>
      </c>
      <c r="AG164" s="21">
        <f>INDEX('[2]Cross-Section Database'!$C$2:$V$2928,MATCH(AF164,'[2]Cross-Section Database'!$B$2:$B$2928,0),3)</f>
        <v>303.39999999999998</v>
      </c>
      <c r="AH164" s="21">
        <f>INDEX('[2]Cross-Section Database'!$C$2:$V$2928,MATCH(AF164,'[2]Cross-Section Database'!$B$2:$B$2928,0),4)</f>
        <v>165</v>
      </c>
      <c r="AI164" s="21">
        <f>INDEX('[2]Cross-Section Database'!$C$2:$V$2928,MATCH(AF164,'[2]Cross-Section Database'!$B$2:$B$2928,0),6)</f>
        <v>10.199999999999999</v>
      </c>
      <c r="AJ164" s="21">
        <f>INDEX('[2]Cross-Section Database'!$C$2:$V$2928,MATCH(AF164,'[2]Cross-Section Database'!$B$2:$B$2928,0),5)</f>
        <v>6</v>
      </c>
      <c r="AK164" s="21">
        <v>1500</v>
      </c>
      <c r="AL164" s="21">
        <f>INDEX('[2]Cross-Section Database'!$C$2:$V$3928,MATCH(AF164,'[2]Cross-Section Database'!$B$2:$B$3928,0),11)</f>
        <v>85030000</v>
      </c>
      <c r="AM164" s="24">
        <f>INDEX('[2]Cross-Section Database'!$C$2:$V$3928,MATCH(AF164,'[2]Cross-Section Database'!$B$2:$B$3928,0),12)</f>
        <v>623100</v>
      </c>
      <c r="AN164" s="21">
        <v>10</v>
      </c>
      <c r="AO164" s="21">
        <v>150</v>
      </c>
      <c r="AP164" s="21">
        <v>285</v>
      </c>
      <c r="AQ164" s="21">
        <v>0</v>
      </c>
      <c r="AR164" s="21">
        <v>0</v>
      </c>
      <c r="AS164" s="306" t="s">
        <v>5807</v>
      </c>
      <c r="AT164" s="163" t="s">
        <v>4613</v>
      </c>
      <c r="AU164" s="163">
        <f t="shared" si="47"/>
        <v>30</v>
      </c>
      <c r="AV164" s="163">
        <v>20</v>
      </c>
      <c r="AW164" s="163">
        <f t="shared" si="38"/>
        <v>245</v>
      </c>
      <c r="AX164" s="21">
        <v>69.2</v>
      </c>
      <c r="AY164" s="21">
        <f t="shared" si="34"/>
        <v>69.2</v>
      </c>
      <c r="AZ164" s="21">
        <v>55</v>
      </c>
      <c r="BA164" s="21">
        <v>90</v>
      </c>
      <c r="BB164" s="21">
        <f t="shared" si="48"/>
        <v>36.600000000000023</v>
      </c>
      <c r="BC164" s="15" t="s">
        <v>4420</v>
      </c>
      <c r="BD164" s="163" t="s">
        <v>4465</v>
      </c>
      <c r="BE164" s="163" t="s">
        <v>4465</v>
      </c>
      <c r="BF164" s="163">
        <v>4</v>
      </c>
      <c r="BG164" s="163">
        <v>8</v>
      </c>
      <c r="BH164" s="306">
        <v>120</v>
      </c>
      <c r="BI164" s="163">
        <v>1200</v>
      </c>
      <c r="BJ164" s="163" t="s">
        <v>6193</v>
      </c>
      <c r="BK164" s="163">
        <v>0.9</v>
      </c>
      <c r="BL164" s="163">
        <v>105</v>
      </c>
      <c r="BM164" s="163">
        <v>1137</v>
      </c>
      <c r="BN164" s="163">
        <v>46</v>
      </c>
      <c r="BO164" s="163" t="s">
        <v>4591</v>
      </c>
      <c r="BP164" s="306" t="s">
        <v>5856</v>
      </c>
      <c r="BQ164" s="163">
        <v>6</v>
      </c>
      <c r="BR164" s="163">
        <v>1</v>
      </c>
      <c r="BS164" s="163">
        <v>19</v>
      </c>
      <c r="BT164" s="163">
        <v>100</v>
      </c>
      <c r="BU164" s="32">
        <v>40</v>
      </c>
      <c r="BV164" s="18">
        <f t="shared" si="49"/>
        <v>250</v>
      </c>
      <c r="BW164" s="163" t="s">
        <v>4574</v>
      </c>
      <c r="BX164" s="32" t="s">
        <v>6094</v>
      </c>
      <c r="BY164" s="21">
        <f>142*BI165/1000</f>
        <v>170.4</v>
      </c>
      <c r="BZ164" s="21">
        <f>10*PI()*12^2/4</f>
        <v>1130.9733552923256</v>
      </c>
      <c r="CA164" s="32">
        <v>20</v>
      </c>
      <c r="CB164" s="121">
        <v>0.01</v>
      </c>
      <c r="CC164" s="163" t="s">
        <v>5665</v>
      </c>
      <c r="CD164" s="163">
        <v>275</v>
      </c>
      <c r="CE164" s="21">
        <f t="shared" si="50"/>
        <v>303.60000000000002</v>
      </c>
      <c r="CF164" s="163">
        <v>410</v>
      </c>
      <c r="CG164" s="21">
        <f t="shared" si="51"/>
        <v>472.35</v>
      </c>
      <c r="CH164" s="67">
        <v>200000</v>
      </c>
      <c r="CI164" s="306" t="s">
        <v>5665</v>
      </c>
      <c r="CJ164" s="163">
        <v>275</v>
      </c>
      <c r="CK164" s="21">
        <f t="shared" si="52"/>
        <v>345.7</v>
      </c>
      <c r="CL164" s="47">
        <v>410</v>
      </c>
      <c r="CM164" s="21">
        <f t="shared" si="53"/>
        <v>505.7</v>
      </c>
      <c r="CN164" s="67">
        <v>200000</v>
      </c>
      <c r="CO164" s="32" t="s">
        <v>5665</v>
      </c>
      <c r="CP164" s="60">
        <v>275</v>
      </c>
      <c r="CQ164" s="32">
        <v>360</v>
      </c>
      <c r="CR164" s="60">
        <v>410</v>
      </c>
      <c r="CS164" s="21">
        <v>458.8</v>
      </c>
      <c r="CT164" s="61">
        <v>200000</v>
      </c>
      <c r="CU164" s="306" t="s">
        <v>5796</v>
      </c>
      <c r="CV164" s="21">
        <v>33.9</v>
      </c>
      <c r="CW164" s="21">
        <v>3.16</v>
      </c>
      <c r="CX164" s="67">
        <v>34785</v>
      </c>
      <c r="CY164" s="306">
        <v>497</v>
      </c>
      <c r="CZ164" s="163">
        <v>870</v>
      </c>
      <c r="DA164" s="67">
        <v>200000</v>
      </c>
      <c r="DB164" s="294">
        <v>280</v>
      </c>
      <c r="DC164" s="163">
        <v>8.8000000000000007</v>
      </c>
      <c r="DD164" s="163">
        <v>640</v>
      </c>
      <c r="DE164" s="32">
        <v>730</v>
      </c>
      <c r="DF164" s="163">
        <v>800</v>
      </c>
      <c r="DG164" s="32">
        <v>940</v>
      </c>
      <c r="DH164" s="61">
        <v>200000</v>
      </c>
      <c r="DI164" s="41" t="s">
        <v>4775</v>
      </c>
      <c r="DJ164" s="32" t="s">
        <v>4435</v>
      </c>
      <c r="DK164" s="297" t="s">
        <v>6219</v>
      </c>
    </row>
    <row r="165" spans="1:115" ht="16.2" thickBot="1">
      <c r="A165" s="18">
        <v>160</v>
      </c>
      <c r="B165" s="326"/>
      <c r="C165" s="326"/>
      <c r="D165" s="346"/>
      <c r="E165" s="334"/>
      <c r="F165" s="326"/>
      <c r="G165" s="329"/>
      <c r="H165" s="326"/>
      <c r="I165" s="326"/>
      <c r="J165" s="309" t="s">
        <v>4612</v>
      </c>
      <c r="K165" s="306" t="s">
        <v>4383</v>
      </c>
      <c r="L165" s="163" t="s">
        <v>5792</v>
      </c>
      <c r="M165" s="306" t="s">
        <v>4508</v>
      </c>
      <c r="N165" s="163" t="s">
        <v>4702</v>
      </c>
      <c r="O165" s="18" t="s">
        <v>4507</v>
      </c>
      <c r="P165" s="163" t="s">
        <v>4470</v>
      </c>
      <c r="Q165" s="163" t="s">
        <v>4420</v>
      </c>
      <c r="R165" s="163" t="s">
        <v>4420</v>
      </c>
      <c r="S165" s="163" t="s">
        <v>5792</v>
      </c>
      <c r="T165" s="163" t="s">
        <v>4470</v>
      </c>
      <c r="U165" s="163">
        <v>13</v>
      </c>
      <c r="V165" s="34" t="s">
        <v>4559</v>
      </c>
      <c r="W165" s="118">
        <v>10</v>
      </c>
      <c r="X165" s="231">
        <v>0</v>
      </c>
      <c r="Y165" s="142">
        <v>0</v>
      </c>
      <c r="Z165" s="306" t="s">
        <v>6315</v>
      </c>
      <c r="AA165" s="21">
        <f>INDEX('[2]Cross-Section Database'!$C$2:$V$2928,MATCH(Z165,'[2]Cross-Section Database'!$B$2:$B$2928,0),3)</f>
        <v>206.2</v>
      </c>
      <c r="AB165" s="21">
        <f>INDEX('[2]Cross-Section Database'!$C$2:$V$2928,MATCH(Z165,'[2]Cross-Section Database'!$B$2:$B$2928,0),4)</f>
        <v>204.3</v>
      </c>
      <c r="AC165" s="21">
        <f>INDEX('[2]Cross-Section Database'!$C$2:$V$2928,MATCH(Z165,'[2]Cross-Section Database'!$B$2:$B$2928,0),6)</f>
        <v>12.5</v>
      </c>
      <c r="AD165" s="21">
        <f>INDEX('[2]Cross-Section Database'!$C$2:$V$2928,MATCH(Z165,'[2]Cross-Section Database'!$B$2:$B$2928,0),5)</f>
        <v>7.9</v>
      </c>
      <c r="AE165" s="23">
        <v>1220</v>
      </c>
      <c r="AF165" s="306" t="s">
        <v>4217</v>
      </c>
      <c r="AG165" s="21">
        <f>INDEX('[2]Cross-Section Database'!$C$2:$V$2928,MATCH(AF165,'[2]Cross-Section Database'!$B$2:$B$2928,0),3)</f>
        <v>303.39999999999998</v>
      </c>
      <c r="AH165" s="21">
        <f>INDEX('[2]Cross-Section Database'!$C$2:$V$2928,MATCH(AF165,'[2]Cross-Section Database'!$B$2:$B$2928,0),4)</f>
        <v>165</v>
      </c>
      <c r="AI165" s="21">
        <f>INDEX('[2]Cross-Section Database'!$C$2:$V$2928,MATCH(AF165,'[2]Cross-Section Database'!$B$2:$B$2928,0),6)</f>
        <v>10.199999999999999</v>
      </c>
      <c r="AJ165" s="21">
        <f>INDEX('[2]Cross-Section Database'!$C$2:$V$2928,MATCH(AF165,'[2]Cross-Section Database'!$B$2:$B$2928,0),5)</f>
        <v>6</v>
      </c>
      <c r="AK165" s="21">
        <v>1500</v>
      </c>
      <c r="AL165" s="21">
        <f>INDEX('[2]Cross-Section Database'!$C$2:$V$3928,MATCH(AF165,'[2]Cross-Section Database'!$B$2:$B$3928,0),11)</f>
        <v>85030000</v>
      </c>
      <c r="AM165" s="24">
        <f>INDEX('[2]Cross-Section Database'!$C$2:$V$3928,MATCH(AF165,'[2]Cross-Section Database'!$B$2:$B$3928,0),12)</f>
        <v>623100</v>
      </c>
      <c r="AN165" s="21">
        <v>10</v>
      </c>
      <c r="AO165" s="21">
        <v>150</v>
      </c>
      <c r="AP165" s="21">
        <v>285</v>
      </c>
      <c r="AQ165" s="21">
        <v>0</v>
      </c>
      <c r="AR165" s="21">
        <v>0</v>
      </c>
      <c r="AS165" s="306" t="s">
        <v>5807</v>
      </c>
      <c r="AT165" s="163" t="s">
        <v>4613</v>
      </c>
      <c r="AU165" s="163">
        <f t="shared" si="47"/>
        <v>30</v>
      </c>
      <c r="AV165" s="163">
        <v>20</v>
      </c>
      <c r="AW165" s="163">
        <f t="shared" si="38"/>
        <v>245</v>
      </c>
      <c r="AX165" s="21">
        <v>69.2</v>
      </c>
      <c r="AY165" s="21">
        <f t="shared" si="34"/>
        <v>69.2</v>
      </c>
      <c r="AZ165" s="21">
        <v>55</v>
      </c>
      <c r="BA165" s="21">
        <v>90</v>
      </c>
      <c r="BB165" s="21">
        <f t="shared" si="48"/>
        <v>36.600000000000023</v>
      </c>
      <c r="BC165" s="15" t="s">
        <v>4420</v>
      </c>
      <c r="BD165" s="163" t="s">
        <v>4465</v>
      </c>
      <c r="BE165" s="163" t="s">
        <v>4465</v>
      </c>
      <c r="BF165" s="163">
        <v>4</v>
      </c>
      <c r="BG165" s="163">
        <v>8</v>
      </c>
      <c r="BH165" s="306">
        <v>120</v>
      </c>
      <c r="BI165" s="163">
        <v>1200</v>
      </c>
      <c r="BJ165" s="163" t="s">
        <v>6193</v>
      </c>
      <c r="BK165" s="163">
        <v>0.9</v>
      </c>
      <c r="BL165" s="163">
        <v>105</v>
      </c>
      <c r="BM165" s="163">
        <v>1137</v>
      </c>
      <c r="BN165" s="163">
        <v>46</v>
      </c>
      <c r="BO165" s="163" t="s">
        <v>4591</v>
      </c>
      <c r="BP165" s="306" t="s">
        <v>5856</v>
      </c>
      <c r="BQ165" s="163">
        <v>6</v>
      </c>
      <c r="BR165" s="163">
        <v>1</v>
      </c>
      <c r="BS165" s="163">
        <v>19</v>
      </c>
      <c r="BT165" s="163">
        <v>100</v>
      </c>
      <c r="BU165" s="32">
        <v>40</v>
      </c>
      <c r="BV165" s="18">
        <f t="shared" si="49"/>
        <v>250</v>
      </c>
      <c r="BW165" s="164" t="s">
        <v>4574</v>
      </c>
      <c r="BX165" s="32" t="s">
        <v>6095</v>
      </c>
      <c r="BY165" s="23">
        <f>142*BI165/1000</f>
        <v>170.4</v>
      </c>
      <c r="BZ165" s="23">
        <f>8*PI()*10^2/4</f>
        <v>628.31853071795865</v>
      </c>
      <c r="CA165" s="32">
        <v>20</v>
      </c>
      <c r="CB165" s="121">
        <v>0.01</v>
      </c>
      <c r="CC165" s="163" t="s">
        <v>5665</v>
      </c>
      <c r="CD165" s="163">
        <v>275</v>
      </c>
      <c r="CE165" s="21">
        <f t="shared" si="50"/>
        <v>303.60000000000002</v>
      </c>
      <c r="CF165" s="163">
        <v>410</v>
      </c>
      <c r="CG165" s="21">
        <f t="shared" si="51"/>
        <v>472.35</v>
      </c>
      <c r="CH165" s="67">
        <v>200000</v>
      </c>
      <c r="CI165" s="306" t="s">
        <v>5665</v>
      </c>
      <c r="CJ165" s="163">
        <v>275</v>
      </c>
      <c r="CK165" s="21">
        <f t="shared" si="52"/>
        <v>345.7</v>
      </c>
      <c r="CL165" s="47">
        <v>410</v>
      </c>
      <c r="CM165" s="21">
        <f t="shared" si="53"/>
        <v>505.7</v>
      </c>
      <c r="CN165" s="67">
        <v>200000</v>
      </c>
      <c r="CO165" s="32" t="s">
        <v>5665</v>
      </c>
      <c r="CP165" s="60">
        <v>275</v>
      </c>
      <c r="CQ165" s="32">
        <v>360</v>
      </c>
      <c r="CR165" s="60">
        <v>410</v>
      </c>
      <c r="CS165" s="21">
        <v>458.8</v>
      </c>
      <c r="CT165" s="61">
        <v>200000</v>
      </c>
      <c r="CU165" s="306" t="s">
        <v>5796</v>
      </c>
      <c r="CV165" s="21">
        <v>33.4</v>
      </c>
      <c r="CW165" s="21">
        <v>2.87</v>
      </c>
      <c r="CX165" s="67">
        <v>34785</v>
      </c>
      <c r="CY165" s="306">
        <v>504</v>
      </c>
      <c r="CZ165" s="163">
        <v>622</v>
      </c>
      <c r="DA165" s="67">
        <v>200000</v>
      </c>
      <c r="DB165" s="294">
        <v>280</v>
      </c>
      <c r="DC165" s="163">
        <v>8.8000000000000007</v>
      </c>
      <c r="DD165" s="163">
        <v>640</v>
      </c>
      <c r="DE165" s="32">
        <v>730</v>
      </c>
      <c r="DF165" s="163">
        <v>800</v>
      </c>
      <c r="DG165" s="32">
        <v>940</v>
      </c>
      <c r="DH165" s="61">
        <v>200000</v>
      </c>
      <c r="DI165" s="41" t="s">
        <v>4782</v>
      </c>
      <c r="DJ165" s="32" t="s">
        <v>4435</v>
      </c>
      <c r="DK165" s="297" t="s">
        <v>6219</v>
      </c>
    </row>
    <row r="166" spans="1:115" ht="15.6" customHeight="1">
      <c r="A166" s="299">
        <v>161</v>
      </c>
      <c r="B166" s="328">
        <v>23</v>
      </c>
      <c r="C166" s="328">
        <v>1995</v>
      </c>
      <c r="D166" s="331" t="s">
        <v>6098</v>
      </c>
      <c r="E166" s="331" t="s">
        <v>6104</v>
      </c>
      <c r="F166" s="328">
        <v>4</v>
      </c>
      <c r="G166" s="328" t="s">
        <v>5968</v>
      </c>
      <c r="H166" s="328" t="s">
        <v>5964</v>
      </c>
      <c r="I166" s="328" t="s">
        <v>6236</v>
      </c>
      <c r="J166" s="43" t="s">
        <v>6099</v>
      </c>
      <c r="K166" s="299" t="s">
        <v>4383</v>
      </c>
      <c r="L166" s="162" t="s">
        <v>5792</v>
      </c>
      <c r="M166" s="305" t="s">
        <v>4509</v>
      </c>
      <c r="N166" s="162" t="s">
        <v>4703</v>
      </c>
      <c r="O166" s="17" t="s">
        <v>4507</v>
      </c>
      <c r="P166" s="305" t="s">
        <v>4420</v>
      </c>
      <c r="Q166" s="302" t="s">
        <v>4420</v>
      </c>
      <c r="R166" s="302" t="s">
        <v>4420</v>
      </c>
      <c r="S166" s="162" t="s">
        <v>5792</v>
      </c>
      <c r="T166" s="162" t="s">
        <v>4420</v>
      </c>
      <c r="U166" s="162" t="s">
        <v>5792</v>
      </c>
      <c r="V166" s="162" t="s">
        <v>4559</v>
      </c>
      <c r="W166" s="17">
        <v>4</v>
      </c>
      <c r="X166" s="239">
        <v>0</v>
      </c>
      <c r="Y166" s="17">
        <v>0</v>
      </c>
      <c r="Z166" s="305" t="s">
        <v>3983</v>
      </c>
      <c r="AA166" s="16">
        <f>INDEX('[2]Cross-Section Database'!$C$2:$V$2928,MATCH(Z166,'[2]Cross-Section Database'!$B$2:$B$2928,0),3)</f>
        <v>240</v>
      </c>
      <c r="AB166" s="16">
        <f>INDEX('[2]Cross-Section Database'!$C$2:$V$2928,MATCH(Z166,'[2]Cross-Section Database'!$B$2:$B$2928,0),4)</f>
        <v>240</v>
      </c>
      <c r="AC166" s="45">
        <f>INDEX('[2]Cross-Section Database'!$C$2:$V$2928,MATCH(Z166,'[2]Cross-Section Database'!$B$2:$B$2928,0),6)</f>
        <v>17</v>
      </c>
      <c r="AD166" s="45">
        <f>INDEX('[2]Cross-Section Database'!$C$2:$V$2928,MATCH(Z166,'[2]Cross-Section Database'!$B$2:$B$2928,0),5)</f>
        <v>10</v>
      </c>
      <c r="AE166" s="16">
        <v>720</v>
      </c>
      <c r="AF166" s="305" t="s">
        <v>3916</v>
      </c>
      <c r="AG166" s="16">
        <f>INDEX('[2]Cross-Section Database'!$C$2:$V$2928,MATCH(AF166,'[2]Cross-Section Database'!$B$2:$B$2928,0),3)</f>
        <v>330</v>
      </c>
      <c r="AH166" s="16">
        <f>INDEX('[2]Cross-Section Database'!$C$2:$V$2928,MATCH(AF166,'[2]Cross-Section Database'!$B$2:$B$2928,0),4)</f>
        <v>160</v>
      </c>
      <c r="AI166" s="16">
        <f>INDEX('[2]Cross-Section Database'!$C$2:$V$2928,MATCH(AF166,'[2]Cross-Section Database'!$B$2:$B$2928,0),6)</f>
        <v>11.5</v>
      </c>
      <c r="AJ166" s="16">
        <f>INDEX('[2]Cross-Section Database'!$C$2:$V$2928,MATCH(AF166,'[2]Cross-Section Database'!$B$2:$B$2928,0),5)</f>
        <v>7.5</v>
      </c>
      <c r="AK166" s="16">
        <v>1420</v>
      </c>
      <c r="AL166" s="16">
        <f>INDEX('[2]Cross-Section Database'!$C$2:$V$3928,MATCH(AF166,'[2]Cross-Section Database'!$B$2:$B$3928,0),11)</f>
        <v>117700000</v>
      </c>
      <c r="AM166" s="26">
        <f>INDEX('[2]Cross-Section Database'!$C$2:$V$3928,MATCH(AF166,'[2]Cross-Section Database'!$B$2:$B$3928,0),12)</f>
        <v>804000</v>
      </c>
      <c r="AN166" s="53">
        <v>30</v>
      </c>
      <c r="AO166" s="45">
        <v>240</v>
      </c>
      <c r="AP166" s="45">
        <v>350</v>
      </c>
      <c r="AQ166" s="45">
        <v>10</v>
      </c>
      <c r="AR166" s="51">
        <v>10</v>
      </c>
      <c r="AS166" s="299" t="s">
        <v>5807</v>
      </c>
      <c r="AT166" s="162" t="s">
        <v>6105</v>
      </c>
      <c r="AU166" s="16">
        <f>640/AV169/0.25</f>
        <v>128</v>
      </c>
      <c r="AV166" s="162">
        <v>20</v>
      </c>
      <c r="AW166" s="162">
        <f t="shared" si="38"/>
        <v>245</v>
      </c>
      <c r="AX166" s="16">
        <v>85</v>
      </c>
      <c r="AY166" s="16">
        <v>85</v>
      </c>
      <c r="AZ166" s="16">
        <v>60</v>
      </c>
      <c r="BA166" s="16">
        <v>128</v>
      </c>
      <c r="BB166" s="16">
        <v>60</v>
      </c>
      <c r="BC166" s="22" t="s">
        <v>4420</v>
      </c>
      <c r="BD166" s="162" t="s">
        <v>4465</v>
      </c>
      <c r="BE166" s="162" t="s">
        <v>4465</v>
      </c>
      <c r="BF166" s="162">
        <v>4</v>
      </c>
      <c r="BG166" s="17">
        <v>8</v>
      </c>
      <c r="BH166" s="200" t="s">
        <v>5792</v>
      </c>
      <c r="BI166" s="201" t="s">
        <v>5792</v>
      </c>
      <c r="BJ166" s="201" t="s">
        <v>5792</v>
      </c>
      <c r="BK166" s="201" t="s">
        <v>5792</v>
      </c>
      <c r="BL166" s="201" t="s">
        <v>5792</v>
      </c>
      <c r="BM166" s="201" t="s">
        <v>5792</v>
      </c>
      <c r="BN166" s="201" t="s">
        <v>5792</v>
      </c>
      <c r="BO166" s="201" t="s">
        <v>5792</v>
      </c>
      <c r="BP166" s="200" t="s">
        <v>5792</v>
      </c>
      <c r="BQ166" s="201" t="s">
        <v>5792</v>
      </c>
      <c r="BR166" s="201" t="s">
        <v>5792</v>
      </c>
      <c r="BS166" s="201" t="s">
        <v>5792</v>
      </c>
      <c r="BT166" s="201" t="s">
        <v>5792</v>
      </c>
      <c r="BU166" s="201" t="s">
        <v>5792</v>
      </c>
      <c r="BV166" s="219" t="s">
        <v>5792</v>
      </c>
      <c r="BW166" s="200" t="s">
        <v>5792</v>
      </c>
      <c r="BX166" s="201" t="s">
        <v>5792</v>
      </c>
      <c r="BY166" s="201" t="s">
        <v>5792</v>
      </c>
      <c r="BZ166" s="201" t="s">
        <v>5792</v>
      </c>
      <c r="CA166" s="201" t="s">
        <v>5792</v>
      </c>
      <c r="CB166" s="219" t="s">
        <v>5792</v>
      </c>
      <c r="CC166" s="162" t="s">
        <v>6283</v>
      </c>
      <c r="CD166" s="162">
        <v>235</v>
      </c>
      <c r="CE166" s="16">
        <v>333.5</v>
      </c>
      <c r="CF166" s="65">
        <v>360</v>
      </c>
      <c r="CG166" s="162">
        <v>463</v>
      </c>
      <c r="CH166" s="66">
        <v>200000</v>
      </c>
      <c r="CI166" s="162" t="s">
        <v>6283</v>
      </c>
      <c r="CJ166" s="162">
        <v>235</v>
      </c>
      <c r="CK166" s="16">
        <v>303</v>
      </c>
      <c r="CL166" s="65">
        <v>360</v>
      </c>
      <c r="CM166" s="16">
        <v>438</v>
      </c>
      <c r="CN166" s="66">
        <v>200000</v>
      </c>
      <c r="CO166" s="162" t="s">
        <v>6283</v>
      </c>
      <c r="CP166" s="162">
        <v>235</v>
      </c>
      <c r="CQ166" s="31">
        <v>300</v>
      </c>
      <c r="CR166" s="65">
        <v>360</v>
      </c>
      <c r="CS166" s="31">
        <v>450</v>
      </c>
      <c r="CT166" s="66">
        <v>200000</v>
      </c>
      <c r="CU166" s="204" t="s">
        <v>5792</v>
      </c>
      <c r="CV166" s="205" t="s">
        <v>5792</v>
      </c>
      <c r="CW166" s="205" t="s">
        <v>5792</v>
      </c>
      <c r="CX166" s="206" t="s">
        <v>5792</v>
      </c>
      <c r="CY166" s="204" t="s">
        <v>5792</v>
      </c>
      <c r="CZ166" s="205" t="s">
        <v>5792</v>
      </c>
      <c r="DA166" s="206" t="s">
        <v>5792</v>
      </c>
      <c r="DB166" s="282" t="s">
        <v>5792</v>
      </c>
      <c r="DC166" s="162">
        <v>10.9</v>
      </c>
      <c r="DD166" s="162">
        <v>900</v>
      </c>
      <c r="DE166" s="30">
        <v>990</v>
      </c>
      <c r="DF166" s="162">
        <v>1000</v>
      </c>
      <c r="DG166" s="162">
        <v>1141</v>
      </c>
      <c r="DH166" s="76">
        <v>200000</v>
      </c>
      <c r="DI166" s="28" t="s">
        <v>4776</v>
      </c>
      <c r="DJ166" s="162" t="s">
        <v>4435</v>
      </c>
      <c r="DK166" s="296" t="s">
        <v>6110</v>
      </c>
    </row>
    <row r="167" spans="1:115">
      <c r="A167" s="300">
        <v>162</v>
      </c>
      <c r="B167" s="329"/>
      <c r="C167" s="329"/>
      <c r="D167" s="467"/>
      <c r="E167" s="467"/>
      <c r="F167" s="329"/>
      <c r="G167" s="329"/>
      <c r="H167" s="329"/>
      <c r="I167" s="329"/>
      <c r="J167" s="41" t="s">
        <v>6106</v>
      </c>
      <c r="K167" s="300" t="s">
        <v>4383</v>
      </c>
      <c r="L167" s="163" t="s">
        <v>5792</v>
      </c>
      <c r="M167" s="306" t="s">
        <v>4509</v>
      </c>
      <c r="N167" s="163" t="s">
        <v>4703</v>
      </c>
      <c r="O167" s="18" t="s">
        <v>4507</v>
      </c>
      <c r="P167" s="306" t="s">
        <v>4420</v>
      </c>
      <c r="Q167" s="303" t="s">
        <v>4420</v>
      </c>
      <c r="R167" s="303" t="s">
        <v>4420</v>
      </c>
      <c r="S167" s="163" t="s">
        <v>5792</v>
      </c>
      <c r="T167" s="163" t="s">
        <v>4420</v>
      </c>
      <c r="U167" s="163" t="s">
        <v>5792</v>
      </c>
      <c r="V167" s="163" t="s">
        <v>4559</v>
      </c>
      <c r="W167" s="18">
        <v>4</v>
      </c>
      <c r="X167" s="230">
        <v>173</v>
      </c>
      <c r="Y167" s="18">
        <v>0</v>
      </c>
      <c r="Z167" s="306" t="s">
        <v>3983</v>
      </c>
      <c r="AA167" s="21">
        <f>INDEX('[2]Cross-Section Database'!$C$2:$V$2928,MATCH(Z167,'[2]Cross-Section Database'!$B$2:$B$2928,0),3)</f>
        <v>240</v>
      </c>
      <c r="AB167" s="21">
        <f>INDEX('[2]Cross-Section Database'!$C$2:$V$2928,MATCH(Z167,'[2]Cross-Section Database'!$B$2:$B$2928,0),4)</f>
        <v>240</v>
      </c>
      <c r="AC167" s="21">
        <f>INDEX('[2]Cross-Section Database'!$C$2:$V$2928,MATCH(Z167,'[2]Cross-Section Database'!$B$2:$B$2928,0),6)</f>
        <v>17</v>
      </c>
      <c r="AD167" s="21">
        <f>INDEX('[2]Cross-Section Database'!$C$2:$V$2928,MATCH(Z167,'[2]Cross-Section Database'!$B$2:$B$2928,0),5)</f>
        <v>10</v>
      </c>
      <c r="AE167" s="21">
        <v>720</v>
      </c>
      <c r="AF167" s="306" t="s">
        <v>3916</v>
      </c>
      <c r="AG167" s="21">
        <f>INDEX('[2]Cross-Section Database'!$C$2:$V$23928,MATCH(AF167,'[2]Cross-Section Database'!$B$2:$B$3928,0),3)</f>
        <v>330</v>
      </c>
      <c r="AH167" s="21">
        <f>INDEX('[2]Cross-Section Database'!$C$2:$V$3928,MATCH(AF167,'[2]Cross-Section Database'!$B$2:$B$3928,0),4)</f>
        <v>160</v>
      </c>
      <c r="AI167" s="21">
        <f>INDEX('[2]Cross-Section Database'!$C$2:$V$3928,MATCH(AF167,'[2]Cross-Section Database'!$B$2:$B$3928,0),6)</f>
        <v>11.5</v>
      </c>
      <c r="AJ167" s="21">
        <f>INDEX('[2]Cross-Section Database'!$C$2:$V$3928,MATCH(AF167,'[2]Cross-Section Database'!$B$2:$B$3928,0),5)</f>
        <v>7.5</v>
      </c>
      <c r="AK167" s="21">
        <v>1420</v>
      </c>
      <c r="AL167" s="21">
        <f>INDEX('[2]Cross-Section Database'!$C$2:$V$3928,MATCH(AF167,'[2]Cross-Section Database'!$B$2:$B$3928,0),11)</f>
        <v>117700000</v>
      </c>
      <c r="AM167" s="24">
        <f>INDEX('[2]Cross-Section Database'!$C$2:$V$3928,MATCH(AF167,'[2]Cross-Section Database'!$B$2:$B$3928,0),12)</f>
        <v>804000</v>
      </c>
      <c r="AN167" s="54">
        <v>30</v>
      </c>
      <c r="AO167" s="46">
        <v>240</v>
      </c>
      <c r="AP167" s="46">
        <v>350</v>
      </c>
      <c r="AQ167" s="46">
        <v>10</v>
      </c>
      <c r="AR167" s="52">
        <v>10</v>
      </c>
      <c r="AS167" s="300" t="s">
        <v>5807</v>
      </c>
      <c r="AT167" s="163" t="s">
        <v>6105</v>
      </c>
      <c r="AU167" s="21" t="e">
        <f>640/AV375/0.25</f>
        <v>#DIV/0!</v>
      </c>
      <c r="AV167" s="163">
        <v>20</v>
      </c>
      <c r="AW167" s="163">
        <f t="shared" si="38"/>
        <v>245</v>
      </c>
      <c r="AX167" s="21">
        <v>85</v>
      </c>
      <c r="AY167" s="21">
        <v>85</v>
      </c>
      <c r="AZ167" s="21">
        <v>60</v>
      </c>
      <c r="BA167" s="21">
        <v>128</v>
      </c>
      <c r="BB167" s="21">
        <v>60</v>
      </c>
      <c r="BC167" s="15" t="s">
        <v>4420</v>
      </c>
      <c r="BD167" s="163" t="s">
        <v>4465</v>
      </c>
      <c r="BE167" s="163" t="s">
        <v>4465</v>
      </c>
      <c r="BF167" s="163">
        <v>4</v>
      </c>
      <c r="BG167" s="18">
        <v>8</v>
      </c>
      <c r="BH167" s="202" t="s">
        <v>5792</v>
      </c>
      <c r="BI167" s="203" t="s">
        <v>5792</v>
      </c>
      <c r="BJ167" s="203" t="s">
        <v>5792</v>
      </c>
      <c r="BK167" s="203" t="s">
        <v>5792</v>
      </c>
      <c r="BL167" s="203" t="s">
        <v>5792</v>
      </c>
      <c r="BM167" s="203" t="s">
        <v>5792</v>
      </c>
      <c r="BN167" s="203" t="s">
        <v>5792</v>
      </c>
      <c r="BO167" s="203" t="s">
        <v>5792</v>
      </c>
      <c r="BP167" s="202" t="s">
        <v>5792</v>
      </c>
      <c r="BQ167" s="203" t="s">
        <v>5792</v>
      </c>
      <c r="BR167" s="203" t="s">
        <v>5792</v>
      </c>
      <c r="BS167" s="203" t="s">
        <v>5792</v>
      </c>
      <c r="BT167" s="203" t="s">
        <v>5792</v>
      </c>
      <c r="BU167" s="203" t="s">
        <v>5792</v>
      </c>
      <c r="BV167" s="218" t="s">
        <v>5792</v>
      </c>
      <c r="BW167" s="202" t="s">
        <v>5792</v>
      </c>
      <c r="BX167" s="203" t="s">
        <v>5792</v>
      </c>
      <c r="BY167" s="203" t="s">
        <v>5792</v>
      </c>
      <c r="BZ167" s="203" t="s">
        <v>5792</v>
      </c>
      <c r="CA167" s="203" t="s">
        <v>5792</v>
      </c>
      <c r="CB167" s="218" t="s">
        <v>5792</v>
      </c>
      <c r="CC167" s="163" t="s">
        <v>6283</v>
      </c>
      <c r="CD167" s="163">
        <v>235</v>
      </c>
      <c r="CE167" s="21">
        <v>333.5</v>
      </c>
      <c r="CF167" s="60">
        <v>360</v>
      </c>
      <c r="CG167" s="163">
        <v>463</v>
      </c>
      <c r="CH167" s="67">
        <v>200000</v>
      </c>
      <c r="CI167" s="163" t="s">
        <v>6283</v>
      </c>
      <c r="CJ167" s="163">
        <v>235</v>
      </c>
      <c r="CK167" s="21">
        <v>303</v>
      </c>
      <c r="CL167" s="60">
        <v>360</v>
      </c>
      <c r="CM167" s="21">
        <v>438</v>
      </c>
      <c r="CN167" s="67">
        <v>200000</v>
      </c>
      <c r="CO167" s="163" t="s">
        <v>6283</v>
      </c>
      <c r="CP167" s="163">
        <v>235</v>
      </c>
      <c r="CQ167" s="33">
        <v>300</v>
      </c>
      <c r="CR167" s="60">
        <v>360</v>
      </c>
      <c r="CS167" s="33">
        <v>450</v>
      </c>
      <c r="CT167" s="67">
        <v>200000</v>
      </c>
      <c r="CU167" s="207" t="s">
        <v>5792</v>
      </c>
      <c r="CV167" s="208" t="s">
        <v>5792</v>
      </c>
      <c r="CW167" s="208" t="s">
        <v>5792</v>
      </c>
      <c r="CX167" s="209" t="s">
        <v>5792</v>
      </c>
      <c r="CY167" s="207" t="s">
        <v>5792</v>
      </c>
      <c r="CZ167" s="208" t="s">
        <v>5792</v>
      </c>
      <c r="DA167" s="209" t="s">
        <v>5792</v>
      </c>
      <c r="DB167" s="283" t="s">
        <v>5792</v>
      </c>
      <c r="DC167" s="163">
        <v>10.9</v>
      </c>
      <c r="DD167" s="163">
        <v>900</v>
      </c>
      <c r="DE167" s="32">
        <v>990</v>
      </c>
      <c r="DF167" s="163">
        <v>1000</v>
      </c>
      <c r="DG167" s="163">
        <v>1141</v>
      </c>
      <c r="DH167" s="61">
        <v>200000</v>
      </c>
      <c r="DI167" s="29" t="s">
        <v>4776</v>
      </c>
      <c r="DJ167" s="163" t="s">
        <v>4435</v>
      </c>
      <c r="DK167" s="297" t="s">
        <v>6112</v>
      </c>
    </row>
    <row r="168" spans="1:115">
      <c r="A168" s="300">
        <v>163</v>
      </c>
      <c r="B168" s="329"/>
      <c r="C168" s="329"/>
      <c r="D168" s="467"/>
      <c r="E168" s="467"/>
      <c r="F168" s="329"/>
      <c r="G168" s="329"/>
      <c r="H168" s="329"/>
      <c r="I168" s="329"/>
      <c r="J168" s="41" t="s">
        <v>6107</v>
      </c>
      <c r="K168" s="300" t="s">
        <v>4383</v>
      </c>
      <c r="L168" s="163" t="s">
        <v>5792</v>
      </c>
      <c r="M168" s="306" t="s">
        <v>4509</v>
      </c>
      <c r="N168" s="163" t="s">
        <v>4703</v>
      </c>
      <c r="O168" s="18" t="s">
        <v>4507</v>
      </c>
      <c r="P168" s="306" t="s">
        <v>4420</v>
      </c>
      <c r="Q168" s="303" t="s">
        <v>4420</v>
      </c>
      <c r="R168" s="303" t="s">
        <v>4420</v>
      </c>
      <c r="S168" s="163" t="s">
        <v>5792</v>
      </c>
      <c r="T168" s="163" t="s">
        <v>4420</v>
      </c>
      <c r="U168" s="163" t="s">
        <v>5792</v>
      </c>
      <c r="V168" s="163" t="s">
        <v>4559</v>
      </c>
      <c r="W168" s="18">
        <v>4</v>
      </c>
      <c r="X168" s="230">
        <v>622</v>
      </c>
      <c r="Y168" s="18">
        <v>0</v>
      </c>
      <c r="Z168" s="306" t="s">
        <v>3983</v>
      </c>
      <c r="AA168" s="21">
        <f>INDEX('[2]Cross-Section Database'!$C$2:$V$2928,MATCH(Z168,'[2]Cross-Section Database'!$B$2:$B$2928,0),3)</f>
        <v>240</v>
      </c>
      <c r="AB168" s="21">
        <f>INDEX('[2]Cross-Section Database'!$C$2:$V$2928,MATCH(Z168,'[2]Cross-Section Database'!$B$2:$B$2928,0),4)</f>
        <v>240</v>
      </c>
      <c r="AC168" s="21">
        <f>INDEX('[2]Cross-Section Database'!$C$2:$V$2928,MATCH(Z168,'[2]Cross-Section Database'!$B$2:$B$2928,0),6)</f>
        <v>17</v>
      </c>
      <c r="AD168" s="21">
        <f>INDEX('[2]Cross-Section Database'!$C$2:$V$2928,MATCH(Z168,'[2]Cross-Section Database'!$B$2:$B$2928,0),5)</f>
        <v>10</v>
      </c>
      <c r="AE168" s="21">
        <v>720</v>
      </c>
      <c r="AF168" s="306" t="s">
        <v>3916</v>
      </c>
      <c r="AG168" s="21">
        <f>INDEX('[2]Cross-Section Database'!$C$2:$V$23928,MATCH(AF168,'[2]Cross-Section Database'!$B$2:$B$3928,0),3)</f>
        <v>330</v>
      </c>
      <c r="AH168" s="21">
        <f>INDEX('[2]Cross-Section Database'!$C$2:$V$3928,MATCH(AF168,'[2]Cross-Section Database'!$B$2:$B$3928,0),4)</f>
        <v>160</v>
      </c>
      <c r="AI168" s="21">
        <f>INDEX('[2]Cross-Section Database'!$C$2:$V$3928,MATCH(AF168,'[2]Cross-Section Database'!$B$2:$B$3928,0),6)</f>
        <v>11.5</v>
      </c>
      <c r="AJ168" s="21">
        <f>INDEX('[2]Cross-Section Database'!$C$2:$V$3928,MATCH(AF168,'[2]Cross-Section Database'!$B$2:$B$3928,0),5)</f>
        <v>7.5</v>
      </c>
      <c r="AK168" s="21">
        <v>1420</v>
      </c>
      <c r="AL168" s="21">
        <f>INDEX('[2]Cross-Section Database'!$C$2:$V$3928,MATCH(AF168,'[2]Cross-Section Database'!$B$2:$B$3928,0),11)</f>
        <v>117700000</v>
      </c>
      <c r="AM168" s="24">
        <f>INDEX('[2]Cross-Section Database'!$C$2:$V$3928,MATCH(AF168,'[2]Cross-Section Database'!$B$2:$B$3928,0),12)</f>
        <v>804000</v>
      </c>
      <c r="AN168" s="54">
        <v>30</v>
      </c>
      <c r="AO168" s="46">
        <v>240</v>
      </c>
      <c r="AP168" s="46">
        <v>350</v>
      </c>
      <c r="AQ168" s="46">
        <v>10</v>
      </c>
      <c r="AR168" s="52">
        <v>10</v>
      </c>
      <c r="AS168" s="300"/>
      <c r="AT168" s="163" t="s">
        <v>6105</v>
      </c>
      <c r="AU168" s="21" t="e">
        <f>640/AV376/0.25</f>
        <v>#DIV/0!</v>
      </c>
      <c r="AV168" s="163">
        <v>20</v>
      </c>
      <c r="AW168" s="163">
        <f t="shared" si="38"/>
        <v>245</v>
      </c>
      <c r="AX168" s="21">
        <v>85</v>
      </c>
      <c r="AY168" s="21">
        <v>85</v>
      </c>
      <c r="AZ168" s="21">
        <v>60</v>
      </c>
      <c r="BA168" s="21">
        <v>128</v>
      </c>
      <c r="BB168" s="21">
        <v>60</v>
      </c>
      <c r="BC168" s="15" t="s">
        <v>4420</v>
      </c>
      <c r="BD168" s="163" t="s">
        <v>4465</v>
      </c>
      <c r="BE168" s="163" t="s">
        <v>4465</v>
      </c>
      <c r="BF168" s="163">
        <v>4</v>
      </c>
      <c r="BG168" s="18">
        <v>8</v>
      </c>
      <c r="BH168" s="202" t="s">
        <v>5792</v>
      </c>
      <c r="BI168" s="203" t="s">
        <v>5792</v>
      </c>
      <c r="BJ168" s="203" t="s">
        <v>5792</v>
      </c>
      <c r="BK168" s="203" t="s">
        <v>5792</v>
      </c>
      <c r="BL168" s="203" t="s">
        <v>5792</v>
      </c>
      <c r="BM168" s="203" t="s">
        <v>5792</v>
      </c>
      <c r="BN168" s="203" t="s">
        <v>5792</v>
      </c>
      <c r="BO168" s="203" t="s">
        <v>5792</v>
      </c>
      <c r="BP168" s="202" t="s">
        <v>5792</v>
      </c>
      <c r="BQ168" s="203" t="s">
        <v>5792</v>
      </c>
      <c r="BR168" s="203" t="s">
        <v>5792</v>
      </c>
      <c r="BS168" s="203" t="s">
        <v>5792</v>
      </c>
      <c r="BT168" s="203" t="s">
        <v>5792</v>
      </c>
      <c r="BU168" s="203" t="s">
        <v>5792</v>
      </c>
      <c r="BV168" s="218" t="s">
        <v>5792</v>
      </c>
      <c r="BW168" s="202" t="s">
        <v>5792</v>
      </c>
      <c r="BX168" s="203" t="s">
        <v>5792</v>
      </c>
      <c r="BY168" s="203" t="s">
        <v>5792</v>
      </c>
      <c r="BZ168" s="203" t="s">
        <v>5792</v>
      </c>
      <c r="CA168" s="203" t="s">
        <v>5792</v>
      </c>
      <c r="CB168" s="218" t="s">
        <v>5792</v>
      </c>
      <c r="CC168" s="163" t="s">
        <v>6283</v>
      </c>
      <c r="CD168" s="163">
        <v>235</v>
      </c>
      <c r="CE168" s="21">
        <v>333.5</v>
      </c>
      <c r="CF168" s="60">
        <v>360</v>
      </c>
      <c r="CG168" s="163">
        <v>463</v>
      </c>
      <c r="CH168" s="67">
        <v>200000</v>
      </c>
      <c r="CI168" s="163" t="s">
        <v>6283</v>
      </c>
      <c r="CJ168" s="163">
        <v>235</v>
      </c>
      <c r="CK168" s="21">
        <v>303</v>
      </c>
      <c r="CL168" s="60">
        <v>360</v>
      </c>
      <c r="CM168" s="21">
        <v>438</v>
      </c>
      <c r="CN168" s="67">
        <v>200000</v>
      </c>
      <c r="CO168" s="163" t="s">
        <v>6283</v>
      </c>
      <c r="CP168" s="163">
        <v>235</v>
      </c>
      <c r="CQ168" s="33">
        <v>300</v>
      </c>
      <c r="CR168" s="60">
        <v>360</v>
      </c>
      <c r="CS168" s="33">
        <v>450</v>
      </c>
      <c r="CT168" s="67">
        <v>200000</v>
      </c>
      <c r="CU168" s="207" t="s">
        <v>5792</v>
      </c>
      <c r="CV168" s="208" t="s">
        <v>5792</v>
      </c>
      <c r="CW168" s="208" t="s">
        <v>5792</v>
      </c>
      <c r="CX168" s="209" t="s">
        <v>5792</v>
      </c>
      <c r="CY168" s="207" t="s">
        <v>5792</v>
      </c>
      <c r="CZ168" s="208" t="s">
        <v>5792</v>
      </c>
      <c r="DA168" s="209" t="s">
        <v>5792</v>
      </c>
      <c r="DB168" s="283" t="s">
        <v>5792</v>
      </c>
      <c r="DC168" s="163">
        <v>10.9</v>
      </c>
      <c r="DD168" s="163">
        <v>900</v>
      </c>
      <c r="DE168" s="32">
        <v>990</v>
      </c>
      <c r="DF168" s="163">
        <v>1000</v>
      </c>
      <c r="DG168" s="163">
        <v>1141</v>
      </c>
      <c r="DH168" s="61">
        <v>200000</v>
      </c>
      <c r="DI168" s="29" t="s">
        <v>4771</v>
      </c>
      <c r="DJ168" s="163" t="s">
        <v>4435</v>
      </c>
      <c r="DK168" s="297" t="s">
        <v>6111</v>
      </c>
    </row>
    <row r="169" spans="1:115" ht="16.2" thickBot="1">
      <c r="A169" s="301">
        <v>164</v>
      </c>
      <c r="B169" s="330"/>
      <c r="C169" s="330"/>
      <c r="D169" s="332"/>
      <c r="E169" s="332"/>
      <c r="F169" s="330"/>
      <c r="G169" s="330"/>
      <c r="H169" s="330"/>
      <c r="I169" s="330"/>
      <c r="J169" s="308" t="s">
        <v>6102</v>
      </c>
      <c r="K169" s="301" t="s">
        <v>4383</v>
      </c>
      <c r="L169" s="304" t="s">
        <v>5792</v>
      </c>
      <c r="M169" s="301" t="s">
        <v>4508</v>
      </c>
      <c r="N169" s="164" t="s">
        <v>4702</v>
      </c>
      <c r="O169" s="50" t="s">
        <v>4507</v>
      </c>
      <c r="P169" s="301" t="s">
        <v>4470</v>
      </c>
      <c r="Q169" s="304" t="s">
        <v>4420</v>
      </c>
      <c r="R169" s="304" t="s">
        <v>4420</v>
      </c>
      <c r="S169" s="304" t="s">
        <v>5792</v>
      </c>
      <c r="T169" s="304" t="s">
        <v>4420</v>
      </c>
      <c r="U169" s="304" t="s">
        <v>5792</v>
      </c>
      <c r="V169" s="164" t="s">
        <v>4559</v>
      </c>
      <c r="W169" s="14">
        <v>4</v>
      </c>
      <c r="X169" s="235">
        <v>0</v>
      </c>
      <c r="Y169" s="14">
        <v>0</v>
      </c>
      <c r="Z169" s="143" t="s">
        <v>3983</v>
      </c>
      <c r="AA169" s="23">
        <f>INDEX('[2]Cross-Section Database'!$C$2:$V$2928,MATCH(Z169,'[2]Cross-Section Database'!$B$2:$B$2928,0),3)</f>
        <v>240</v>
      </c>
      <c r="AB169" s="23">
        <f>INDEX('[2]Cross-Section Database'!$C$2:$V$2928,MATCH(Z169,'[2]Cross-Section Database'!$B$2:$B$2928,0),4)</f>
        <v>240</v>
      </c>
      <c r="AC169" s="56">
        <f>INDEX('[2]Cross-Section Database'!$C$2:$V$2928,MATCH(Z169,'[2]Cross-Section Database'!$B$2:$B$2928,0),6)</f>
        <v>17</v>
      </c>
      <c r="AD169" s="56">
        <f>INDEX('[2]Cross-Section Database'!$C$2:$V$2928,MATCH(Z169,'[2]Cross-Section Database'!$B$2:$B$2928,0),5)</f>
        <v>10</v>
      </c>
      <c r="AE169" s="23">
        <v>720</v>
      </c>
      <c r="AF169" s="143" t="s">
        <v>3916</v>
      </c>
      <c r="AG169" s="21">
        <f>INDEX('[2]Cross-Section Database'!$C$2:$V$2928,MATCH(AF169,'[2]Cross-Section Database'!$B$2:$B$2928,0),3)</f>
        <v>330</v>
      </c>
      <c r="AH169" s="21">
        <f>INDEX('[2]Cross-Section Database'!$C$2:$V$2928,MATCH(AF169,'[2]Cross-Section Database'!$B$2:$B$2928,0),4)</f>
        <v>160</v>
      </c>
      <c r="AI169" s="21">
        <f>INDEX('[2]Cross-Section Database'!$C$2:$V$2928,MATCH(AF169,'[2]Cross-Section Database'!$B$2:$B$2928,0),6)</f>
        <v>11.5</v>
      </c>
      <c r="AJ169" s="21">
        <f>INDEX('[2]Cross-Section Database'!$C$2:$V$2928,MATCH(AF169,'[2]Cross-Section Database'!$B$2:$B$2928,0),5)</f>
        <v>7.5</v>
      </c>
      <c r="AK169" s="21">
        <v>1400</v>
      </c>
      <c r="AL169" s="23">
        <f>INDEX('[2]Cross-Section Database'!$C$2:$V$3928,MATCH(AF169,'[2]Cross-Section Database'!$B$2:$B$3928,0),11)</f>
        <v>117700000</v>
      </c>
      <c r="AM169" s="25">
        <f>INDEX('[2]Cross-Section Database'!$C$2:$V$3928,MATCH(AF169,'[2]Cross-Section Database'!$B$2:$B$3928,0),12)</f>
        <v>804000</v>
      </c>
      <c r="AN169" s="55">
        <v>30</v>
      </c>
      <c r="AO169" s="56">
        <v>240</v>
      </c>
      <c r="AP169" s="56">
        <v>350</v>
      </c>
      <c r="AQ169" s="56">
        <v>10</v>
      </c>
      <c r="AR169" s="57">
        <v>10</v>
      </c>
      <c r="AS169" s="301" t="s">
        <v>5807</v>
      </c>
      <c r="AT169" s="164" t="s">
        <v>6105</v>
      </c>
      <c r="AU169" s="23">
        <f>640/AV169/0.25</f>
        <v>128</v>
      </c>
      <c r="AV169" s="304">
        <v>20</v>
      </c>
      <c r="AW169" s="304">
        <f t="shared" si="38"/>
        <v>245</v>
      </c>
      <c r="AX169" s="56">
        <v>85</v>
      </c>
      <c r="AY169" s="56">
        <v>85</v>
      </c>
      <c r="AZ169" s="56">
        <v>60</v>
      </c>
      <c r="BA169" s="56">
        <v>128</v>
      </c>
      <c r="BB169" s="56">
        <v>60</v>
      </c>
      <c r="BC169" s="242" t="s">
        <v>4420</v>
      </c>
      <c r="BD169" s="304" t="s">
        <v>4465</v>
      </c>
      <c r="BE169" s="304" t="s">
        <v>4465</v>
      </c>
      <c r="BF169" s="304">
        <v>4</v>
      </c>
      <c r="BG169" s="50">
        <v>8</v>
      </c>
      <c r="BH169" s="306">
        <v>120</v>
      </c>
      <c r="BI169" s="163">
        <v>1000</v>
      </c>
      <c r="BJ169" s="203" t="s">
        <v>5792</v>
      </c>
      <c r="BK169" s="203" t="s">
        <v>5792</v>
      </c>
      <c r="BL169" s="203" t="s">
        <v>5792</v>
      </c>
      <c r="BM169" s="203" t="s">
        <v>5792</v>
      </c>
      <c r="BN169" s="203" t="s">
        <v>5792</v>
      </c>
      <c r="BO169" s="203" t="s">
        <v>5792</v>
      </c>
      <c r="BP169" s="143" t="s">
        <v>5856</v>
      </c>
      <c r="BQ169" s="164">
        <v>10</v>
      </c>
      <c r="BR169" s="164">
        <v>1</v>
      </c>
      <c r="BS169" s="164">
        <v>19</v>
      </c>
      <c r="BT169" s="164">
        <v>100</v>
      </c>
      <c r="BU169" s="164">
        <v>75</v>
      </c>
      <c r="BV169" s="14">
        <v>150</v>
      </c>
      <c r="BW169" s="143" t="s">
        <v>6100</v>
      </c>
      <c r="BX169" s="164" t="s">
        <v>6101</v>
      </c>
      <c r="BY169" s="23">
        <f>188*BI165/1000</f>
        <v>225.6</v>
      </c>
      <c r="BZ169" s="23">
        <f>4*PI()*12^2/4</f>
        <v>452.38934211693021</v>
      </c>
      <c r="CA169" s="23">
        <v>25</v>
      </c>
      <c r="CB169" s="122">
        <v>3.8E-3</v>
      </c>
      <c r="CC169" s="164" t="s">
        <v>6283</v>
      </c>
      <c r="CD169" s="87">
        <v>235</v>
      </c>
      <c r="CE169" s="23">
        <v>334</v>
      </c>
      <c r="CF169" s="87">
        <v>360</v>
      </c>
      <c r="CG169" s="164">
        <v>463</v>
      </c>
      <c r="CH169" s="70">
        <v>200000</v>
      </c>
      <c r="CI169" s="164" t="s">
        <v>6283</v>
      </c>
      <c r="CJ169" s="87">
        <v>235</v>
      </c>
      <c r="CK169" s="23">
        <v>303</v>
      </c>
      <c r="CL169" s="87">
        <v>360</v>
      </c>
      <c r="CM169" s="23">
        <v>438</v>
      </c>
      <c r="CN169" s="70">
        <v>200000</v>
      </c>
      <c r="CO169" s="164" t="s">
        <v>6283</v>
      </c>
      <c r="CP169" s="87">
        <v>235</v>
      </c>
      <c r="CQ169" s="35">
        <v>300</v>
      </c>
      <c r="CR169" s="87">
        <v>360</v>
      </c>
      <c r="CS169" s="35">
        <v>450</v>
      </c>
      <c r="CT169" s="70">
        <v>200000</v>
      </c>
      <c r="CU169" s="143" t="s">
        <v>6103</v>
      </c>
      <c r="CV169" s="23">
        <v>30.5</v>
      </c>
      <c r="CW169" s="77"/>
      <c r="CX169" s="83">
        <v>28950</v>
      </c>
      <c r="CY169" s="93">
        <v>634</v>
      </c>
      <c r="CZ169" s="84">
        <v>657</v>
      </c>
      <c r="DA169" s="67">
        <v>200000</v>
      </c>
      <c r="DB169" s="283" t="s">
        <v>5792</v>
      </c>
      <c r="DC169" s="164">
        <v>10.9</v>
      </c>
      <c r="DD169" s="164">
        <v>900</v>
      </c>
      <c r="DE169" s="34">
        <v>990</v>
      </c>
      <c r="DF169" s="164">
        <v>1000</v>
      </c>
      <c r="DG169" s="164">
        <v>1141</v>
      </c>
      <c r="DH169" s="77">
        <v>200000</v>
      </c>
      <c r="DI169" s="27" t="s">
        <v>6108</v>
      </c>
      <c r="DJ169" s="143" t="s">
        <v>4435</v>
      </c>
      <c r="DK169" s="298" t="s">
        <v>6219</v>
      </c>
    </row>
    <row r="170" spans="1:115" ht="15.6" customHeight="1">
      <c r="A170" s="305">
        <v>165</v>
      </c>
      <c r="B170" s="325">
        <v>24</v>
      </c>
      <c r="C170" s="325">
        <v>1996</v>
      </c>
      <c r="D170" s="342" t="s">
        <v>4710</v>
      </c>
      <c r="E170" s="342" t="s">
        <v>4858</v>
      </c>
      <c r="F170" s="325">
        <v>3</v>
      </c>
      <c r="G170" s="336" t="s">
        <v>5908</v>
      </c>
      <c r="H170" s="336" t="s">
        <v>5907</v>
      </c>
      <c r="I170" s="336" t="s">
        <v>6237</v>
      </c>
      <c r="J170" s="129" t="s">
        <v>6284</v>
      </c>
      <c r="K170" s="305" t="s">
        <v>4383</v>
      </c>
      <c r="L170" s="30" t="s">
        <v>5792</v>
      </c>
      <c r="M170" s="305" t="s">
        <v>4509</v>
      </c>
      <c r="N170" s="162" t="s">
        <v>4703</v>
      </c>
      <c r="O170" s="17" t="s">
        <v>4507</v>
      </c>
      <c r="P170" s="162" t="s">
        <v>4420</v>
      </c>
      <c r="Q170" s="162" t="s">
        <v>4420</v>
      </c>
      <c r="R170" s="162" t="s">
        <v>6169</v>
      </c>
      <c r="S170" s="30">
        <v>20</v>
      </c>
      <c r="T170" s="162" t="s">
        <v>4420</v>
      </c>
      <c r="U170" s="162" t="s">
        <v>5792</v>
      </c>
      <c r="V170" s="30" t="s">
        <v>4559</v>
      </c>
      <c r="W170" s="88">
        <v>10</v>
      </c>
      <c r="X170" s="231">
        <v>0</v>
      </c>
      <c r="Y170" s="18" t="s">
        <v>5792</v>
      </c>
      <c r="Z170" s="305" t="s">
        <v>4515</v>
      </c>
      <c r="AA170" s="16" t="s">
        <v>5792</v>
      </c>
      <c r="AB170" s="16" t="s">
        <v>5792</v>
      </c>
      <c r="AC170" s="30">
        <v>51</v>
      </c>
      <c r="AD170" s="16" t="s">
        <v>5792</v>
      </c>
      <c r="AE170" s="16" t="s">
        <v>5792</v>
      </c>
      <c r="AF170" s="305" t="s">
        <v>6316</v>
      </c>
      <c r="AG170" s="16">
        <f>INDEX('[2]Cross-Section Database'!$C$2:$V$2928,MATCH(AF170,'[2]Cross-Section Database'!$B$2:$B$2928,0),3)</f>
        <v>300</v>
      </c>
      <c r="AH170" s="16">
        <f>INDEX('[2]Cross-Section Database'!$C$2:$V$2928,MATCH(AF170,'[2]Cross-Section Database'!$B$2:$B$2928,0),4)</f>
        <v>150</v>
      </c>
      <c r="AI170" s="16">
        <f>INDEX('[2]Cross-Section Database'!$C$2:$V$2928,MATCH(AF170,'[2]Cross-Section Database'!$B$2:$B$2928,0),6)</f>
        <v>10.7</v>
      </c>
      <c r="AJ170" s="16">
        <f>INDEX('[2]Cross-Section Database'!$C$2:$V$2928,MATCH(AF170,'[2]Cross-Section Database'!$B$2:$B$2928,0),5)</f>
        <v>7.1</v>
      </c>
      <c r="AK170" s="16">
        <v>900</v>
      </c>
      <c r="AL170" s="16">
        <f>INDEX('[2]Cross-Section Database'!$C$2:$V$3928,MATCH(AF170,'[2]Cross-Section Database'!$B$2:$B$3928,0),11)</f>
        <v>83560000</v>
      </c>
      <c r="AM170" s="26">
        <f>INDEX('[2]Cross-Section Database'!$C$2:$V$3928,MATCH(AF170,'[2]Cross-Section Database'!$B$2:$B$3928,0),12)</f>
        <v>628000</v>
      </c>
      <c r="AN170" s="53">
        <v>12</v>
      </c>
      <c r="AO170" s="45">
        <v>170</v>
      </c>
      <c r="AP170" s="45">
        <v>300</v>
      </c>
      <c r="AQ170" s="45">
        <f>(AP170-AG170)-AR170</f>
        <v>0</v>
      </c>
      <c r="AR170" s="51">
        <f t="shared" ref="AR170:AR185" si="54">(AP170-AG170)/2</f>
        <v>0</v>
      </c>
      <c r="AS170" s="299" t="s">
        <v>5807</v>
      </c>
      <c r="AT170" s="162" t="s">
        <v>4498</v>
      </c>
      <c r="AU170" s="16">
        <f>0.4*DD170*AW170/1000</f>
        <v>62.72</v>
      </c>
      <c r="AV170" s="162">
        <v>20</v>
      </c>
      <c r="AW170" s="162">
        <f>IF(AV170=24,353,IF(AV170=22,303,IF(AV170=20,245,IF(AV170=16,157,0))))</f>
        <v>245</v>
      </c>
      <c r="AX170" s="16">
        <v>60</v>
      </c>
      <c r="AY170" s="16">
        <v>60</v>
      </c>
      <c r="AZ170" s="16">
        <v>0</v>
      </c>
      <c r="BA170" s="16">
        <v>105</v>
      </c>
      <c r="BB170" s="16">
        <f>AP170-AX170-AY170-AZ170</f>
        <v>180</v>
      </c>
      <c r="BC170" s="22" t="s">
        <v>6313</v>
      </c>
      <c r="BD170" s="162" t="s">
        <v>6209</v>
      </c>
      <c r="BE170" s="162" t="s">
        <v>6209</v>
      </c>
      <c r="BF170" s="162">
        <v>2</v>
      </c>
      <c r="BG170" s="17">
        <v>4</v>
      </c>
      <c r="BH170" s="200" t="s">
        <v>5792</v>
      </c>
      <c r="BI170" s="201" t="s">
        <v>5792</v>
      </c>
      <c r="BJ170" s="201" t="s">
        <v>5792</v>
      </c>
      <c r="BK170" s="201" t="s">
        <v>5792</v>
      </c>
      <c r="BL170" s="201" t="s">
        <v>5792</v>
      </c>
      <c r="BM170" s="201" t="s">
        <v>5792</v>
      </c>
      <c r="BN170" s="201" t="s">
        <v>5792</v>
      </c>
      <c r="BO170" s="201" t="s">
        <v>5792</v>
      </c>
      <c r="BP170" s="200" t="s">
        <v>5792</v>
      </c>
      <c r="BQ170" s="201" t="s">
        <v>5792</v>
      </c>
      <c r="BR170" s="201" t="s">
        <v>5792</v>
      </c>
      <c r="BS170" s="201" t="s">
        <v>5792</v>
      </c>
      <c r="BT170" s="201" t="s">
        <v>5792</v>
      </c>
      <c r="BU170" s="201" t="s">
        <v>5792</v>
      </c>
      <c r="BV170" s="219" t="s">
        <v>5792</v>
      </c>
      <c r="BW170" s="200" t="s">
        <v>5792</v>
      </c>
      <c r="BX170" s="201" t="s">
        <v>5792</v>
      </c>
      <c r="BY170" s="201" t="s">
        <v>5792</v>
      </c>
      <c r="BZ170" s="201" t="s">
        <v>5792</v>
      </c>
      <c r="CA170" s="201" t="s">
        <v>5792</v>
      </c>
      <c r="CB170" s="219" t="s">
        <v>5792</v>
      </c>
      <c r="CC170" s="162" t="s">
        <v>6317</v>
      </c>
      <c r="CD170" s="162">
        <v>235</v>
      </c>
      <c r="CE170" s="16">
        <v>309</v>
      </c>
      <c r="CF170" s="65">
        <v>360</v>
      </c>
      <c r="CG170" s="162">
        <v>408</v>
      </c>
      <c r="CH170" s="66">
        <v>200000</v>
      </c>
      <c r="CI170" s="162" t="s">
        <v>6317</v>
      </c>
      <c r="CJ170" s="162">
        <v>235</v>
      </c>
      <c r="CK170" s="16">
        <v>309</v>
      </c>
      <c r="CL170" s="65">
        <v>360</v>
      </c>
      <c r="CM170" s="162">
        <v>408</v>
      </c>
      <c r="CN170" s="66">
        <v>200000</v>
      </c>
      <c r="CO170" s="162" t="s">
        <v>6317</v>
      </c>
      <c r="CP170" s="162">
        <v>235</v>
      </c>
      <c r="CQ170" s="16">
        <v>309</v>
      </c>
      <c r="CR170" s="65">
        <v>360</v>
      </c>
      <c r="CS170" s="162">
        <v>408</v>
      </c>
      <c r="CT170" s="66">
        <v>200000</v>
      </c>
      <c r="CU170" s="204" t="s">
        <v>5792</v>
      </c>
      <c r="CV170" s="205" t="s">
        <v>5792</v>
      </c>
      <c r="CW170" s="205" t="s">
        <v>5792</v>
      </c>
      <c r="CX170" s="206" t="s">
        <v>5792</v>
      </c>
      <c r="CY170" s="204" t="s">
        <v>5792</v>
      </c>
      <c r="CZ170" s="205" t="s">
        <v>5792</v>
      </c>
      <c r="DA170" s="206" t="s">
        <v>5792</v>
      </c>
      <c r="DB170" s="282" t="s">
        <v>5792</v>
      </c>
      <c r="DC170" s="162">
        <v>8.8000000000000007</v>
      </c>
      <c r="DD170" s="162">
        <v>640</v>
      </c>
      <c r="DE170" s="30">
        <v>730</v>
      </c>
      <c r="DF170" s="162">
        <v>800</v>
      </c>
      <c r="DG170" s="32">
        <v>940</v>
      </c>
      <c r="DH170" s="76">
        <v>200000</v>
      </c>
      <c r="DI170" s="43" t="s">
        <v>4770</v>
      </c>
      <c r="DJ170" s="162" t="s">
        <v>4435</v>
      </c>
      <c r="DK170" s="297" t="s">
        <v>4566</v>
      </c>
    </row>
    <row r="171" spans="1:115">
      <c r="A171" s="306">
        <v>166</v>
      </c>
      <c r="B171" s="326"/>
      <c r="C171" s="326"/>
      <c r="D171" s="343"/>
      <c r="E171" s="343"/>
      <c r="F171" s="326"/>
      <c r="G171" s="337"/>
      <c r="H171" s="337"/>
      <c r="I171" s="337"/>
      <c r="J171" s="314" t="s">
        <v>6285</v>
      </c>
      <c r="K171" s="306" t="s">
        <v>6318</v>
      </c>
      <c r="L171" s="32" t="s">
        <v>6061</v>
      </c>
      <c r="M171" s="306" t="s">
        <v>4509</v>
      </c>
      <c r="N171" s="163" t="s">
        <v>4703</v>
      </c>
      <c r="O171" s="18" t="s">
        <v>4507</v>
      </c>
      <c r="P171" s="163" t="s">
        <v>6312</v>
      </c>
      <c r="Q171" s="163" t="s">
        <v>4420</v>
      </c>
      <c r="R171" s="163" t="s">
        <v>6169</v>
      </c>
      <c r="S171" s="32">
        <v>20</v>
      </c>
      <c r="T171" s="163" t="s">
        <v>4420</v>
      </c>
      <c r="U171" s="163" t="s">
        <v>5792</v>
      </c>
      <c r="V171" s="32" t="s">
        <v>4559</v>
      </c>
      <c r="W171" s="73">
        <v>10</v>
      </c>
      <c r="X171" s="231">
        <v>0</v>
      </c>
      <c r="Y171" s="18" t="s">
        <v>5792</v>
      </c>
      <c r="Z171" s="306" t="s">
        <v>4515</v>
      </c>
      <c r="AA171" s="21" t="s">
        <v>5792</v>
      </c>
      <c r="AB171" s="21" t="s">
        <v>5792</v>
      </c>
      <c r="AC171" s="32">
        <v>51</v>
      </c>
      <c r="AD171" s="21" t="s">
        <v>5792</v>
      </c>
      <c r="AE171" s="21" t="s">
        <v>5792</v>
      </c>
      <c r="AF171" s="306" t="s">
        <v>6316</v>
      </c>
      <c r="AG171" s="21">
        <f>INDEX('[2]Cross-Section Database'!$C$2:$V$2928,MATCH(AF171,'[2]Cross-Section Database'!$B$2:$B$2928,0),3)</f>
        <v>300</v>
      </c>
      <c r="AH171" s="21">
        <f>INDEX('[2]Cross-Section Database'!$C$2:$V$2928,MATCH(AF171,'[2]Cross-Section Database'!$B$2:$B$2928,0),4)</f>
        <v>150</v>
      </c>
      <c r="AI171" s="21">
        <f>INDEX('[2]Cross-Section Database'!$C$2:$V$2928,MATCH(AF171,'[2]Cross-Section Database'!$B$2:$B$2928,0),6)</f>
        <v>10.7</v>
      </c>
      <c r="AJ171" s="21">
        <f>INDEX('[2]Cross-Section Database'!$C$2:$V$2928,MATCH(AF171,'[2]Cross-Section Database'!$B$2:$B$2928,0),5)</f>
        <v>7.1</v>
      </c>
      <c r="AK171" s="21">
        <v>900</v>
      </c>
      <c r="AL171" s="21">
        <f>INDEX('[2]Cross-Section Database'!$C$2:$V$3928,MATCH(AF171,'[2]Cross-Section Database'!$B$2:$B$3928,0),11)</f>
        <v>83560000</v>
      </c>
      <c r="AM171" s="24">
        <f>INDEX('[2]Cross-Section Database'!$C$2:$V$3928,MATCH(AF171,'[2]Cross-Section Database'!$B$2:$B$3928,0),12)</f>
        <v>628000</v>
      </c>
      <c r="AN171" s="54">
        <v>12</v>
      </c>
      <c r="AO171" s="46">
        <v>170</v>
      </c>
      <c r="AP171" s="46">
        <v>300</v>
      </c>
      <c r="AQ171" s="46">
        <f>(AP171-AG171)-AR171</f>
        <v>0</v>
      </c>
      <c r="AR171" s="52">
        <f t="shared" si="54"/>
        <v>0</v>
      </c>
      <c r="AS171" s="300" t="s">
        <v>5807</v>
      </c>
      <c r="AT171" s="163" t="s">
        <v>4498</v>
      </c>
      <c r="AU171" s="21">
        <f>0.4*DD171*AW171/1000</f>
        <v>62.72</v>
      </c>
      <c r="AV171" s="163">
        <v>20</v>
      </c>
      <c r="AW171" s="163">
        <f>IF(AV171=24,353,IF(AV171=22,303,IF(AV171=20,245,IF(AV171=16,157,0))))</f>
        <v>245</v>
      </c>
      <c r="AX171" s="21">
        <v>60</v>
      </c>
      <c r="AY171" s="21">
        <v>60</v>
      </c>
      <c r="AZ171" s="21">
        <v>0</v>
      </c>
      <c r="BA171" s="21">
        <v>105</v>
      </c>
      <c r="BB171" s="21">
        <f>AP171-AX171-AY171-AZ171</f>
        <v>180</v>
      </c>
      <c r="BC171" s="15" t="s">
        <v>6313</v>
      </c>
      <c r="BD171" s="163" t="s">
        <v>6209</v>
      </c>
      <c r="BE171" s="163" t="s">
        <v>6209</v>
      </c>
      <c r="BF171" s="163">
        <v>2</v>
      </c>
      <c r="BG171" s="18">
        <v>4</v>
      </c>
      <c r="BH171" s="202" t="s">
        <v>5792</v>
      </c>
      <c r="BI171" s="203" t="s">
        <v>5792</v>
      </c>
      <c r="BJ171" s="203" t="s">
        <v>5792</v>
      </c>
      <c r="BK171" s="203" t="s">
        <v>5792</v>
      </c>
      <c r="BL171" s="203" t="s">
        <v>5792</v>
      </c>
      <c r="BM171" s="203" t="s">
        <v>5792</v>
      </c>
      <c r="BN171" s="203" t="s">
        <v>5792</v>
      </c>
      <c r="BO171" s="203" t="s">
        <v>5792</v>
      </c>
      <c r="BP171" s="202" t="s">
        <v>5792</v>
      </c>
      <c r="BQ171" s="203" t="s">
        <v>5792</v>
      </c>
      <c r="BR171" s="203" t="s">
        <v>5792</v>
      </c>
      <c r="BS171" s="203" t="s">
        <v>5792</v>
      </c>
      <c r="BT171" s="203" t="s">
        <v>5792</v>
      </c>
      <c r="BU171" s="203" t="s">
        <v>5792</v>
      </c>
      <c r="BV171" s="218" t="s">
        <v>5792</v>
      </c>
      <c r="BW171" s="202" t="s">
        <v>5792</v>
      </c>
      <c r="BX171" s="203" t="s">
        <v>5792</v>
      </c>
      <c r="BY171" s="203" t="s">
        <v>5792</v>
      </c>
      <c r="BZ171" s="203" t="s">
        <v>5792</v>
      </c>
      <c r="CA171" s="203" t="s">
        <v>5792</v>
      </c>
      <c r="CB171" s="218" t="s">
        <v>5792</v>
      </c>
      <c r="CC171" s="163" t="s">
        <v>6286</v>
      </c>
      <c r="CD171" s="163">
        <v>275</v>
      </c>
      <c r="CE171" s="21">
        <v>321</v>
      </c>
      <c r="CF171" s="60">
        <v>510</v>
      </c>
      <c r="CG171" s="163">
        <v>465</v>
      </c>
      <c r="CH171" s="67">
        <v>200000</v>
      </c>
      <c r="CI171" s="163" t="s">
        <v>6286</v>
      </c>
      <c r="CJ171" s="163">
        <v>275</v>
      </c>
      <c r="CK171" s="21">
        <v>321</v>
      </c>
      <c r="CL171" s="60">
        <v>510</v>
      </c>
      <c r="CM171" s="163">
        <v>465</v>
      </c>
      <c r="CN171" s="67">
        <v>200000</v>
      </c>
      <c r="CO171" s="163" t="s">
        <v>6286</v>
      </c>
      <c r="CP171" s="163">
        <v>275</v>
      </c>
      <c r="CQ171" s="21">
        <v>321</v>
      </c>
      <c r="CR171" s="60">
        <v>510</v>
      </c>
      <c r="CS171" s="163">
        <v>465</v>
      </c>
      <c r="CT171" s="67">
        <v>200000</v>
      </c>
      <c r="CU171" s="207" t="s">
        <v>5792</v>
      </c>
      <c r="CV171" s="208" t="s">
        <v>5792</v>
      </c>
      <c r="CW171" s="208" t="s">
        <v>5792</v>
      </c>
      <c r="CX171" s="209" t="s">
        <v>5792</v>
      </c>
      <c r="CY171" s="207" t="s">
        <v>5792</v>
      </c>
      <c r="CZ171" s="208" t="s">
        <v>5792</v>
      </c>
      <c r="DA171" s="209" t="s">
        <v>5792</v>
      </c>
      <c r="DB171" s="283" t="s">
        <v>5792</v>
      </c>
      <c r="DC171" s="163">
        <v>8.8000000000000007</v>
      </c>
      <c r="DD171" s="163">
        <v>640</v>
      </c>
      <c r="DE171" s="32">
        <v>730</v>
      </c>
      <c r="DF171" s="163">
        <v>800</v>
      </c>
      <c r="DG171" s="32">
        <v>940</v>
      </c>
      <c r="DH171" s="61">
        <v>200000</v>
      </c>
      <c r="DI171" s="41" t="s">
        <v>4770</v>
      </c>
      <c r="DJ171" s="163" t="s">
        <v>4435</v>
      </c>
      <c r="DK171" s="297" t="s">
        <v>4566</v>
      </c>
    </row>
    <row r="172" spans="1:115" ht="15.6" customHeight="1" thickBot="1">
      <c r="A172" s="143">
        <v>167</v>
      </c>
      <c r="B172" s="327"/>
      <c r="C172" s="327"/>
      <c r="D172" s="344"/>
      <c r="E172" s="344"/>
      <c r="F172" s="327"/>
      <c r="G172" s="338"/>
      <c r="H172" s="338"/>
      <c r="I172" s="338"/>
      <c r="J172" s="315" t="s">
        <v>6287</v>
      </c>
      <c r="K172" s="143" t="s">
        <v>6318</v>
      </c>
      <c r="L172" s="34" t="s">
        <v>6061</v>
      </c>
      <c r="M172" s="143" t="s">
        <v>4509</v>
      </c>
      <c r="N172" s="164" t="s">
        <v>4703</v>
      </c>
      <c r="O172" s="14" t="s">
        <v>4507</v>
      </c>
      <c r="P172" s="164" t="s">
        <v>6312</v>
      </c>
      <c r="Q172" s="164" t="s">
        <v>4420</v>
      </c>
      <c r="R172" s="164" t="s">
        <v>6169</v>
      </c>
      <c r="S172" s="34">
        <v>20</v>
      </c>
      <c r="T172" s="164" t="s">
        <v>4420</v>
      </c>
      <c r="U172" s="164" t="s">
        <v>5792</v>
      </c>
      <c r="V172" s="34" t="s">
        <v>4559</v>
      </c>
      <c r="W172" s="118">
        <v>10</v>
      </c>
      <c r="X172" s="233">
        <v>0</v>
      </c>
      <c r="Y172" s="14" t="s">
        <v>5792</v>
      </c>
      <c r="Z172" s="160" t="s">
        <v>4515</v>
      </c>
      <c r="AA172" s="203" t="s">
        <v>5792</v>
      </c>
      <c r="AB172" s="203" t="s">
        <v>5792</v>
      </c>
      <c r="AC172" s="35">
        <v>51</v>
      </c>
      <c r="AD172" s="203" t="s">
        <v>5792</v>
      </c>
      <c r="AE172" s="203" t="s">
        <v>5792</v>
      </c>
      <c r="AF172" s="143" t="s">
        <v>6316</v>
      </c>
      <c r="AG172" s="23">
        <f>INDEX('[2]Cross-Section Database'!$C$2:$V$2928,MATCH(AF172,'[2]Cross-Section Database'!$B$2:$B$2928,0),3)</f>
        <v>300</v>
      </c>
      <c r="AH172" s="23">
        <f>INDEX('[2]Cross-Section Database'!$C$2:$V$2928,MATCH(AF172,'[2]Cross-Section Database'!$B$2:$B$2928,0),4)</f>
        <v>150</v>
      </c>
      <c r="AI172" s="23">
        <f>INDEX('[2]Cross-Section Database'!$C$2:$V$2928,MATCH(AF172,'[2]Cross-Section Database'!$B$2:$B$2928,0),6)</f>
        <v>10.7</v>
      </c>
      <c r="AJ172" s="23">
        <f>INDEX('[2]Cross-Section Database'!$C$2:$V$2928,MATCH(AF172,'[2]Cross-Section Database'!$B$2:$B$2928,0),5)</f>
        <v>7.1</v>
      </c>
      <c r="AK172" s="23">
        <v>900</v>
      </c>
      <c r="AL172" s="23">
        <f>INDEX('[2]Cross-Section Database'!$C$2:$V$3928,MATCH(AF172,'[2]Cross-Section Database'!$B$2:$B$3928,0),11)</f>
        <v>83560000</v>
      </c>
      <c r="AM172" s="25">
        <f>INDEX('[2]Cross-Section Database'!$C$2:$V$3928,MATCH(AF172,'[2]Cross-Section Database'!$B$2:$B$3928,0),12)</f>
        <v>628000</v>
      </c>
      <c r="AN172" s="23">
        <v>12</v>
      </c>
      <c r="AO172" s="23">
        <v>170</v>
      </c>
      <c r="AP172" s="23">
        <v>300</v>
      </c>
      <c r="AQ172" s="23">
        <f>(AP172-AG172)-AR172</f>
        <v>0</v>
      </c>
      <c r="AR172" s="23">
        <f t="shared" si="54"/>
        <v>0</v>
      </c>
      <c r="AS172" s="143" t="s">
        <v>5807</v>
      </c>
      <c r="AT172" s="164" t="s">
        <v>4498</v>
      </c>
      <c r="AU172" s="23">
        <f>0.4*DD172*AW172/1000</f>
        <v>40.192</v>
      </c>
      <c r="AV172" s="164">
        <v>16</v>
      </c>
      <c r="AW172" s="164">
        <f>IF(AV172=24,353,IF(AV172=22,303,IF(AV172=20,245,IF(AV172=16,157,0))))</f>
        <v>157</v>
      </c>
      <c r="AX172" s="23">
        <v>60</v>
      </c>
      <c r="AY172" s="23">
        <v>60</v>
      </c>
      <c r="AZ172" s="23">
        <v>60</v>
      </c>
      <c r="BA172" s="23">
        <v>105</v>
      </c>
      <c r="BB172" s="21">
        <f t="shared" ref="BB172" si="55">AP172-AX172-AY172-2*AZ172</f>
        <v>60</v>
      </c>
      <c r="BC172" s="19" t="s">
        <v>6312</v>
      </c>
      <c r="BD172" s="164" t="s">
        <v>4465</v>
      </c>
      <c r="BE172" s="164" t="s">
        <v>4465</v>
      </c>
      <c r="BF172" s="164">
        <v>4</v>
      </c>
      <c r="BG172" s="164">
        <v>8</v>
      </c>
      <c r="BH172" s="202" t="s">
        <v>5792</v>
      </c>
      <c r="BI172" s="203" t="s">
        <v>5792</v>
      </c>
      <c r="BJ172" s="203" t="s">
        <v>5792</v>
      </c>
      <c r="BK172" s="203" t="s">
        <v>5792</v>
      </c>
      <c r="BL172" s="203" t="s">
        <v>5792</v>
      </c>
      <c r="BM172" s="203" t="s">
        <v>5792</v>
      </c>
      <c r="BN172" s="203" t="s">
        <v>5792</v>
      </c>
      <c r="BO172" s="203" t="s">
        <v>5792</v>
      </c>
      <c r="BP172" s="202" t="s">
        <v>5792</v>
      </c>
      <c r="BQ172" s="203" t="s">
        <v>5792</v>
      </c>
      <c r="BR172" s="203" t="s">
        <v>5792</v>
      </c>
      <c r="BS172" s="203" t="s">
        <v>5792</v>
      </c>
      <c r="BT172" s="203" t="s">
        <v>5792</v>
      </c>
      <c r="BU172" s="203" t="s">
        <v>5792</v>
      </c>
      <c r="BV172" s="218" t="s">
        <v>5792</v>
      </c>
      <c r="BW172" s="203" t="s">
        <v>5792</v>
      </c>
      <c r="BX172" s="203" t="s">
        <v>5792</v>
      </c>
      <c r="BY172" s="203" t="s">
        <v>5792</v>
      </c>
      <c r="BZ172" s="203" t="s">
        <v>5792</v>
      </c>
      <c r="CA172" s="203" t="s">
        <v>5792</v>
      </c>
      <c r="CB172" s="218" t="s">
        <v>5792</v>
      </c>
      <c r="CC172" s="164" t="s">
        <v>6286</v>
      </c>
      <c r="CD172" s="164">
        <v>275</v>
      </c>
      <c r="CE172" s="21">
        <v>321</v>
      </c>
      <c r="CF172" s="164">
        <v>510</v>
      </c>
      <c r="CG172" s="163">
        <v>465</v>
      </c>
      <c r="CH172" s="70">
        <v>200000</v>
      </c>
      <c r="CI172" s="164" t="s">
        <v>6286</v>
      </c>
      <c r="CJ172" s="164">
        <v>275</v>
      </c>
      <c r="CK172" s="21">
        <v>321</v>
      </c>
      <c r="CL172" s="164">
        <v>510</v>
      </c>
      <c r="CM172" s="163">
        <v>465</v>
      </c>
      <c r="CN172" s="70">
        <v>200000</v>
      </c>
      <c r="CO172" s="164" t="s">
        <v>6286</v>
      </c>
      <c r="CP172" s="164">
        <v>275</v>
      </c>
      <c r="CQ172" s="21">
        <v>321</v>
      </c>
      <c r="CR172" s="164">
        <v>510</v>
      </c>
      <c r="CS172" s="163">
        <v>465</v>
      </c>
      <c r="CT172" s="70">
        <v>200000</v>
      </c>
      <c r="CU172" s="210" t="s">
        <v>5792</v>
      </c>
      <c r="CV172" s="211" t="s">
        <v>5792</v>
      </c>
      <c r="CW172" s="211" t="s">
        <v>5792</v>
      </c>
      <c r="CX172" s="212" t="s">
        <v>5792</v>
      </c>
      <c r="CY172" s="210" t="s">
        <v>5792</v>
      </c>
      <c r="CZ172" s="211" t="s">
        <v>5792</v>
      </c>
      <c r="DA172" s="212" t="s">
        <v>5792</v>
      </c>
      <c r="DB172" s="283" t="s">
        <v>5792</v>
      </c>
      <c r="DC172" s="164">
        <v>8.8000000000000007</v>
      </c>
      <c r="DD172" s="164">
        <v>640</v>
      </c>
      <c r="DE172" s="34">
        <v>730</v>
      </c>
      <c r="DF172" s="164">
        <v>800</v>
      </c>
      <c r="DG172" s="34">
        <v>940</v>
      </c>
      <c r="DH172" s="77">
        <v>200000</v>
      </c>
      <c r="DI172" s="27" t="s">
        <v>15</v>
      </c>
      <c r="DJ172" s="164" t="s">
        <v>4435</v>
      </c>
      <c r="DK172" s="298" t="s">
        <v>4566</v>
      </c>
    </row>
    <row r="173" spans="1:115" ht="15.6" customHeight="1">
      <c r="A173" s="305">
        <v>168</v>
      </c>
      <c r="B173" s="325">
        <v>25</v>
      </c>
      <c r="C173" s="325">
        <v>1996</v>
      </c>
      <c r="D173" s="345" t="s">
        <v>4674</v>
      </c>
      <c r="E173" s="333" t="s">
        <v>4857</v>
      </c>
      <c r="F173" s="325">
        <v>7</v>
      </c>
      <c r="G173" s="328" t="s">
        <v>5913</v>
      </c>
      <c r="H173" s="325" t="s">
        <v>5902</v>
      </c>
      <c r="I173" s="325" t="s">
        <v>6238</v>
      </c>
      <c r="J173" s="43" t="s">
        <v>4632</v>
      </c>
      <c r="K173" s="305" t="s">
        <v>4383</v>
      </c>
      <c r="L173" s="162" t="s">
        <v>5792</v>
      </c>
      <c r="M173" s="305" t="s">
        <v>4508</v>
      </c>
      <c r="N173" s="162" t="s">
        <v>4702</v>
      </c>
      <c r="O173" s="17" t="s">
        <v>4507</v>
      </c>
      <c r="P173" s="162" t="s">
        <v>4420</v>
      </c>
      <c r="Q173" s="162" t="s">
        <v>4420</v>
      </c>
      <c r="R173" s="162" t="s">
        <v>4420</v>
      </c>
      <c r="S173" s="162" t="s">
        <v>5792</v>
      </c>
      <c r="T173" s="162" t="s">
        <v>4420</v>
      </c>
      <c r="U173" s="162" t="s">
        <v>5792</v>
      </c>
      <c r="V173" s="30" t="s">
        <v>4559</v>
      </c>
      <c r="W173" s="88">
        <v>10</v>
      </c>
      <c r="X173" s="231">
        <v>0</v>
      </c>
      <c r="Y173" s="18">
        <v>0</v>
      </c>
      <c r="Z173" s="305" t="s">
        <v>4341</v>
      </c>
      <c r="AA173" s="16">
        <f>INDEX('[2]Cross-Section Database'!$C$2:$V$2928,MATCH(Z173,'[2]Cross-Section Database'!$B$2:$B$2928,0),3)</f>
        <v>203.2</v>
      </c>
      <c r="AB173" s="16">
        <f>INDEX('[2]Cross-Section Database'!$C$2:$V$2928,MATCH(Z173,'[2]Cross-Section Database'!$B$2:$B$2928,0),4)</f>
        <v>203.6</v>
      </c>
      <c r="AC173" s="16">
        <f>INDEX('[2]Cross-Section Database'!$C$2:$V$2928,MATCH(Z173,'[2]Cross-Section Database'!$B$2:$B$2928,0),6)</f>
        <v>11</v>
      </c>
      <c r="AD173" s="16">
        <f>INDEX('[2]Cross-Section Database'!$C$2:$V$2928,MATCH(Z173,'[2]Cross-Section Database'!$B$2:$B$2928,0),5)</f>
        <v>7.2</v>
      </c>
      <c r="AE173" s="16">
        <v>3470</v>
      </c>
      <c r="AF173" s="305" t="s">
        <v>4206</v>
      </c>
      <c r="AG173" s="16">
        <f>INDEX('[2]Cross-Section Database'!$C$2:$V$2928,MATCH(AF173,'[2]Cross-Section Database'!$B$2:$B$2928,0),3)</f>
        <v>257.2</v>
      </c>
      <c r="AH173" s="16">
        <f>INDEX('[2]Cross-Section Database'!$C$2:$V$2928,MATCH(AF173,'[2]Cross-Section Database'!$B$2:$B$2928,0),4)</f>
        <v>101.9</v>
      </c>
      <c r="AI173" s="16">
        <f>INDEX('[2]Cross-Section Database'!$C$2:$V$2928,MATCH(AF173,'[2]Cross-Section Database'!$B$2:$B$2928,0),6)</f>
        <v>8.4</v>
      </c>
      <c r="AJ173" s="16">
        <f>INDEX('[2]Cross-Section Database'!$C$2:$V$2928,MATCH(AF173,'[2]Cross-Section Database'!$B$2:$B$2928,0),5)</f>
        <v>6</v>
      </c>
      <c r="AK173" s="16">
        <v>1473</v>
      </c>
      <c r="AL173" s="16">
        <f>INDEX('[2]Cross-Section Database'!$C$2:$V$3928,MATCH(AF173,'[2]Cross-Section Database'!$B$2:$B$3928,0),11)</f>
        <v>34150000</v>
      </c>
      <c r="AM173" s="26">
        <f>INDEX('[2]Cross-Section Database'!$C$2:$V$3928,MATCH(AF173,'[2]Cross-Section Database'!$B$2:$B$3928,0),12)</f>
        <v>305500</v>
      </c>
      <c r="AN173" s="16">
        <v>10</v>
      </c>
      <c r="AO173" s="16">
        <v>130</v>
      </c>
      <c r="AP173" s="16">
        <v>280</v>
      </c>
      <c r="AQ173" s="16">
        <f>(AP173-AG173)/2</f>
        <v>11.400000000000006</v>
      </c>
      <c r="AR173" s="16">
        <f>(AP173-AG173)/2</f>
        <v>11.400000000000006</v>
      </c>
      <c r="AS173" s="305" t="s">
        <v>5807</v>
      </c>
      <c r="AT173" s="162" t="s">
        <v>4613</v>
      </c>
      <c r="AU173" s="16">
        <v>30.5</v>
      </c>
      <c r="AV173" s="162">
        <v>20</v>
      </c>
      <c r="AW173" s="162">
        <f t="shared" ref="AW173:AW188" si="56">IF(AV173=24,353,IF(AV173=22,303,IF(AV173=20,245,IF(AV173=16,157,0))))</f>
        <v>245</v>
      </c>
      <c r="AX173" s="16">
        <v>62</v>
      </c>
      <c r="AY173" s="16">
        <f t="shared" ref="AY173:AY185" si="57">AX173</f>
        <v>62</v>
      </c>
      <c r="AZ173" s="16">
        <v>0</v>
      </c>
      <c r="BA173" s="16">
        <v>70</v>
      </c>
      <c r="BB173" s="16">
        <f t="shared" ref="BB173:BB182" si="58">AP173-AX173-AY173-AZ173</f>
        <v>156</v>
      </c>
      <c r="BC173" s="22" t="s">
        <v>4470</v>
      </c>
      <c r="BD173" s="162" t="s">
        <v>6209</v>
      </c>
      <c r="BE173" s="162" t="s">
        <v>6209</v>
      </c>
      <c r="BF173" s="162">
        <v>2</v>
      </c>
      <c r="BG173" s="162">
        <v>4</v>
      </c>
      <c r="BH173" s="200" t="s">
        <v>5792</v>
      </c>
      <c r="BI173" s="201" t="s">
        <v>5792</v>
      </c>
      <c r="BJ173" s="201" t="s">
        <v>5792</v>
      </c>
      <c r="BK173" s="201" t="s">
        <v>5792</v>
      </c>
      <c r="BL173" s="201" t="s">
        <v>5792</v>
      </c>
      <c r="BM173" s="201" t="s">
        <v>5792</v>
      </c>
      <c r="BN173" s="201" t="s">
        <v>5792</v>
      </c>
      <c r="BO173" s="201" t="s">
        <v>5792</v>
      </c>
      <c r="BP173" s="200" t="s">
        <v>5792</v>
      </c>
      <c r="BQ173" s="201" t="s">
        <v>5792</v>
      </c>
      <c r="BR173" s="201" t="s">
        <v>5792</v>
      </c>
      <c r="BS173" s="201" t="s">
        <v>5792</v>
      </c>
      <c r="BT173" s="201" t="s">
        <v>5792</v>
      </c>
      <c r="BU173" s="201" t="s">
        <v>5792</v>
      </c>
      <c r="BV173" s="219" t="s">
        <v>5792</v>
      </c>
      <c r="BW173" s="201" t="s">
        <v>5792</v>
      </c>
      <c r="BX173" s="201" t="s">
        <v>5792</v>
      </c>
      <c r="BY173" s="201" t="s">
        <v>5792</v>
      </c>
      <c r="BZ173" s="201" t="s">
        <v>5792</v>
      </c>
      <c r="CA173" s="201" t="s">
        <v>5792</v>
      </c>
      <c r="CB173" s="219" t="s">
        <v>5792</v>
      </c>
      <c r="CC173" s="162" t="s">
        <v>5665</v>
      </c>
      <c r="CD173" s="16">
        <v>275</v>
      </c>
      <c r="CE173" s="16">
        <v>343.5</v>
      </c>
      <c r="CF173" s="16">
        <v>410</v>
      </c>
      <c r="CG173" s="16">
        <v>489.5</v>
      </c>
      <c r="CH173" s="81">
        <v>202500</v>
      </c>
      <c r="CI173" s="162" t="s">
        <v>5665</v>
      </c>
      <c r="CJ173" s="16">
        <v>275</v>
      </c>
      <c r="CK173" s="16">
        <v>424</v>
      </c>
      <c r="CL173" s="72">
        <v>410</v>
      </c>
      <c r="CM173" s="16">
        <v>545.5</v>
      </c>
      <c r="CN173" s="81">
        <v>205000</v>
      </c>
      <c r="CO173" s="162" t="s">
        <v>5665</v>
      </c>
      <c r="CP173" s="65">
        <v>275</v>
      </c>
      <c r="CQ173" s="162">
        <v>278</v>
      </c>
      <c r="CR173" s="65">
        <v>410</v>
      </c>
      <c r="CS173" s="162">
        <v>448</v>
      </c>
      <c r="CT173" s="81">
        <v>199000</v>
      </c>
      <c r="CU173" s="204" t="s">
        <v>5792</v>
      </c>
      <c r="CV173" s="205" t="s">
        <v>5792</v>
      </c>
      <c r="CW173" s="205" t="s">
        <v>5792</v>
      </c>
      <c r="CX173" s="206" t="s">
        <v>5792</v>
      </c>
      <c r="CY173" s="204" t="s">
        <v>5792</v>
      </c>
      <c r="CZ173" s="205" t="s">
        <v>5792</v>
      </c>
      <c r="DA173" s="206" t="s">
        <v>5792</v>
      </c>
      <c r="DB173" s="282" t="s">
        <v>5792</v>
      </c>
      <c r="DC173" s="162">
        <v>8.8000000000000007</v>
      </c>
      <c r="DD173" s="162">
        <v>640</v>
      </c>
      <c r="DE173" s="30">
        <v>730</v>
      </c>
      <c r="DF173" s="162">
        <v>800</v>
      </c>
      <c r="DG173" s="32">
        <v>940</v>
      </c>
      <c r="DH173" s="76">
        <v>200000</v>
      </c>
      <c r="DI173" s="43" t="s">
        <v>5832</v>
      </c>
      <c r="DJ173" s="162" t="s">
        <v>4435</v>
      </c>
      <c r="DK173" s="297" t="s">
        <v>4566</v>
      </c>
    </row>
    <row r="174" spans="1:115">
      <c r="A174" s="306">
        <v>169</v>
      </c>
      <c r="B174" s="326"/>
      <c r="C174" s="326"/>
      <c r="D174" s="346"/>
      <c r="E174" s="334"/>
      <c r="F174" s="326"/>
      <c r="G174" s="329"/>
      <c r="H174" s="326"/>
      <c r="I174" s="326"/>
      <c r="J174" s="309" t="s">
        <v>4626</v>
      </c>
      <c r="K174" s="306" t="s">
        <v>4383</v>
      </c>
      <c r="L174" s="163" t="s">
        <v>5792</v>
      </c>
      <c r="M174" s="306" t="s">
        <v>4508</v>
      </c>
      <c r="N174" s="163" t="s">
        <v>4702</v>
      </c>
      <c r="O174" s="18" t="s">
        <v>4507</v>
      </c>
      <c r="P174" s="163" t="s">
        <v>4470</v>
      </c>
      <c r="Q174" s="163" t="s">
        <v>4420</v>
      </c>
      <c r="R174" s="163" t="s">
        <v>4420</v>
      </c>
      <c r="S174" s="163" t="s">
        <v>5792</v>
      </c>
      <c r="T174" s="163" t="s">
        <v>4420</v>
      </c>
      <c r="U174" s="163" t="s">
        <v>5792</v>
      </c>
      <c r="V174" s="32" t="s">
        <v>4559</v>
      </c>
      <c r="W174" s="73">
        <v>10</v>
      </c>
      <c r="X174" s="231">
        <v>0</v>
      </c>
      <c r="Y174" s="18">
        <v>0</v>
      </c>
      <c r="Z174" s="306" t="s">
        <v>4341</v>
      </c>
      <c r="AA174" s="21">
        <f>INDEX('[2]Cross-Section Database'!$C$2:$V$2928,MATCH(Z174,'[2]Cross-Section Database'!$B$2:$B$2928,0),3)</f>
        <v>203.2</v>
      </c>
      <c r="AB174" s="21">
        <f>INDEX('[2]Cross-Section Database'!$C$2:$V$2928,MATCH(Z174,'[2]Cross-Section Database'!$B$2:$B$2928,0),4)</f>
        <v>203.6</v>
      </c>
      <c r="AC174" s="21">
        <f>INDEX('[2]Cross-Section Database'!$C$2:$V$2928,MATCH(Z174,'[2]Cross-Section Database'!$B$2:$B$2928,0),6)</f>
        <v>11</v>
      </c>
      <c r="AD174" s="21">
        <f>INDEX('[2]Cross-Section Database'!$C$2:$V$2928,MATCH(Z174,'[2]Cross-Section Database'!$B$2:$B$2928,0),5)</f>
        <v>7.2</v>
      </c>
      <c r="AE174" s="21">
        <v>3470</v>
      </c>
      <c r="AF174" s="306" t="s">
        <v>4206</v>
      </c>
      <c r="AG174" s="21">
        <f>INDEX('[2]Cross-Section Database'!$C$2:$V$2928,MATCH(AF174,'[2]Cross-Section Database'!$B$2:$B$2928,0),3)</f>
        <v>257.2</v>
      </c>
      <c r="AH174" s="21">
        <f>INDEX('[2]Cross-Section Database'!$C$2:$V$2928,MATCH(AF174,'[2]Cross-Section Database'!$B$2:$B$2928,0),4)</f>
        <v>101.9</v>
      </c>
      <c r="AI174" s="21">
        <f>INDEX('[2]Cross-Section Database'!$C$2:$V$2928,MATCH(AF174,'[2]Cross-Section Database'!$B$2:$B$2928,0),6)</f>
        <v>8.4</v>
      </c>
      <c r="AJ174" s="21">
        <f>INDEX('[2]Cross-Section Database'!$C$2:$V$2928,MATCH(AF174,'[2]Cross-Section Database'!$B$2:$B$2928,0),5)</f>
        <v>6</v>
      </c>
      <c r="AK174" s="21">
        <v>1473</v>
      </c>
      <c r="AL174" s="21">
        <f>INDEX('[2]Cross-Section Database'!$C$2:$V$3928,MATCH(AF174,'[2]Cross-Section Database'!$B$2:$B$3928,0),11)</f>
        <v>34150000</v>
      </c>
      <c r="AM174" s="24">
        <f>INDEX('[2]Cross-Section Database'!$C$2:$V$3928,MATCH(AF174,'[2]Cross-Section Database'!$B$2:$B$3928,0),12)</f>
        <v>305500</v>
      </c>
      <c r="AN174" s="21">
        <v>10</v>
      </c>
      <c r="AO174" s="21">
        <v>130</v>
      </c>
      <c r="AP174" s="21">
        <v>280</v>
      </c>
      <c r="AQ174" s="21">
        <f t="shared" ref="AQ174:AQ179" si="59">(AP174-AG174)/2</f>
        <v>11.400000000000006</v>
      </c>
      <c r="AR174" s="21">
        <f t="shared" si="54"/>
        <v>11.400000000000006</v>
      </c>
      <c r="AS174" s="306" t="s">
        <v>5807</v>
      </c>
      <c r="AT174" s="163" t="s">
        <v>4613</v>
      </c>
      <c r="AU174" s="21">
        <v>30.5</v>
      </c>
      <c r="AV174" s="163">
        <v>20</v>
      </c>
      <c r="AW174" s="163">
        <f t="shared" si="56"/>
        <v>245</v>
      </c>
      <c r="AX174" s="21">
        <v>62</v>
      </c>
      <c r="AY174" s="21">
        <f t="shared" si="57"/>
        <v>62</v>
      </c>
      <c r="AZ174" s="21">
        <v>0</v>
      </c>
      <c r="BA174" s="21">
        <v>70</v>
      </c>
      <c r="BB174" s="21">
        <f t="shared" si="58"/>
        <v>156</v>
      </c>
      <c r="BC174" s="15" t="s">
        <v>4470</v>
      </c>
      <c r="BD174" s="163" t="s">
        <v>6209</v>
      </c>
      <c r="BE174" s="163" t="s">
        <v>6209</v>
      </c>
      <c r="BF174" s="163">
        <v>2</v>
      </c>
      <c r="BG174" s="163">
        <v>4</v>
      </c>
      <c r="BH174" s="306">
        <v>110</v>
      </c>
      <c r="BI174" s="163">
        <v>1000</v>
      </c>
      <c r="BJ174" s="163" t="s">
        <v>6193</v>
      </c>
      <c r="BK174" s="163">
        <v>0.9</v>
      </c>
      <c r="BL174" s="163">
        <v>105</v>
      </c>
      <c r="BM174" s="163">
        <v>1137</v>
      </c>
      <c r="BN174" s="163">
        <v>46</v>
      </c>
      <c r="BO174" s="163" t="s">
        <v>4591</v>
      </c>
      <c r="BP174" s="306" t="s">
        <v>5856</v>
      </c>
      <c r="BQ174" s="163">
        <v>14</v>
      </c>
      <c r="BR174" s="163">
        <v>2</v>
      </c>
      <c r="BS174" s="163">
        <v>19</v>
      </c>
      <c r="BT174" s="163">
        <v>90</v>
      </c>
      <c r="BU174" s="163">
        <v>100</v>
      </c>
      <c r="BV174" s="18">
        <v>225</v>
      </c>
      <c r="BW174" s="163" t="s">
        <v>4625</v>
      </c>
      <c r="BX174" s="163" t="s">
        <v>4624</v>
      </c>
      <c r="BY174" s="21">
        <v>0</v>
      </c>
      <c r="BZ174" s="21">
        <f t="shared" ref="BZ174:BZ178" si="60">4*PI()*12^2/4+4*PI()*10^2/4</f>
        <v>766.54860747590953</v>
      </c>
      <c r="CA174" s="32">
        <v>50</v>
      </c>
      <c r="CB174" s="121">
        <v>1.2E-2</v>
      </c>
      <c r="CC174" s="163" t="s">
        <v>5665</v>
      </c>
      <c r="CD174" s="21">
        <v>275</v>
      </c>
      <c r="CE174" s="21">
        <v>343.5</v>
      </c>
      <c r="CF174" s="21">
        <v>410</v>
      </c>
      <c r="CG174" s="21">
        <v>489.5</v>
      </c>
      <c r="CH174" s="69">
        <v>202500</v>
      </c>
      <c r="CI174" s="163" t="s">
        <v>5665</v>
      </c>
      <c r="CJ174" s="21">
        <v>275</v>
      </c>
      <c r="CK174" s="21">
        <v>424</v>
      </c>
      <c r="CL174" s="47">
        <v>410</v>
      </c>
      <c r="CM174" s="21">
        <v>545.5</v>
      </c>
      <c r="CN174" s="69">
        <v>205000</v>
      </c>
      <c r="CO174" s="163" t="s">
        <v>5665</v>
      </c>
      <c r="CP174" s="60">
        <v>275</v>
      </c>
      <c r="CQ174" s="163">
        <v>278</v>
      </c>
      <c r="CR174" s="60">
        <v>410</v>
      </c>
      <c r="CS174" s="163">
        <v>448</v>
      </c>
      <c r="CT174" s="69">
        <v>199000</v>
      </c>
      <c r="CU174" s="306" t="s">
        <v>5796</v>
      </c>
      <c r="CV174" s="32">
        <v>37</v>
      </c>
      <c r="CW174" s="33">
        <v>2.9</v>
      </c>
      <c r="CX174" s="67">
        <v>33000</v>
      </c>
      <c r="CY174" s="92">
        <v>479.5</v>
      </c>
      <c r="CZ174" s="64">
        <v>748.5</v>
      </c>
      <c r="DA174" s="69">
        <v>199000</v>
      </c>
      <c r="DB174" s="294">
        <v>280</v>
      </c>
      <c r="DC174" s="163">
        <v>8.8000000000000007</v>
      </c>
      <c r="DD174" s="163">
        <v>640</v>
      </c>
      <c r="DE174" s="32">
        <v>730</v>
      </c>
      <c r="DF174" s="163">
        <v>800</v>
      </c>
      <c r="DG174" s="32">
        <v>940</v>
      </c>
      <c r="DH174" s="61">
        <v>200000</v>
      </c>
      <c r="DI174" s="41" t="s">
        <v>4758</v>
      </c>
      <c r="DJ174" s="163" t="s">
        <v>4435</v>
      </c>
      <c r="DK174" s="297" t="s">
        <v>4566</v>
      </c>
    </row>
    <row r="175" spans="1:115">
      <c r="A175" s="306">
        <v>170</v>
      </c>
      <c r="B175" s="326"/>
      <c r="C175" s="326"/>
      <c r="D175" s="346"/>
      <c r="E175" s="334"/>
      <c r="F175" s="326"/>
      <c r="G175" s="329"/>
      <c r="H175" s="326"/>
      <c r="I175" s="326"/>
      <c r="J175" s="309" t="s">
        <v>4627</v>
      </c>
      <c r="K175" s="306" t="s">
        <v>4383</v>
      </c>
      <c r="L175" s="163" t="s">
        <v>5792</v>
      </c>
      <c r="M175" s="306" t="s">
        <v>4508</v>
      </c>
      <c r="N175" s="163" t="s">
        <v>4702</v>
      </c>
      <c r="O175" s="18" t="s">
        <v>4507</v>
      </c>
      <c r="P175" s="163" t="s">
        <v>4470</v>
      </c>
      <c r="Q175" s="163" t="s">
        <v>4420</v>
      </c>
      <c r="R175" s="163" t="s">
        <v>4420</v>
      </c>
      <c r="S175" s="163" t="s">
        <v>5792</v>
      </c>
      <c r="T175" s="163" t="s">
        <v>4420</v>
      </c>
      <c r="U175" s="163" t="s">
        <v>5792</v>
      </c>
      <c r="V175" s="32" t="s">
        <v>4559</v>
      </c>
      <c r="W175" s="73">
        <v>10</v>
      </c>
      <c r="X175" s="231">
        <v>0</v>
      </c>
      <c r="Y175" s="18">
        <v>0</v>
      </c>
      <c r="Z175" s="306" t="s">
        <v>4341</v>
      </c>
      <c r="AA175" s="21">
        <f>INDEX('[2]Cross-Section Database'!$C$2:$V$2928,MATCH(Z175,'[2]Cross-Section Database'!$B$2:$B$2928,0),3)</f>
        <v>203.2</v>
      </c>
      <c r="AB175" s="21">
        <f>INDEX('[2]Cross-Section Database'!$C$2:$V$2928,MATCH(Z175,'[2]Cross-Section Database'!$B$2:$B$2928,0),4)</f>
        <v>203.6</v>
      </c>
      <c r="AC175" s="21">
        <f>INDEX('[2]Cross-Section Database'!$C$2:$V$2928,MATCH(Z175,'[2]Cross-Section Database'!$B$2:$B$2928,0),6)</f>
        <v>11</v>
      </c>
      <c r="AD175" s="21">
        <f>INDEX('[2]Cross-Section Database'!$C$2:$V$2928,MATCH(Z175,'[2]Cross-Section Database'!$B$2:$B$2928,0),5)</f>
        <v>7.2</v>
      </c>
      <c r="AE175" s="21">
        <v>3470</v>
      </c>
      <c r="AF175" s="306" t="s">
        <v>4206</v>
      </c>
      <c r="AG175" s="21">
        <f>INDEX('[2]Cross-Section Database'!$C$2:$V$2928,MATCH(AF175,'[2]Cross-Section Database'!$B$2:$B$2928,0),3)</f>
        <v>257.2</v>
      </c>
      <c r="AH175" s="21">
        <f>INDEX('[2]Cross-Section Database'!$C$2:$V$2928,MATCH(AF175,'[2]Cross-Section Database'!$B$2:$B$2928,0),4)</f>
        <v>101.9</v>
      </c>
      <c r="AI175" s="21">
        <f>INDEX('[2]Cross-Section Database'!$C$2:$V$2928,MATCH(AF175,'[2]Cross-Section Database'!$B$2:$B$2928,0),6)</f>
        <v>8.4</v>
      </c>
      <c r="AJ175" s="21">
        <f>INDEX('[2]Cross-Section Database'!$C$2:$V$2928,MATCH(AF175,'[2]Cross-Section Database'!$B$2:$B$2928,0),5)</f>
        <v>6</v>
      </c>
      <c r="AK175" s="21">
        <v>1473</v>
      </c>
      <c r="AL175" s="21">
        <f>INDEX('[2]Cross-Section Database'!$C$2:$V$3928,MATCH(AF175,'[2]Cross-Section Database'!$B$2:$B$3928,0),11)</f>
        <v>34150000</v>
      </c>
      <c r="AM175" s="24">
        <f>INDEX('[2]Cross-Section Database'!$C$2:$V$3928,MATCH(AF175,'[2]Cross-Section Database'!$B$2:$B$3928,0),12)</f>
        <v>305500</v>
      </c>
      <c r="AN175" s="21">
        <v>10</v>
      </c>
      <c r="AO175" s="21">
        <v>130</v>
      </c>
      <c r="AP175" s="21">
        <v>280</v>
      </c>
      <c r="AQ175" s="21">
        <f t="shared" si="59"/>
        <v>11.400000000000006</v>
      </c>
      <c r="AR175" s="21">
        <f t="shared" si="54"/>
        <v>11.400000000000006</v>
      </c>
      <c r="AS175" s="306" t="s">
        <v>5807</v>
      </c>
      <c r="AT175" s="163" t="s">
        <v>4613</v>
      </c>
      <c r="AU175" s="21">
        <v>30.5</v>
      </c>
      <c r="AV175" s="163">
        <v>20</v>
      </c>
      <c r="AW175" s="163">
        <f t="shared" si="56"/>
        <v>245</v>
      </c>
      <c r="AX175" s="21">
        <v>62</v>
      </c>
      <c r="AY175" s="21">
        <f t="shared" si="57"/>
        <v>62</v>
      </c>
      <c r="AZ175" s="21">
        <v>0</v>
      </c>
      <c r="BA175" s="21">
        <v>70</v>
      </c>
      <c r="BB175" s="21">
        <f t="shared" si="58"/>
        <v>156</v>
      </c>
      <c r="BC175" s="15" t="s">
        <v>4470</v>
      </c>
      <c r="BD175" s="163" t="s">
        <v>6209</v>
      </c>
      <c r="BE175" s="163" t="s">
        <v>6209</v>
      </c>
      <c r="BF175" s="163">
        <v>2</v>
      </c>
      <c r="BG175" s="163">
        <v>4</v>
      </c>
      <c r="BH175" s="306">
        <v>110</v>
      </c>
      <c r="BI175" s="163">
        <v>1000</v>
      </c>
      <c r="BJ175" s="163" t="s">
        <v>6193</v>
      </c>
      <c r="BK175" s="163">
        <v>0.9</v>
      </c>
      <c r="BL175" s="163">
        <v>105</v>
      </c>
      <c r="BM175" s="163">
        <v>1137</v>
      </c>
      <c r="BN175" s="163">
        <v>46</v>
      </c>
      <c r="BO175" s="163" t="s">
        <v>4591</v>
      </c>
      <c r="BP175" s="306" t="s">
        <v>5856</v>
      </c>
      <c r="BQ175" s="163">
        <v>14</v>
      </c>
      <c r="BR175" s="163">
        <v>2</v>
      </c>
      <c r="BS175" s="163">
        <v>19</v>
      </c>
      <c r="BT175" s="163">
        <v>90</v>
      </c>
      <c r="BU175" s="163">
        <v>100</v>
      </c>
      <c r="BV175" s="18">
        <v>225</v>
      </c>
      <c r="BW175" s="163" t="s">
        <v>4625</v>
      </c>
      <c r="BX175" s="163" t="s">
        <v>4624</v>
      </c>
      <c r="BY175" s="21">
        <v>0</v>
      </c>
      <c r="BZ175" s="21">
        <f t="shared" si="60"/>
        <v>766.54860747590953</v>
      </c>
      <c r="CA175" s="32">
        <v>50</v>
      </c>
      <c r="CB175" s="121">
        <v>1.2E-2</v>
      </c>
      <c r="CC175" s="163" t="s">
        <v>5665</v>
      </c>
      <c r="CD175" s="21">
        <v>275</v>
      </c>
      <c r="CE175" s="21">
        <v>343.5</v>
      </c>
      <c r="CF175" s="21">
        <v>410</v>
      </c>
      <c r="CG175" s="21">
        <v>489.5</v>
      </c>
      <c r="CH175" s="69">
        <v>202500</v>
      </c>
      <c r="CI175" s="163" t="s">
        <v>5665</v>
      </c>
      <c r="CJ175" s="21">
        <v>275</v>
      </c>
      <c r="CK175" s="21">
        <v>424</v>
      </c>
      <c r="CL175" s="47">
        <v>410</v>
      </c>
      <c r="CM175" s="21">
        <v>545.5</v>
      </c>
      <c r="CN175" s="69">
        <v>205000</v>
      </c>
      <c r="CO175" s="163" t="s">
        <v>5665</v>
      </c>
      <c r="CP175" s="60">
        <v>275</v>
      </c>
      <c r="CQ175" s="163">
        <v>278</v>
      </c>
      <c r="CR175" s="60">
        <v>410</v>
      </c>
      <c r="CS175" s="163">
        <v>448</v>
      </c>
      <c r="CT175" s="69">
        <v>199000</v>
      </c>
      <c r="CU175" s="306" t="s">
        <v>5796</v>
      </c>
      <c r="CV175" s="32">
        <v>37</v>
      </c>
      <c r="CW175" s="33">
        <v>2.9</v>
      </c>
      <c r="CX175" s="67">
        <v>33000</v>
      </c>
      <c r="CY175" s="92">
        <v>479.5</v>
      </c>
      <c r="CZ175" s="64">
        <v>748.5</v>
      </c>
      <c r="DA175" s="69">
        <v>199000</v>
      </c>
      <c r="DB175" s="294">
        <v>280</v>
      </c>
      <c r="DC175" s="163">
        <v>8.8000000000000007</v>
      </c>
      <c r="DD175" s="163">
        <v>640</v>
      </c>
      <c r="DE175" s="32">
        <v>730</v>
      </c>
      <c r="DF175" s="163">
        <v>800</v>
      </c>
      <c r="DG175" s="32">
        <v>940</v>
      </c>
      <c r="DH175" s="61">
        <v>200000</v>
      </c>
      <c r="DI175" s="41" t="s">
        <v>6075</v>
      </c>
      <c r="DJ175" s="163" t="s">
        <v>4435</v>
      </c>
      <c r="DK175" s="297" t="s">
        <v>4566</v>
      </c>
    </row>
    <row r="176" spans="1:115">
      <c r="A176" s="306">
        <v>171</v>
      </c>
      <c r="B176" s="326"/>
      <c r="C176" s="326"/>
      <c r="D176" s="346"/>
      <c r="E176" s="334"/>
      <c r="F176" s="326"/>
      <c r="G176" s="329"/>
      <c r="H176" s="326"/>
      <c r="I176" s="326"/>
      <c r="J176" s="309" t="s">
        <v>4628</v>
      </c>
      <c r="K176" s="306" t="s">
        <v>4383</v>
      </c>
      <c r="L176" s="163" t="s">
        <v>5792</v>
      </c>
      <c r="M176" s="306" t="s">
        <v>4508</v>
      </c>
      <c r="N176" s="163" t="s">
        <v>4702</v>
      </c>
      <c r="O176" s="18" t="s">
        <v>4507</v>
      </c>
      <c r="P176" s="163" t="s">
        <v>4470</v>
      </c>
      <c r="Q176" s="163" t="s">
        <v>4420</v>
      </c>
      <c r="R176" s="163" t="s">
        <v>4420</v>
      </c>
      <c r="S176" s="163" t="s">
        <v>5792</v>
      </c>
      <c r="T176" s="163" t="s">
        <v>4420</v>
      </c>
      <c r="U176" s="163" t="s">
        <v>5792</v>
      </c>
      <c r="V176" s="32" t="s">
        <v>4559</v>
      </c>
      <c r="W176" s="73">
        <v>10</v>
      </c>
      <c r="X176" s="231">
        <v>0</v>
      </c>
      <c r="Y176" s="18">
        <v>0</v>
      </c>
      <c r="Z176" s="306" t="s">
        <v>4341</v>
      </c>
      <c r="AA176" s="21">
        <f>INDEX('[2]Cross-Section Database'!$C$2:$V$2928,MATCH(Z176,'[2]Cross-Section Database'!$B$2:$B$2928,0),3)</f>
        <v>203.2</v>
      </c>
      <c r="AB176" s="21">
        <f>INDEX('[2]Cross-Section Database'!$C$2:$V$2928,MATCH(Z176,'[2]Cross-Section Database'!$B$2:$B$2928,0),4)</f>
        <v>203.6</v>
      </c>
      <c r="AC176" s="21">
        <f>INDEX('[2]Cross-Section Database'!$C$2:$V$2928,MATCH(Z176,'[2]Cross-Section Database'!$B$2:$B$2928,0),6)</f>
        <v>11</v>
      </c>
      <c r="AD176" s="21">
        <f>INDEX('[2]Cross-Section Database'!$C$2:$V$2928,MATCH(Z176,'[2]Cross-Section Database'!$B$2:$B$2928,0),5)</f>
        <v>7.2</v>
      </c>
      <c r="AE176" s="21">
        <v>3470</v>
      </c>
      <c r="AF176" s="306" t="s">
        <v>4206</v>
      </c>
      <c r="AG176" s="21">
        <f>INDEX('[2]Cross-Section Database'!$C$2:$V$2928,MATCH(AF176,'[2]Cross-Section Database'!$B$2:$B$2928,0),3)</f>
        <v>257.2</v>
      </c>
      <c r="AH176" s="21">
        <f>INDEX('[2]Cross-Section Database'!$C$2:$V$2928,MATCH(AF176,'[2]Cross-Section Database'!$B$2:$B$2928,0),4)</f>
        <v>101.9</v>
      </c>
      <c r="AI176" s="21">
        <f>INDEX('[2]Cross-Section Database'!$C$2:$V$2928,MATCH(AF176,'[2]Cross-Section Database'!$B$2:$B$2928,0),6)</f>
        <v>8.4</v>
      </c>
      <c r="AJ176" s="21">
        <f>INDEX('[2]Cross-Section Database'!$C$2:$V$2928,MATCH(AF176,'[2]Cross-Section Database'!$B$2:$B$2928,0),5)</f>
        <v>6</v>
      </c>
      <c r="AK176" s="21">
        <v>1473</v>
      </c>
      <c r="AL176" s="21">
        <f>INDEX('[2]Cross-Section Database'!$C$2:$V$3928,MATCH(AF176,'[2]Cross-Section Database'!$B$2:$B$3928,0),11)</f>
        <v>34150000</v>
      </c>
      <c r="AM176" s="24">
        <f>INDEX('[2]Cross-Section Database'!$C$2:$V$3928,MATCH(AF176,'[2]Cross-Section Database'!$B$2:$B$3928,0),12)</f>
        <v>305500</v>
      </c>
      <c r="AN176" s="21">
        <v>10</v>
      </c>
      <c r="AO176" s="21">
        <v>130</v>
      </c>
      <c r="AP176" s="21">
        <v>280</v>
      </c>
      <c r="AQ176" s="21">
        <f t="shared" si="59"/>
        <v>11.400000000000006</v>
      </c>
      <c r="AR176" s="21">
        <f t="shared" si="54"/>
        <v>11.400000000000006</v>
      </c>
      <c r="AS176" s="306" t="s">
        <v>5807</v>
      </c>
      <c r="AT176" s="163" t="s">
        <v>4613</v>
      </c>
      <c r="AU176" s="21">
        <v>30.5</v>
      </c>
      <c r="AV176" s="163">
        <v>20</v>
      </c>
      <c r="AW176" s="163">
        <f t="shared" si="56"/>
        <v>245</v>
      </c>
      <c r="AX176" s="21">
        <v>62</v>
      </c>
      <c r="AY176" s="21">
        <f t="shared" si="57"/>
        <v>62</v>
      </c>
      <c r="AZ176" s="21">
        <v>0</v>
      </c>
      <c r="BA176" s="21">
        <v>70</v>
      </c>
      <c r="BB176" s="21">
        <f t="shared" si="58"/>
        <v>156</v>
      </c>
      <c r="BC176" s="15" t="s">
        <v>4470</v>
      </c>
      <c r="BD176" s="163" t="s">
        <v>6209</v>
      </c>
      <c r="BE176" s="163" t="s">
        <v>6209</v>
      </c>
      <c r="BF176" s="163">
        <v>2</v>
      </c>
      <c r="BG176" s="163">
        <v>4</v>
      </c>
      <c r="BH176" s="306">
        <v>110</v>
      </c>
      <c r="BI176" s="163">
        <v>1000</v>
      </c>
      <c r="BJ176" s="163" t="s">
        <v>6193</v>
      </c>
      <c r="BK176" s="163">
        <v>0.9</v>
      </c>
      <c r="BL176" s="163">
        <v>105</v>
      </c>
      <c r="BM176" s="163">
        <v>1137</v>
      </c>
      <c r="BN176" s="163">
        <v>46</v>
      </c>
      <c r="BO176" s="163" t="s">
        <v>4591</v>
      </c>
      <c r="BP176" s="306" t="s">
        <v>5856</v>
      </c>
      <c r="BQ176" s="163">
        <v>14</v>
      </c>
      <c r="BR176" s="163">
        <v>2</v>
      </c>
      <c r="BS176" s="163">
        <v>19</v>
      </c>
      <c r="BT176" s="163">
        <v>90</v>
      </c>
      <c r="BU176" s="163">
        <v>100</v>
      </c>
      <c r="BV176" s="18">
        <v>225</v>
      </c>
      <c r="BW176" s="163" t="s">
        <v>4625</v>
      </c>
      <c r="BX176" s="163" t="s">
        <v>4624</v>
      </c>
      <c r="BY176" s="21">
        <v>0</v>
      </c>
      <c r="BZ176" s="21">
        <f t="shared" si="60"/>
        <v>766.54860747590953</v>
      </c>
      <c r="CA176" s="32">
        <v>50</v>
      </c>
      <c r="CB176" s="121">
        <v>1.2E-2</v>
      </c>
      <c r="CC176" s="163" t="s">
        <v>5665</v>
      </c>
      <c r="CD176" s="21">
        <v>275</v>
      </c>
      <c r="CE176" s="21">
        <v>343.5</v>
      </c>
      <c r="CF176" s="21">
        <v>410</v>
      </c>
      <c r="CG176" s="21">
        <v>489.5</v>
      </c>
      <c r="CH176" s="69">
        <v>202500</v>
      </c>
      <c r="CI176" s="163" t="s">
        <v>5665</v>
      </c>
      <c r="CJ176" s="21">
        <v>275</v>
      </c>
      <c r="CK176" s="21">
        <v>424</v>
      </c>
      <c r="CL176" s="47">
        <v>410</v>
      </c>
      <c r="CM176" s="21">
        <v>545.5</v>
      </c>
      <c r="CN176" s="69">
        <v>205000</v>
      </c>
      <c r="CO176" s="163" t="s">
        <v>5665</v>
      </c>
      <c r="CP176" s="60">
        <v>275</v>
      </c>
      <c r="CQ176" s="163">
        <v>278</v>
      </c>
      <c r="CR176" s="60">
        <v>410</v>
      </c>
      <c r="CS176" s="163">
        <v>448</v>
      </c>
      <c r="CT176" s="69">
        <v>199000</v>
      </c>
      <c r="CU176" s="306" t="s">
        <v>5796</v>
      </c>
      <c r="CV176" s="32">
        <v>37</v>
      </c>
      <c r="CW176" s="33">
        <v>2.9</v>
      </c>
      <c r="CX176" s="67">
        <v>33000</v>
      </c>
      <c r="CY176" s="92">
        <v>479.5</v>
      </c>
      <c r="CZ176" s="64">
        <v>748.5</v>
      </c>
      <c r="DA176" s="69">
        <v>199000</v>
      </c>
      <c r="DB176" s="294">
        <v>280</v>
      </c>
      <c r="DC176" s="163">
        <v>8.8000000000000007</v>
      </c>
      <c r="DD176" s="163">
        <v>640</v>
      </c>
      <c r="DE176" s="32">
        <v>730</v>
      </c>
      <c r="DF176" s="163">
        <v>800</v>
      </c>
      <c r="DG176" s="32">
        <v>940</v>
      </c>
      <c r="DH176" s="61">
        <v>200000</v>
      </c>
      <c r="DI176" s="41" t="s">
        <v>4758</v>
      </c>
      <c r="DJ176" s="163" t="s">
        <v>4435</v>
      </c>
      <c r="DK176" s="297" t="s">
        <v>4566</v>
      </c>
    </row>
    <row r="177" spans="1:115">
      <c r="A177" s="306">
        <v>172</v>
      </c>
      <c r="B177" s="326"/>
      <c r="C177" s="326"/>
      <c r="D177" s="346"/>
      <c r="E177" s="334"/>
      <c r="F177" s="326"/>
      <c r="G177" s="329"/>
      <c r="H177" s="326"/>
      <c r="I177" s="326"/>
      <c r="J177" s="309" t="s">
        <v>4629</v>
      </c>
      <c r="K177" s="306" t="s">
        <v>4383</v>
      </c>
      <c r="L177" s="163" t="s">
        <v>5792</v>
      </c>
      <c r="M177" s="306" t="s">
        <v>4508</v>
      </c>
      <c r="N177" s="163" t="s">
        <v>4702</v>
      </c>
      <c r="O177" s="18" t="s">
        <v>4507</v>
      </c>
      <c r="P177" s="163" t="s">
        <v>4470</v>
      </c>
      <c r="Q177" s="163" t="s">
        <v>4420</v>
      </c>
      <c r="R177" s="163" t="s">
        <v>4420</v>
      </c>
      <c r="S177" s="163" t="s">
        <v>5792</v>
      </c>
      <c r="T177" s="163" t="s">
        <v>4420</v>
      </c>
      <c r="U177" s="163" t="s">
        <v>5792</v>
      </c>
      <c r="V177" s="32" t="s">
        <v>4559</v>
      </c>
      <c r="W177" s="73">
        <v>10</v>
      </c>
      <c r="X177" s="231">
        <v>0</v>
      </c>
      <c r="Y177" s="18">
        <v>0</v>
      </c>
      <c r="Z177" s="306" t="s">
        <v>4341</v>
      </c>
      <c r="AA177" s="21">
        <f>INDEX('[2]Cross-Section Database'!$C$2:$V$2928,MATCH(Z177,'[2]Cross-Section Database'!$B$2:$B$2928,0),3)</f>
        <v>203.2</v>
      </c>
      <c r="AB177" s="21">
        <f>INDEX('[2]Cross-Section Database'!$C$2:$V$2928,MATCH(Z177,'[2]Cross-Section Database'!$B$2:$B$2928,0),4)</f>
        <v>203.6</v>
      </c>
      <c r="AC177" s="21">
        <f>INDEX('[2]Cross-Section Database'!$C$2:$V$2928,MATCH(Z177,'[2]Cross-Section Database'!$B$2:$B$2928,0),6)</f>
        <v>11</v>
      </c>
      <c r="AD177" s="21">
        <f>INDEX('[2]Cross-Section Database'!$C$2:$V$2928,MATCH(Z177,'[2]Cross-Section Database'!$B$2:$B$2928,0),5)</f>
        <v>7.2</v>
      </c>
      <c r="AE177" s="21">
        <v>3470</v>
      </c>
      <c r="AF177" s="306" t="s">
        <v>4206</v>
      </c>
      <c r="AG177" s="21">
        <f>INDEX('[2]Cross-Section Database'!$C$2:$V$2928,MATCH(AF177,'[2]Cross-Section Database'!$B$2:$B$2928,0),3)</f>
        <v>257.2</v>
      </c>
      <c r="AH177" s="21">
        <f>INDEX('[2]Cross-Section Database'!$C$2:$V$2928,MATCH(AF177,'[2]Cross-Section Database'!$B$2:$B$2928,0),4)</f>
        <v>101.9</v>
      </c>
      <c r="AI177" s="21">
        <f>INDEX('[2]Cross-Section Database'!$C$2:$V$2928,MATCH(AF177,'[2]Cross-Section Database'!$B$2:$B$2928,0),6)</f>
        <v>8.4</v>
      </c>
      <c r="AJ177" s="21">
        <f>INDEX('[2]Cross-Section Database'!$C$2:$V$2928,MATCH(AF177,'[2]Cross-Section Database'!$B$2:$B$2928,0),5)</f>
        <v>6</v>
      </c>
      <c r="AK177" s="21">
        <v>1023</v>
      </c>
      <c r="AL177" s="21">
        <f>INDEX('[2]Cross-Section Database'!$C$2:$V$3928,MATCH(AF177,'[2]Cross-Section Database'!$B$2:$B$3928,0),11)</f>
        <v>34150000</v>
      </c>
      <c r="AM177" s="24">
        <f>INDEX('[2]Cross-Section Database'!$C$2:$V$3928,MATCH(AF177,'[2]Cross-Section Database'!$B$2:$B$3928,0),12)</f>
        <v>305500</v>
      </c>
      <c r="AN177" s="21">
        <v>10</v>
      </c>
      <c r="AO177" s="21">
        <v>130</v>
      </c>
      <c r="AP177" s="21">
        <v>280</v>
      </c>
      <c r="AQ177" s="21">
        <f t="shared" si="59"/>
        <v>11.400000000000006</v>
      </c>
      <c r="AR177" s="21">
        <f t="shared" si="54"/>
        <v>11.400000000000006</v>
      </c>
      <c r="AS177" s="306" t="s">
        <v>5807</v>
      </c>
      <c r="AT177" s="163" t="s">
        <v>4613</v>
      </c>
      <c r="AU177" s="21">
        <v>30.5</v>
      </c>
      <c r="AV177" s="163">
        <v>20</v>
      </c>
      <c r="AW177" s="163">
        <f t="shared" si="56"/>
        <v>245</v>
      </c>
      <c r="AX177" s="21">
        <v>63</v>
      </c>
      <c r="AY177" s="21">
        <f t="shared" si="57"/>
        <v>63</v>
      </c>
      <c r="AZ177" s="21">
        <v>0</v>
      </c>
      <c r="BA177" s="21">
        <v>70</v>
      </c>
      <c r="BB177" s="21">
        <f t="shared" si="58"/>
        <v>154</v>
      </c>
      <c r="BC177" s="15" t="s">
        <v>4470</v>
      </c>
      <c r="BD177" s="163" t="s">
        <v>6209</v>
      </c>
      <c r="BE177" s="163" t="s">
        <v>6209</v>
      </c>
      <c r="BF177" s="163">
        <v>2</v>
      </c>
      <c r="BG177" s="163">
        <v>4</v>
      </c>
      <c r="BH177" s="306">
        <v>110</v>
      </c>
      <c r="BI177" s="163">
        <v>1000</v>
      </c>
      <c r="BJ177" s="163" t="s">
        <v>6193</v>
      </c>
      <c r="BK177" s="163">
        <v>0.9</v>
      </c>
      <c r="BL177" s="163">
        <v>105</v>
      </c>
      <c r="BM177" s="163">
        <v>1137</v>
      </c>
      <c r="BN177" s="163">
        <v>46</v>
      </c>
      <c r="BO177" s="163" t="s">
        <v>4591</v>
      </c>
      <c r="BP177" s="306" t="s">
        <v>5856</v>
      </c>
      <c r="BQ177" s="163">
        <v>14</v>
      </c>
      <c r="BR177" s="163">
        <v>2</v>
      </c>
      <c r="BS177" s="163">
        <v>19</v>
      </c>
      <c r="BT177" s="163">
        <v>90</v>
      </c>
      <c r="BU177" s="163">
        <v>100</v>
      </c>
      <c r="BV177" s="18">
        <v>225</v>
      </c>
      <c r="BW177" s="163" t="s">
        <v>4625</v>
      </c>
      <c r="BX177" s="163" t="s">
        <v>4624</v>
      </c>
      <c r="BY177" s="21">
        <v>0</v>
      </c>
      <c r="BZ177" s="21">
        <f t="shared" si="60"/>
        <v>766.54860747590953</v>
      </c>
      <c r="CA177" s="32">
        <v>50</v>
      </c>
      <c r="CB177" s="121">
        <v>1.2E-2</v>
      </c>
      <c r="CC177" s="163" t="s">
        <v>5665</v>
      </c>
      <c r="CD177" s="21">
        <v>275</v>
      </c>
      <c r="CE177" s="21">
        <v>343.5</v>
      </c>
      <c r="CF177" s="21">
        <v>410</v>
      </c>
      <c r="CG177" s="21">
        <v>489.5</v>
      </c>
      <c r="CH177" s="69">
        <v>202500</v>
      </c>
      <c r="CI177" s="163" t="s">
        <v>5665</v>
      </c>
      <c r="CJ177" s="21">
        <v>275</v>
      </c>
      <c r="CK177" s="21">
        <v>424</v>
      </c>
      <c r="CL177" s="47">
        <v>410</v>
      </c>
      <c r="CM177" s="21">
        <v>545.5</v>
      </c>
      <c r="CN177" s="69">
        <v>205000</v>
      </c>
      <c r="CO177" s="163" t="s">
        <v>5665</v>
      </c>
      <c r="CP177" s="60">
        <v>275</v>
      </c>
      <c r="CQ177" s="163">
        <v>278</v>
      </c>
      <c r="CR177" s="60">
        <v>410</v>
      </c>
      <c r="CS177" s="163">
        <v>448</v>
      </c>
      <c r="CT177" s="69">
        <v>199000</v>
      </c>
      <c r="CU177" s="306" t="s">
        <v>5796</v>
      </c>
      <c r="CV177" s="32">
        <v>37</v>
      </c>
      <c r="CW177" s="33">
        <v>2.9</v>
      </c>
      <c r="CX177" s="67">
        <v>33000</v>
      </c>
      <c r="CY177" s="92">
        <v>479.5</v>
      </c>
      <c r="CZ177" s="64">
        <v>748.5</v>
      </c>
      <c r="DA177" s="69">
        <v>199000</v>
      </c>
      <c r="DB177" s="294">
        <v>280</v>
      </c>
      <c r="DC177" s="163">
        <v>8.8000000000000007</v>
      </c>
      <c r="DD177" s="163">
        <v>640</v>
      </c>
      <c r="DE177" s="32">
        <v>730</v>
      </c>
      <c r="DF177" s="163">
        <v>800</v>
      </c>
      <c r="DG177" s="32">
        <v>940</v>
      </c>
      <c r="DH177" s="61">
        <v>200000</v>
      </c>
      <c r="DI177" s="41" t="s">
        <v>4758</v>
      </c>
      <c r="DJ177" s="163" t="s">
        <v>4435</v>
      </c>
      <c r="DK177" s="297" t="s">
        <v>4566</v>
      </c>
    </row>
    <row r="178" spans="1:115">
      <c r="A178" s="306">
        <v>173</v>
      </c>
      <c r="B178" s="326"/>
      <c r="C178" s="326"/>
      <c r="D178" s="346"/>
      <c r="E178" s="334"/>
      <c r="F178" s="326"/>
      <c r="G178" s="329"/>
      <c r="H178" s="326"/>
      <c r="I178" s="326"/>
      <c r="J178" s="309" t="s">
        <v>4630</v>
      </c>
      <c r="K178" s="306" t="s">
        <v>4383</v>
      </c>
      <c r="L178" s="163" t="s">
        <v>5792</v>
      </c>
      <c r="M178" s="306" t="s">
        <v>4508</v>
      </c>
      <c r="N178" s="163" t="s">
        <v>4702</v>
      </c>
      <c r="O178" s="18" t="s">
        <v>4507</v>
      </c>
      <c r="P178" s="163" t="s">
        <v>4470</v>
      </c>
      <c r="Q178" s="163" t="s">
        <v>4420</v>
      </c>
      <c r="R178" s="163" t="s">
        <v>4420</v>
      </c>
      <c r="S178" s="163" t="s">
        <v>5792</v>
      </c>
      <c r="T178" s="163" t="s">
        <v>4420</v>
      </c>
      <c r="U178" s="163" t="s">
        <v>5792</v>
      </c>
      <c r="V178" s="32" t="s">
        <v>4559</v>
      </c>
      <c r="W178" s="73">
        <v>10</v>
      </c>
      <c r="X178" s="231">
        <v>0</v>
      </c>
      <c r="Y178" s="18">
        <v>0</v>
      </c>
      <c r="Z178" s="306" t="s">
        <v>4341</v>
      </c>
      <c r="AA178" s="21">
        <f>INDEX('[2]Cross-Section Database'!$C$2:$V$2928,MATCH(Z178,'[2]Cross-Section Database'!$B$2:$B$2928,0),3)</f>
        <v>203.2</v>
      </c>
      <c r="AB178" s="21">
        <f>INDEX('[2]Cross-Section Database'!$C$2:$V$2928,MATCH(Z178,'[2]Cross-Section Database'!$B$2:$B$2928,0),4)</f>
        <v>203.6</v>
      </c>
      <c r="AC178" s="21">
        <f>INDEX('[2]Cross-Section Database'!$C$2:$V$2928,MATCH(Z178,'[2]Cross-Section Database'!$B$2:$B$2928,0),6)</f>
        <v>11</v>
      </c>
      <c r="AD178" s="21">
        <f>INDEX('[2]Cross-Section Database'!$C$2:$V$2928,MATCH(Z178,'[2]Cross-Section Database'!$B$2:$B$2928,0),5)</f>
        <v>7.2</v>
      </c>
      <c r="AE178" s="21">
        <v>3470</v>
      </c>
      <c r="AF178" s="306" t="s">
        <v>4206</v>
      </c>
      <c r="AG178" s="21">
        <f>INDEX('[2]Cross-Section Database'!$C$2:$V$2928,MATCH(AF178,'[2]Cross-Section Database'!$B$2:$B$2928,0),3)</f>
        <v>257.2</v>
      </c>
      <c r="AH178" s="21">
        <f>INDEX('[2]Cross-Section Database'!$C$2:$V$2928,MATCH(AF178,'[2]Cross-Section Database'!$B$2:$B$2928,0),4)</f>
        <v>101.9</v>
      </c>
      <c r="AI178" s="21">
        <f>INDEX('[2]Cross-Section Database'!$C$2:$V$2928,MATCH(AF178,'[2]Cross-Section Database'!$B$2:$B$2928,0),6)</f>
        <v>8.4</v>
      </c>
      <c r="AJ178" s="21">
        <f>INDEX('[2]Cross-Section Database'!$C$2:$V$2928,MATCH(AF178,'[2]Cross-Section Database'!$B$2:$B$2928,0),5)</f>
        <v>6</v>
      </c>
      <c r="AK178" s="21">
        <v>573</v>
      </c>
      <c r="AL178" s="21">
        <f>INDEX('[2]Cross-Section Database'!$C$2:$V$3928,MATCH(AF178,'[2]Cross-Section Database'!$B$2:$B$3928,0),11)</f>
        <v>34150000</v>
      </c>
      <c r="AM178" s="24">
        <f>INDEX('[2]Cross-Section Database'!$C$2:$V$3928,MATCH(AF178,'[2]Cross-Section Database'!$B$2:$B$3928,0),12)</f>
        <v>305500</v>
      </c>
      <c r="AN178" s="21">
        <v>10</v>
      </c>
      <c r="AO178" s="21">
        <v>130</v>
      </c>
      <c r="AP178" s="21">
        <v>280</v>
      </c>
      <c r="AQ178" s="21">
        <f t="shared" si="59"/>
        <v>11.400000000000006</v>
      </c>
      <c r="AR178" s="21">
        <f t="shared" si="54"/>
        <v>11.400000000000006</v>
      </c>
      <c r="AS178" s="306" t="s">
        <v>5807</v>
      </c>
      <c r="AT178" s="163" t="s">
        <v>4613</v>
      </c>
      <c r="AU178" s="21">
        <v>30.5</v>
      </c>
      <c r="AV178" s="163">
        <v>20</v>
      </c>
      <c r="AW178" s="163">
        <f t="shared" si="56"/>
        <v>245</v>
      </c>
      <c r="AX178" s="21">
        <v>63</v>
      </c>
      <c r="AY178" s="21">
        <f t="shared" si="57"/>
        <v>63</v>
      </c>
      <c r="AZ178" s="21">
        <v>0</v>
      </c>
      <c r="BA178" s="21">
        <v>70</v>
      </c>
      <c r="BB178" s="21">
        <f t="shared" si="58"/>
        <v>154</v>
      </c>
      <c r="BC178" s="15" t="s">
        <v>4470</v>
      </c>
      <c r="BD178" s="163" t="s">
        <v>6209</v>
      </c>
      <c r="BE178" s="163" t="s">
        <v>6209</v>
      </c>
      <c r="BF178" s="163">
        <v>2</v>
      </c>
      <c r="BG178" s="163">
        <v>4</v>
      </c>
      <c r="BH178" s="306">
        <v>110</v>
      </c>
      <c r="BI178" s="163">
        <v>1000</v>
      </c>
      <c r="BJ178" s="163" t="s">
        <v>6193</v>
      </c>
      <c r="BK178" s="163">
        <v>0.9</v>
      </c>
      <c r="BL178" s="163">
        <v>105</v>
      </c>
      <c r="BM178" s="163">
        <v>1137</v>
      </c>
      <c r="BN178" s="163">
        <v>46</v>
      </c>
      <c r="BO178" s="163" t="s">
        <v>4591</v>
      </c>
      <c r="BP178" s="306" t="s">
        <v>5856</v>
      </c>
      <c r="BQ178" s="163">
        <v>14</v>
      </c>
      <c r="BR178" s="163">
        <v>2</v>
      </c>
      <c r="BS178" s="163">
        <v>19</v>
      </c>
      <c r="BT178" s="163">
        <v>90</v>
      </c>
      <c r="BU178" s="163">
        <v>100</v>
      </c>
      <c r="BV178" s="18">
        <v>225</v>
      </c>
      <c r="BW178" s="163" t="s">
        <v>4625</v>
      </c>
      <c r="BX178" s="163" t="s">
        <v>4624</v>
      </c>
      <c r="BY178" s="21">
        <v>0</v>
      </c>
      <c r="BZ178" s="21">
        <f t="shared" si="60"/>
        <v>766.54860747590953</v>
      </c>
      <c r="CA178" s="32">
        <v>50</v>
      </c>
      <c r="CB178" s="121">
        <v>1.2E-2</v>
      </c>
      <c r="CC178" s="163" t="s">
        <v>5665</v>
      </c>
      <c r="CD178" s="21">
        <v>275</v>
      </c>
      <c r="CE178" s="21">
        <v>343.5</v>
      </c>
      <c r="CF178" s="21">
        <v>410</v>
      </c>
      <c r="CG178" s="21">
        <v>489.5</v>
      </c>
      <c r="CH178" s="69">
        <v>202500</v>
      </c>
      <c r="CI178" s="163" t="s">
        <v>5665</v>
      </c>
      <c r="CJ178" s="21">
        <v>275</v>
      </c>
      <c r="CK178" s="21">
        <v>424</v>
      </c>
      <c r="CL178" s="47">
        <v>410</v>
      </c>
      <c r="CM178" s="21">
        <v>545.5</v>
      </c>
      <c r="CN178" s="69">
        <v>205000</v>
      </c>
      <c r="CO178" s="163" t="s">
        <v>5665</v>
      </c>
      <c r="CP178" s="60">
        <v>275</v>
      </c>
      <c r="CQ178" s="163">
        <v>278</v>
      </c>
      <c r="CR178" s="60">
        <v>410</v>
      </c>
      <c r="CS178" s="163">
        <v>448</v>
      </c>
      <c r="CT178" s="69">
        <v>199000</v>
      </c>
      <c r="CU178" s="306" t="s">
        <v>5796</v>
      </c>
      <c r="CV178" s="32">
        <v>37</v>
      </c>
      <c r="CW178" s="33">
        <v>2.9</v>
      </c>
      <c r="CX178" s="67">
        <v>33000</v>
      </c>
      <c r="CY178" s="92">
        <v>479.5</v>
      </c>
      <c r="CZ178" s="64">
        <v>748.5</v>
      </c>
      <c r="DA178" s="69">
        <v>199000</v>
      </c>
      <c r="DB178" s="294">
        <v>280</v>
      </c>
      <c r="DC178" s="163">
        <v>8.8000000000000007</v>
      </c>
      <c r="DD178" s="163">
        <v>640</v>
      </c>
      <c r="DE178" s="32">
        <v>730</v>
      </c>
      <c r="DF178" s="163">
        <v>800</v>
      </c>
      <c r="DG178" s="32">
        <v>940</v>
      </c>
      <c r="DH178" s="61">
        <v>200000</v>
      </c>
      <c r="DI178" s="41" t="s">
        <v>6067</v>
      </c>
      <c r="DJ178" s="163" t="s">
        <v>4435</v>
      </c>
      <c r="DK178" s="297" t="s">
        <v>4566</v>
      </c>
    </row>
    <row r="179" spans="1:115" ht="15.6" customHeight="1" thickBot="1">
      <c r="A179" s="143">
        <v>174</v>
      </c>
      <c r="B179" s="327"/>
      <c r="C179" s="327"/>
      <c r="D179" s="347"/>
      <c r="E179" s="335"/>
      <c r="F179" s="327"/>
      <c r="G179" s="330"/>
      <c r="H179" s="327"/>
      <c r="I179" s="327"/>
      <c r="J179" s="310" t="s">
        <v>4631</v>
      </c>
      <c r="K179" s="143" t="s">
        <v>4383</v>
      </c>
      <c r="L179" s="164" t="s">
        <v>5792</v>
      </c>
      <c r="M179" s="143" t="s">
        <v>4508</v>
      </c>
      <c r="N179" s="164" t="s">
        <v>4702</v>
      </c>
      <c r="O179" s="14" t="s">
        <v>4507</v>
      </c>
      <c r="P179" s="164" t="s">
        <v>4470</v>
      </c>
      <c r="Q179" s="164" t="s">
        <v>4420</v>
      </c>
      <c r="R179" s="164" t="s">
        <v>4420</v>
      </c>
      <c r="S179" s="164" t="s">
        <v>5792</v>
      </c>
      <c r="T179" s="164" t="s">
        <v>4420</v>
      </c>
      <c r="U179" s="164" t="s">
        <v>5792</v>
      </c>
      <c r="V179" s="34" t="s">
        <v>4559</v>
      </c>
      <c r="W179" s="118">
        <v>10</v>
      </c>
      <c r="X179" s="231">
        <v>0</v>
      </c>
      <c r="Y179" s="18">
        <v>0</v>
      </c>
      <c r="Z179" s="143" t="s">
        <v>4341</v>
      </c>
      <c r="AA179" s="23">
        <f>INDEX('[2]Cross-Section Database'!$C$2:$V$2928,MATCH(Z179,'[2]Cross-Section Database'!$B$2:$B$2928,0),3)</f>
        <v>203.2</v>
      </c>
      <c r="AB179" s="23">
        <f>INDEX('[2]Cross-Section Database'!$C$2:$V$2928,MATCH(Z179,'[2]Cross-Section Database'!$B$2:$B$2928,0),4)</f>
        <v>203.6</v>
      </c>
      <c r="AC179" s="23">
        <f>INDEX('[2]Cross-Section Database'!$C$2:$V$2928,MATCH(Z179,'[2]Cross-Section Database'!$B$2:$B$2928,0),6)</f>
        <v>11</v>
      </c>
      <c r="AD179" s="23">
        <f>INDEX('[2]Cross-Section Database'!$C$2:$V$2928,MATCH(Z179,'[2]Cross-Section Database'!$B$2:$B$2928,0),5)</f>
        <v>7.2</v>
      </c>
      <c r="AE179" s="23">
        <v>3470</v>
      </c>
      <c r="AF179" s="143" t="s">
        <v>4206</v>
      </c>
      <c r="AG179" s="23">
        <f>INDEX('[2]Cross-Section Database'!$C$2:$V$2928,MATCH(AF179,'[2]Cross-Section Database'!$B$2:$B$2928,0),3)</f>
        <v>257.2</v>
      </c>
      <c r="AH179" s="23">
        <f>INDEX('[2]Cross-Section Database'!$C$2:$V$2928,MATCH(AF179,'[2]Cross-Section Database'!$B$2:$B$2928,0),4)</f>
        <v>101.9</v>
      </c>
      <c r="AI179" s="23">
        <f>INDEX('[2]Cross-Section Database'!$C$2:$V$2928,MATCH(AF179,'[2]Cross-Section Database'!$B$2:$B$2928,0),6)</f>
        <v>8.4</v>
      </c>
      <c r="AJ179" s="23">
        <f>INDEX('[2]Cross-Section Database'!$C$2:$V$2928,MATCH(AF179,'[2]Cross-Section Database'!$B$2:$B$2928,0),5)</f>
        <v>6</v>
      </c>
      <c r="AK179" s="23">
        <v>1473</v>
      </c>
      <c r="AL179" s="23">
        <f>INDEX('[2]Cross-Section Database'!$C$2:$V$3928,MATCH(AF179,'[2]Cross-Section Database'!$B$2:$B$3928,0),11)</f>
        <v>34150000</v>
      </c>
      <c r="AM179" s="25">
        <f>INDEX('[2]Cross-Section Database'!$C$2:$V$3928,MATCH(AF179,'[2]Cross-Section Database'!$B$2:$B$3928,0),12)</f>
        <v>305500</v>
      </c>
      <c r="AN179" s="23">
        <v>10</v>
      </c>
      <c r="AO179" s="23">
        <v>130</v>
      </c>
      <c r="AP179" s="23">
        <v>280</v>
      </c>
      <c r="AQ179" s="23">
        <f t="shared" si="59"/>
        <v>11.400000000000006</v>
      </c>
      <c r="AR179" s="23">
        <f t="shared" si="54"/>
        <v>11.400000000000006</v>
      </c>
      <c r="AS179" s="143" t="s">
        <v>5807</v>
      </c>
      <c r="AT179" s="164" t="s">
        <v>4613</v>
      </c>
      <c r="AU179" s="23">
        <v>30.5</v>
      </c>
      <c r="AV179" s="164">
        <v>20</v>
      </c>
      <c r="AW179" s="164">
        <f t="shared" si="56"/>
        <v>245</v>
      </c>
      <c r="AX179" s="23">
        <v>63</v>
      </c>
      <c r="AY179" s="23">
        <f t="shared" si="57"/>
        <v>63</v>
      </c>
      <c r="AZ179" s="23">
        <v>0</v>
      </c>
      <c r="BA179" s="23">
        <v>70</v>
      </c>
      <c r="BB179" s="23">
        <f t="shared" si="58"/>
        <v>154</v>
      </c>
      <c r="BC179" s="19" t="s">
        <v>4470</v>
      </c>
      <c r="BD179" s="164" t="s">
        <v>6209</v>
      </c>
      <c r="BE179" s="164" t="s">
        <v>6209</v>
      </c>
      <c r="BF179" s="164">
        <v>2</v>
      </c>
      <c r="BG179" s="164">
        <v>4</v>
      </c>
      <c r="BH179" s="143">
        <v>110</v>
      </c>
      <c r="BI179" s="164">
        <v>1000</v>
      </c>
      <c r="BJ179" s="164" t="s">
        <v>6193</v>
      </c>
      <c r="BK179" s="164">
        <v>0.9</v>
      </c>
      <c r="BL179" s="164">
        <v>105</v>
      </c>
      <c r="BM179" s="164">
        <v>1137</v>
      </c>
      <c r="BN179" s="164">
        <v>46</v>
      </c>
      <c r="BO179" s="164" t="s">
        <v>4591</v>
      </c>
      <c r="BP179" s="143" t="s">
        <v>5856</v>
      </c>
      <c r="BQ179" s="164">
        <v>14</v>
      </c>
      <c r="BR179" s="164">
        <v>2</v>
      </c>
      <c r="BS179" s="164">
        <v>19</v>
      </c>
      <c r="BT179" s="164">
        <v>90</v>
      </c>
      <c r="BU179" s="164">
        <v>100</v>
      </c>
      <c r="BV179" s="14">
        <v>225</v>
      </c>
      <c r="BW179" s="164" t="s">
        <v>4625</v>
      </c>
      <c r="BX179" s="164" t="s">
        <v>4624</v>
      </c>
      <c r="BY179" s="23">
        <v>0</v>
      </c>
      <c r="BZ179" s="23">
        <f>4*PI()*12^2/4+4*PI()*10^2/4</f>
        <v>766.54860747590953</v>
      </c>
      <c r="CA179" s="34">
        <v>50</v>
      </c>
      <c r="CB179" s="122">
        <v>1.2E-2</v>
      </c>
      <c r="CC179" s="164" t="s">
        <v>5665</v>
      </c>
      <c r="CD179" s="23">
        <v>275</v>
      </c>
      <c r="CE179" s="23">
        <v>343.5</v>
      </c>
      <c r="CF179" s="23">
        <v>410</v>
      </c>
      <c r="CG179" s="23">
        <v>489.5</v>
      </c>
      <c r="CH179" s="69">
        <v>202500</v>
      </c>
      <c r="CI179" s="164" t="s">
        <v>5665</v>
      </c>
      <c r="CJ179" s="23">
        <v>275</v>
      </c>
      <c r="CK179" s="23">
        <v>424</v>
      </c>
      <c r="CL179" s="85">
        <v>410</v>
      </c>
      <c r="CM179" s="23">
        <v>545.5</v>
      </c>
      <c r="CN179" s="69">
        <v>205000</v>
      </c>
      <c r="CO179" s="164" t="s">
        <v>5665</v>
      </c>
      <c r="CP179" s="87">
        <v>275</v>
      </c>
      <c r="CQ179" s="164">
        <v>278</v>
      </c>
      <c r="CR179" s="87">
        <v>410</v>
      </c>
      <c r="CS179" s="164">
        <v>448</v>
      </c>
      <c r="CT179" s="69">
        <v>199000</v>
      </c>
      <c r="CU179" s="143" t="s">
        <v>5796</v>
      </c>
      <c r="CV179" s="34">
        <v>37</v>
      </c>
      <c r="CW179" s="34">
        <v>3</v>
      </c>
      <c r="CX179" s="67">
        <v>33000</v>
      </c>
      <c r="CY179" s="93">
        <v>479.5</v>
      </c>
      <c r="CZ179" s="84">
        <v>748.5</v>
      </c>
      <c r="DA179" s="83">
        <v>199000</v>
      </c>
      <c r="DB179" s="295">
        <v>280</v>
      </c>
      <c r="DC179" s="164">
        <v>8.8000000000000007</v>
      </c>
      <c r="DD179" s="164">
        <v>640</v>
      </c>
      <c r="DE179" s="34">
        <v>730</v>
      </c>
      <c r="DF179" s="164">
        <v>800</v>
      </c>
      <c r="DG179" s="32">
        <v>940</v>
      </c>
      <c r="DH179" s="77">
        <v>200000</v>
      </c>
      <c r="DI179" s="42" t="s">
        <v>6075</v>
      </c>
      <c r="DJ179" s="164" t="s">
        <v>4435</v>
      </c>
      <c r="DK179" s="297" t="s">
        <v>4566</v>
      </c>
    </row>
    <row r="180" spans="1:115" ht="15.6" customHeight="1">
      <c r="A180" s="305">
        <v>175</v>
      </c>
      <c r="B180" s="325">
        <v>26</v>
      </c>
      <c r="C180" s="325">
        <v>1996</v>
      </c>
      <c r="D180" s="333" t="s">
        <v>5996</v>
      </c>
      <c r="E180" s="333" t="s">
        <v>4856</v>
      </c>
      <c r="F180" s="325">
        <v>6</v>
      </c>
      <c r="G180" s="336" t="s">
        <v>5914</v>
      </c>
      <c r="H180" s="336" t="s">
        <v>5900</v>
      </c>
      <c r="I180" s="336" t="s">
        <v>6239</v>
      </c>
      <c r="J180" s="43" t="s">
        <v>6288</v>
      </c>
      <c r="K180" s="305" t="s">
        <v>6314</v>
      </c>
      <c r="L180" s="162" t="s">
        <v>5792</v>
      </c>
      <c r="M180" s="305" t="s">
        <v>4508</v>
      </c>
      <c r="N180" s="162" t="s">
        <v>4701</v>
      </c>
      <c r="O180" s="17" t="s">
        <v>4507</v>
      </c>
      <c r="P180" s="162" t="s">
        <v>6312</v>
      </c>
      <c r="Q180" s="162" t="s">
        <v>4420</v>
      </c>
      <c r="R180" s="162" t="s">
        <v>6312</v>
      </c>
      <c r="S180" s="162" t="s">
        <v>5792</v>
      </c>
      <c r="T180" s="162" t="s">
        <v>4420</v>
      </c>
      <c r="U180" s="162" t="s">
        <v>5792</v>
      </c>
      <c r="V180" s="162" t="s">
        <v>4559</v>
      </c>
      <c r="W180" s="17">
        <v>10</v>
      </c>
      <c r="X180" s="232">
        <v>0</v>
      </c>
      <c r="Y180" s="17">
        <v>0</v>
      </c>
      <c r="Z180" s="305" t="s">
        <v>6319</v>
      </c>
      <c r="AA180" s="16">
        <f>INDEX('[2]Cross-Section Database'!$C$2:$V$2928,MATCH(Z180,'[2]Cross-Section Database'!$B$2:$B$2928,0),3)</f>
        <v>260.3</v>
      </c>
      <c r="AB180" s="16">
        <f>INDEX('[2]Cross-Section Database'!$C$2:$V$2928,MATCH(Z180,'[2]Cross-Section Database'!$B$2:$B$2928,0),4)</f>
        <v>256.3</v>
      </c>
      <c r="AC180" s="16">
        <f>INDEX('[2]Cross-Section Database'!$C$2:$V$2928,MATCH(Z180,'[2]Cross-Section Database'!$B$2:$B$2928,0),6)</f>
        <v>17.3</v>
      </c>
      <c r="AD180" s="16">
        <f>INDEX('[2]Cross-Section Database'!$C$2:$V$2928,MATCH(Z180,'[2]Cross-Section Database'!$B$2:$B$2928,0),5)</f>
        <v>10.3</v>
      </c>
      <c r="AE180" s="16">
        <v>1200</v>
      </c>
      <c r="AF180" s="305" t="s">
        <v>6320</v>
      </c>
      <c r="AG180" s="16">
        <f>INDEX('[2]Cross-Section Database'!$C$2:$V$2928,MATCH(AF180,'[2]Cross-Section Database'!$B$2:$B$2928,0),3)</f>
        <v>457</v>
      </c>
      <c r="AH180" s="16">
        <f>INDEX('[2]Cross-Section Database'!$C$2:$V$2928,MATCH(AF180,'[2]Cross-Section Database'!$B$2:$B$2928,0),4)</f>
        <v>190.4</v>
      </c>
      <c r="AI180" s="16">
        <f>INDEX('[2]Cross-Section Database'!$C$2:$V$2928,MATCH(AF180,'[2]Cross-Section Database'!$B$2:$B$2928,0),6)</f>
        <v>14.5</v>
      </c>
      <c r="AJ180" s="16">
        <f>INDEX('[2]Cross-Section Database'!$C$2:$V$2928,MATCH(AF180,'[2]Cross-Section Database'!$B$2:$B$2928,0),5)</f>
        <v>9</v>
      </c>
      <c r="AK180" s="16">
        <v>1200</v>
      </c>
      <c r="AL180" s="16">
        <f>INDEX('[2]Cross-Section Database'!$C$2:$V$3928,MATCH(AF180,'[2]Cross-Section Database'!$B$2:$B$3928,0),11)</f>
        <v>333200000</v>
      </c>
      <c r="AM180" s="26">
        <f>INDEX('[2]Cross-Section Database'!$C$2:$V$3928,MATCH(AF180,'[2]Cross-Section Database'!$B$2:$B$3928,0),12)</f>
        <v>1653000</v>
      </c>
      <c r="AN180" s="16">
        <v>12</v>
      </c>
      <c r="AO180" s="16">
        <v>200</v>
      </c>
      <c r="AP180" s="16">
        <v>510</v>
      </c>
      <c r="AQ180" s="16">
        <f t="shared" ref="AQ180:AQ185" si="61">AR180</f>
        <v>26.5</v>
      </c>
      <c r="AR180" s="16">
        <f t="shared" si="54"/>
        <v>26.5</v>
      </c>
      <c r="AS180" s="305" t="s">
        <v>5807</v>
      </c>
      <c r="AT180" s="162" t="s">
        <v>4499</v>
      </c>
      <c r="AU180" s="162" t="s">
        <v>6134</v>
      </c>
      <c r="AV180" s="162">
        <v>20</v>
      </c>
      <c r="AW180" s="162">
        <f t="shared" si="56"/>
        <v>245</v>
      </c>
      <c r="AX180" s="16">
        <v>87</v>
      </c>
      <c r="AY180" s="16">
        <f t="shared" si="57"/>
        <v>87</v>
      </c>
      <c r="AZ180" s="16">
        <v>0</v>
      </c>
      <c r="BA180" s="16">
        <v>90</v>
      </c>
      <c r="BB180" s="16">
        <f t="shared" si="58"/>
        <v>336</v>
      </c>
      <c r="BC180" s="22" t="s">
        <v>6313</v>
      </c>
      <c r="BD180" s="162" t="s">
        <v>6209</v>
      </c>
      <c r="BE180" s="162" t="s">
        <v>6209</v>
      </c>
      <c r="BF180" s="162">
        <v>2</v>
      </c>
      <c r="BG180" s="162">
        <v>4</v>
      </c>
      <c r="BH180" s="200" t="s">
        <v>5792</v>
      </c>
      <c r="BI180" s="201" t="s">
        <v>5792</v>
      </c>
      <c r="BJ180" s="201" t="s">
        <v>5792</v>
      </c>
      <c r="BK180" s="201" t="s">
        <v>5792</v>
      </c>
      <c r="BL180" s="201" t="s">
        <v>5792</v>
      </c>
      <c r="BM180" s="201" t="s">
        <v>5792</v>
      </c>
      <c r="BN180" s="201" t="s">
        <v>5792</v>
      </c>
      <c r="BO180" s="201" t="s">
        <v>5792</v>
      </c>
      <c r="BP180" s="200" t="s">
        <v>5792</v>
      </c>
      <c r="BQ180" s="201" t="s">
        <v>5792</v>
      </c>
      <c r="BR180" s="201" t="s">
        <v>5792</v>
      </c>
      <c r="BS180" s="201" t="s">
        <v>5792</v>
      </c>
      <c r="BT180" s="201" t="s">
        <v>5792</v>
      </c>
      <c r="BU180" s="201" t="s">
        <v>5792</v>
      </c>
      <c r="BV180" s="219" t="s">
        <v>5792</v>
      </c>
      <c r="BW180" s="201" t="s">
        <v>5792</v>
      </c>
      <c r="BX180" s="201" t="s">
        <v>5792</v>
      </c>
      <c r="BY180" s="201" t="s">
        <v>5792</v>
      </c>
      <c r="BZ180" s="201" t="s">
        <v>5792</v>
      </c>
      <c r="CA180" s="201" t="s">
        <v>5792</v>
      </c>
      <c r="CB180" s="219" t="s">
        <v>5792</v>
      </c>
      <c r="CC180" s="162" t="s">
        <v>6282</v>
      </c>
      <c r="CD180" s="162">
        <v>275</v>
      </c>
      <c r="CE180" s="16">
        <v>327.5</v>
      </c>
      <c r="CF180" s="162">
        <v>410</v>
      </c>
      <c r="CG180" s="16">
        <v>469.5</v>
      </c>
      <c r="CH180" s="81">
        <v>166000</v>
      </c>
      <c r="CI180" s="305" t="s">
        <v>6282</v>
      </c>
      <c r="CJ180" s="162">
        <v>275</v>
      </c>
      <c r="CK180" s="31">
        <f t="shared" ref="CK180:CK185" si="62">CJ180*1.3</f>
        <v>357.5</v>
      </c>
      <c r="CL180" s="65">
        <v>430</v>
      </c>
      <c r="CM180" s="30">
        <f t="shared" ref="CM180:CM185" si="63">CL180*1.1</f>
        <v>473.00000000000006</v>
      </c>
      <c r="CN180" s="66">
        <v>200000</v>
      </c>
      <c r="CO180" s="305" t="s">
        <v>6282</v>
      </c>
      <c r="CP180" s="65">
        <v>275</v>
      </c>
      <c r="CQ180" s="162">
        <v>326</v>
      </c>
      <c r="CR180" s="65">
        <v>410</v>
      </c>
      <c r="CS180" s="162">
        <v>475</v>
      </c>
      <c r="CT180" s="81">
        <v>157000</v>
      </c>
      <c r="CU180" s="204" t="s">
        <v>5792</v>
      </c>
      <c r="CV180" s="205" t="s">
        <v>5792</v>
      </c>
      <c r="CW180" s="205" t="s">
        <v>5792</v>
      </c>
      <c r="CX180" s="206" t="s">
        <v>5792</v>
      </c>
      <c r="CY180" s="204" t="s">
        <v>5792</v>
      </c>
      <c r="CZ180" s="205" t="s">
        <v>5792</v>
      </c>
      <c r="DA180" s="206" t="s">
        <v>5792</v>
      </c>
      <c r="DB180" s="282" t="s">
        <v>5792</v>
      </c>
      <c r="DC180" s="162">
        <v>8.8000000000000007</v>
      </c>
      <c r="DD180" s="162">
        <v>640</v>
      </c>
      <c r="DE180" s="30">
        <v>730</v>
      </c>
      <c r="DF180" s="162">
        <v>800</v>
      </c>
      <c r="DG180" s="162">
        <v>882</v>
      </c>
      <c r="DH180" s="76">
        <v>200000</v>
      </c>
      <c r="DI180" s="28" t="s">
        <v>4759</v>
      </c>
      <c r="DJ180" s="162" t="s">
        <v>4435</v>
      </c>
      <c r="DK180" s="296" t="s">
        <v>4566</v>
      </c>
    </row>
    <row r="181" spans="1:115">
      <c r="A181" s="306">
        <v>176</v>
      </c>
      <c r="B181" s="326"/>
      <c r="C181" s="326"/>
      <c r="D181" s="334"/>
      <c r="E181" s="334"/>
      <c r="F181" s="326"/>
      <c r="G181" s="337"/>
      <c r="H181" s="337"/>
      <c r="I181" s="337"/>
      <c r="J181" s="41" t="s">
        <v>6289</v>
      </c>
      <c r="K181" s="306" t="s">
        <v>4383</v>
      </c>
      <c r="L181" s="163" t="s">
        <v>5792</v>
      </c>
      <c r="M181" s="306" t="s">
        <v>4508</v>
      </c>
      <c r="N181" s="163" t="s">
        <v>4701</v>
      </c>
      <c r="O181" s="18" t="s">
        <v>4507</v>
      </c>
      <c r="P181" s="163" t="s">
        <v>6312</v>
      </c>
      <c r="Q181" s="163" t="s">
        <v>4420</v>
      </c>
      <c r="R181" s="163" t="s">
        <v>6312</v>
      </c>
      <c r="S181" s="163" t="s">
        <v>5792</v>
      </c>
      <c r="T181" s="163" t="s">
        <v>4420</v>
      </c>
      <c r="U181" s="163" t="s">
        <v>5792</v>
      </c>
      <c r="V181" s="163" t="s">
        <v>4559</v>
      </c>
      <c r="W181" s="18">
        <v>10</v>
      </c>
      <c r="X181" s="231">
        <v>0</v>
      </c>
      <c r="Y181" s="18">
        <v>0</v>
      </c>
      <c r="Z181" s="306" t="s">
        <v>6319</v>
      </c>
      <c r="AA181" s="21">
        <f>INDEX('[2]Cross-Section Database'!$C$2:$V$2928,MATCH(Z181,'[2]Cross-Section Database'!$B$2:$B$2928,0),3)</f>
        <v>260.3</v>
      </c>
      <c r="AB181" s="21">
        <f>INDEX('[2]Cross-Section Database'!$C$2:$V$2928,MATCH(Z181,'[2]Cross-Section Database'!$B$2:$B$2928,0),4)</f>
        <v>256.3</v>
      </c>
      <c r="AC181" s="21">
        <f>INDEX('[2]Cross-Section Database'!$C$2:$V$2928,MATCH(Z181,'[2]Cross-Section Database'!$B$2:$B$2928,0),6)</f>
        <v>17.3</v>
      </c>
      <c r="AD181" s="21">
        <f>INDEX('[2]Cross-Section Database'!$C$2:$V$2928,MATCH(Z181,'[2]Cross-Section Database'!$B$2:$B$2928,0),5)</f>
        <v>10.3</v>
      </c>
      <c r="AE181" s="21">
        <v>1200</v>
      </c>
      <c r="AF181" s="306" t="s">
        <v>6320</v>
      </c>
      <c r="AG181" s="21">
        <f>INDEX('[2]Cross-Section Database'!$C$2:$V$2928,MATCH(AF181,'[2]Cross-Section Database'!$B$2:$B$2928,0),3)</f>
        <v>457</v>
      </c>
      <c r="AH181" s="21">
        <f>INDEX('[2]Cross-Section Database'!$C$2:$V$2928,MATCH(AF181,'[2]Cross-Section Database'!$B$2:$B$2928,0),4)</f>
        <v>190.4</v>
      </c>
      <c r="AI181" s="21">
        <f>INDEX('[2]Cross-Section Database'!$C$2:$V$2928,MATCH(AF181,'[2]Cross-Section Database'!$B$2:$B$2928,0),6)</f>
        <v>14.5</v>
      </c>
      <c r="AJ181" s="21">
        <f>INDEX('[2]Cross-Section Database'!$C$2:$V$2928,MATCH(AF181,'[2]Cross-Section Database'!$B$2:$B$2928,0),5)</f>
        <v>9</v>
      </c>
      <c r="AK181" s="21">
        <v>1200</v>
      </c>
      <c r="AL181" s="21">
        <f>INDEX('[2]Cross-Section Database'!$C$2:$V$3928,MATCH(AF181,'[2]Cross-Section Database'!$B$2:$B$3928,0),11)</f>
        <v>333200000</v>
      </c>
      <c r="AM181" s="24">
        <f>INDEX('[2]Cross-Section Database'!$C$2:$V$3928,MATCH(AF181,'[2]Cross-Section Database'!$B$2:$B$3928,0),12)</f>
        <v>1653000</v>
      </c>
      <c r="AN181" s="21">
        <v>15</v>
      </c>
      <c r="AO181" s="21">
        <v>200</v>
      </c>
      <c r="AP181" s="21">
        <v>510</v>
      </c>
      <c r="AQ181" s="21">
        <f t="shared" si="61"/>
        <v>26.5</v>
      </c>
      <c r="AR181" s="21">
        <f t="shared" si="54"/>
        <v>26.5</v>
      </c>
      <c r="AS181" s="306" t="s">
        <v>5807</v>
      </c>
      <c r="AT181" s="163" t="s">
        <v>4499</v>
      </c>
      <c r="AU181" s="163" t="s">
        <v>6134</v>
      </c>
      <c r="AV181" s="163">
        <v>24</v>
      </c>
      <c r="AW181" s="163">
        <f t="shared" si="56"/>
        <v>353</v>
      </c>
      <c r="AX181" s="21">
        <v>87</v>
      </c>
      <c r="AY181" s="21">
        <f t="shared" si="57"/>
        <v>87</v>
      </c>
      <c r="AZ181" s="21">
        <v>0</v>
      </c>
      <c r="BA181" s="21">
        <v>90</v>
      </c>
      <c r="BB181" s="21">
        <f t="shared" si="58"/>
        <v>336</v>
      </c>
      <c r="BC181" s="15" t="s">
        <v>6313</v>
      </c>
      <c r="BD181" s="163" t="s">
        <v>6209</v>
      </c>
      <c r="BE181" s="163" t="s">
        <v>6209</v>
      </c>
      <c r="BF181" s="163">
        <v>2</v>
      </c>
      <c r="BG181" s="163">
        <v>4</v>
      </c>
      <c r="BH181" s="202" t="s">
        <v>5792</v>
      </c>
      <c r="BI181" s="203" t="s">
        <v>5792</v>
      </c>
      <c r="BJ181" s="203" t="s">
        <v>5792</v>
      </c>
      <c r="BK181" s="203" t="s">
        <v>5792</v>
      </c>
      <c r="BL181" s="203" t="s">
        <v>5792</v>
      </c>
      <c r="BM181" s="203" t="s">
        <v>5792</v>
      </c>
      <c r="BN181" s="203" t="s">
        <v>5792</v>
      </c>
      <c r="BO181" s="203" t="s">
        <v>5792</v>
      </c>
      <c r="BP181" s="202" t="s">
        <v>5792</v>
      </c>
      <c r="BQ181" s="203" t="s">
        <v>5792</v>
      </c>
      <c r="BR181" s="203" t="s">
        <v>5792</v>
      </c>
      <c r="BS181" s="203" t="s">
        <v>5792</v>
      </c>
      <c r="BT181" s="203" t="s">
        <v>5792</v>
      </c>
      <c r="BU181" s="203" t="s">
        <v>5792</v>
      </c>
      <c r="BV181" s="218" t="s">
        <v>5792</v>
      </c>
      <c r="BW181" s="203" t="s">
        <v>5792</v>
      </c>
      <c r="BX181" s="203" t="s">
        <v>5792</v>
      </c>
      <c r="BY181" s="203" t="s">
        <v>5792</v>
      </c>
      <c r="BZ181" s="203" t="s">
        <v>5792</v>
      </c>
      <c r="CA181" s="203" t="s">
        <v>5792</v>
      </c>
      <c r="CB181" s="218" t="s">
        <v>5792</v>
      </c>
      <c r="CC181" s="163" t="s">
        <v>6282</v>
      </c>
      <c r="CD181" s="163">
        <v>275</v>
      </c>
      <c r="CE181" s="21">
        <v>327.5</v>
      </c>
      <c r="CF181" s="163">
        <v>410</v>
      </c>
      <c r="CG181" s="21">
        <v>469.5</v>
      </c>
      <c r="CH181" s="69">
        <v>166000</v>
      </c>
      <c r="CI181" s="306" t="s">
        <v>6282</v>
      </c>
      <c r="CJ181" s="163">
        <v>275</v>
      </c>
      <c r="CK181" s="33">
        <f t="shared" si="62"/>
        <v>357.5</v>
      </c>
      <c r="CL181" s="60">
        <v>430</v>
      </c>
      <c r="CM181" s="32">
        <f t="shared" si="63"/>
        <v>473.00000000000006</v>
      </c>
      <c r="CN181" s="67">
        <v>200000</v>
      </c>
      <c r="CO181" s="306" t="s">
        <v>6282</v>
      </c>
      <c r="CP181" s="60">
        <v>275</v>
      </c>
      <c r="CQ181" s="163">
        <v>307</v>
      </c>
      <c r="CR181" s="60">
        <v>410</v>
      </c>
      <c r="CS181" s="163">
        <v>461</v>
      </c>
      <c r="CT181" s="69">
        <v>150000</v>
      </c>
      <c r="CU181" s="207" t="s">
        <v>5792</v>
      </c>
      <c r="CV181" s="208" t="s">
        <v>5792</v>
      </c>
      <c r="CW181" s="208" t="s">
        <v>5792</v>
      </c>
      <c r="CX181" s="209" t="s">
        <v>5792</v>
      </c>
      <c r="CY181" s="207" t="s">
        <v>5792</v>
      </c>
      <c r="CZ181" s="208" t="s">
        <v>5792</v>
      </c>
      <c r="DA181" s="209" t="s">
        <v>5792</v>
      </c>
      <c r="DB181" s="283" t="s">
        <v>5792</v>
      </c>
      <c r="DC181" s="163">
        <v>8.8000000000000007</v>
      </c>
      <c r="DD181" s="163">
        <v>640</v>
      </c>
      <c r="DE181" s="32">
        <v>730</v>
      </c>
      <c r="DF181" s="163">
        <v>800</v>
      </c>
      <c r="DG181" s="163">
        <v>949</v>
      </c>
      <c r="DH181" s="61">
        <v>200000</v>
      </c>
      <c r="DI181" s="41" t="s">
        <v>4759</v>
      </c>
      <c r="DJ181" s="163" t="s">
        <v>4435</v>
      </c>
      <c r="DK181" s="297" t="s">
        <v>4566</v>
      </c>
    </row>
    <row r="182" spans="1:115">
      <c r="A182" s="306">
        <v>177</v>
      </c>
      <c r="B182" s="326"/>
      <c r="C182" s="326"/>
      <c r="D182" s="334"/>
      <c r="E182" s="334"/>
      <c r="F182" s="326"/>
      <c r="G182" s="337"/>
      <c r="H182" s="337"/>
      <c r="I182" s="337"/>
      <c r="J182" s="41" t="s">
        <v>0</v>
      </c>
      <c r="K182" s="306" t="s">
        <v>4383</v>
      </c>
      <c r="L182" s="163" t="s">
        <v>5792</v>
      </c>
      <c r="M182" s="306" t="s">
        <v>4508</v>
      </c>
      <c r="N182" s="163" t="s">
        <v>4701</v>
      </c>
      <c r="O182" s="18" t="s">
        <v>4507</v>
      </c>
      <c r="P182" s="163" t="s">
        <v>6312</v>
      </c>
      <c r="Q182" s="163" t="s">
        <v>4420</v>
      </c>
      <c r="R182" s="163" t="s">
        <v>6312</v>
      </c>
      <c r="S182" s="163" t="s">
        <v>5792</v>
      </c>
      <c r="T182" s="163" t="s">
        <v>4420</v>
      </c>
      <c r="U182" s="163" t="s">
        <v>5792</v>
      </c>
      <c r="V182" s="163" t="s">
        <v>4559</v>
      </c>
      <c r="W182" s="18">
        <v>10</v>
      </c>
      <c r="X182" s="231">
        <v>0</v>
      </c>
      <c r="Y182" s="18">
        <v>0</v>
      </c>
      <c r="Z182" s="306" t="s">
        <v>6321</v>
      </c>
      <c r="AA182" s="21">
        <f>INDEX('[2]Cross-Section Database'!$C$2:$V$2928,MATCH(Z182,'[2]Cross-Section Database'!$B$2:$B$2928,0),3)</f>
        <v>254.1</v>
      </c>
      <c r="AB182" s="21">
        <f>INDEX('[2]Cross-Section Database'!$C$2:$V$2928,MATCH(Z182,'[2]Cross-Section Database'!$B$2:$B$2928,0),4)</f>
        <v>254.6</v>
      </c>
      <c r="AC182" s="21">
        <f>INDEX('[2]Cross-Section Database'!$C$2:$V$2928,MATCH(Z182,'[2]Cross-Section Database'!$B$2:$B$2928,0),6)</f>
        <v>14.2</v>
      </c>
      <c r="AD182" s="21">
        <f>INDEX('[2]Cross-Section Database'!$C$2:$V$2928,MATCH(Z182,'[2]Cross-Section Database'!$B$2:$B$2928,0),5)</f>
        <v>8.6</v>
      </c>
      <c r="AE182" s="21">
        <v>1100</v>
      </c>
      <c r="AF182" s="306" t="s">
        <v>6290</v>
      </c>
      <c r="AG182" s="21">
        <f>INDEX('[2]Cross-Section Database'!$C$2:$V$2928,MATCH(AF182,'[2]Cross-Section Database'!$B$2:$B$2928,0),3)</f>
        <v>406.4</v>
      </c>
      <c r="AH182" s="21">
        <f>INDEX('[2]Cross-Section Database'!$C$2:$V$2928,MATCH(AF182,'[2]Cross-Section Database'!$B$2:$B$2928,0),4)</f>
        <v>177.9</v>
      </c>
      <c r="AI182" s="21">
        <f>INDEX('[2]Cross-Section Database'!$C$2:$V$2928,MATCH(AF182,'[2]Cross-Section Database'!$B$2:$B$2928,0),6)</f>
        <v>12.8</v>
      </c>
      <c r="AJ182" s="21">
        <f>INDEX('[2]Cross-Section Database'!$C$2:$V$2928,MATCH(AF182,'[2]Cross-Section Database'!$B$2:$B$2928,0),5)</f>
        <v>7.9</v>
      </c>
      <c r="AK182" s="21">
        <v>1200</v>
      </c>
      <c r="AL182" s="21">
        <f>INDEX('[2]Cross-Section Database'!$C$2:$V$3928,MATCH(AF182,'[2]Cross-Section Database'!$B$2:$B$3928,0),11)</f>
        <v>216000000</v>
      </c>
      <c r="AM182" s="24">
        <f>INDEX('[2]Cross-Section Database'!$C$2:$V$3928,MATCH(AF182,'[2]Cross-Section Database'!$B$2:$B$3928,0),12)</f>
        <v>1199000</v>
      </c>
      <c r="AN182" s="21">
        <v>12</v>
      </c>
      <c r="AO182" s="21">
        <v>200</v>
      </c>
      <c r="AP182" s="21">
        <v>460</v>
      </c>
      <c r="AQ182" s="21">
        <f t="shared" si="61"/>
        <v>26.800000000000011</v>
      </c>
      <c r="AR182" s="21">
        <f t="shared" si="54"/>
        <v>26.800000000000011</v>
      </c>
      <c r="AS182" s="306" t="s">
        <v>5807</v>
      </c>
      <c r="AT182" s="163" t="s">
        <v>4499</v>
      </c>
      <c r="AU182" s="163" t="s">
        <v>6134</v>
      </c>
      <c r="AV182" s="163">
        <v>20</v>
      </c>
      <c r="AW182" s="163">
        <f t="shared" si="56"/>
        <v>245</v>
      </c>
      <c r="AX182" s="21">
        <v>87</v>
      </c>
      <c r="AY182" s="21">
        <f t="shared" si="57"/>
        <v>87</v>
      </c>
      <c r="AZ182" s="21">
        <v>0</v>
      </c>
      <c r="BA182" s="21">
        <v>90</v>
      </c>
      <c r="BB182" s="21">
        <f t="shared" si="58"/>
        <v>286</v>
      </c>
      <c r="BC182" s="15" t="s">
        <v>6313</v>
      </c>
      <c r="BD182" s="163" t="s">
        <v>6209</v>
      </c>
      <c r="BE182" s="163" t="s">
        <v>6209</v>
      </c>
      <c r="BF182" s="163">
        <v>2</v>
      </c>
      <c r="BG182" s="163">
        <v>4</v>
      </c>
      <c r="BH182" s="202" t="s">
        <v>5792</v>
      </c>
      <c r="BI182" s="203" t="s">
        <v>5792</v>
      </c>
      <c r="BJ182" s="203" t="s">
        <v>5792</v>
      </c>
      <c r="BK182" s="203" t="s">
        <v>5792</v>
      </c>
      <c r="BL182" s="203" t="s">
        <v>5792</v>
      </c>
      <c r="BM182" s="203" t="s">
        <v>5792</v>
      </c>
      <c r="BN182" s="203" t="s">
        <v>5792</v>
      </c>
      <c r="BO182" s="203" t="s">
        <v>5792</v>
      </c>
      <c r="BP182" s="202" t="s">
        <v>5792</v>
      </c>
      <c r="BQ182" s="203" t="s">
        <v>5792</v>
      </c>
      <c r="BR182" s="203" t="s">
        <v>5792</v>
      </c>
      <c r="BS182" s="203" t="s">
        <v>5792</v>
      </c>
      <c r="BT182" s="203" t="s">
        <v>5792</v>
      </c>
      <c r="BU182" s="203" t="s">
        <v>5792</v>
      </c>
      <c r="BV182" s="218" t="s">
        <v>5792</v>
      </c>
      <c r="BW182" s="203" t="s">
        <v>5792</v>
      </c>
      <c r="BX182" s="203" t="s">
        <v>5792</v>
      </c>
      <c r="BY182" s="203" t="s">
        <v>5792</v>
      </c>
      <c r="BZ182" s="203" t="s">
        <v>5792</v>
      </c>
      <c r="CA182" s="203" t="s">
        <v>5792</v>
      </c>
      <c r="CB182" s="218" t="s">
        <v>5792</v>
      </c>
      <c r="CC182" s="163" t="s">
        <v>6282</v>
      </c>
      <c r="CD182" s="163">
        <v>275</v>
      </c>
      <c r="CE182" s="21">
        <v>327.5</v>
      </c>
      <c r="CF182" s="163">
        <v>410</v>
      </c>
      <c r="CG182" s="21">
        <v>469.5</v>
      </c>
      <c r="CH182" s="69">
        <v>166000</v>
      </c>
      <c r="CI182" s="306" t="s">
        <v>6282</v>
      </c>
      <c r="CJ182" s="163">
        <v>275</v>
      </c>
      <c r="CK182" s="33">
        <f t="shared" si="62"/>
        <v>357.5</v>
      </c>
      <c r="CL182" s="60">
        <v>430</v>
      </c>
      <c r="CM182" s="32">
        <f t="shared" si="63"/>
        <v>473.00000000000006</v>
      </c>
      <c r="CN182" s="67">
        <v>200000</v>
      </c>
      <c r="CO182" s="306" t="s">
        <v>6282</v>
      </c>
      <c r="CP182" s="60">
        <v>275</v>
      </c>
      <c r="CQ182" s="163">
        <v>326</v>
      </c>
      <c r="CR182" s="60">
        <v>410</v>
      </c>
      <c r="CS182" s="163">
        <v>475</v>
      </c>
      <c r="CT182" s="69">
        <v>157000</v>
      </c>
      <c r="CU182" s="207" t="s">
        <v>5792</v>
      </c>
      <c r="CV182" s="208" t="s">
        <v>5792</v>
      </c>
      <c r="CW182" s="208" t="s">
        <v>5792</v>
      </c>
      <c r="CX182" s="209" t="s">
        <v>5792</v>
      </c>
      <c r="CY182" s="207" t="s">
        <v>5792</v>
      </c>
      <c r="CZ182" s="208" t="s">
        <v>5792</v>
      </c>
      <c r="DA182" s="209" t="s">
        <v>5792</v>
      </c>
      <c r="DB182" s="283" t="s">
        <v>5792</v>
      </c>
      <c r="DC182" s="163">
        <v>8.8000000000000007</v>
      </c>
      <c r="DD182" s="163">
        <v>640</v>
      </c>
      <c r="DE182" s="32">
        <v>730</v>
      </c>
      <c r="DF182" s="163">
        <v>800</v>
      </c>
      <c r="DG182" s="163">
        <v>882</v>
      </c>
      <c r="DH182" s="61">
        <v>200000</v>
      </c>
      <c r="DI182" s="41" t="s">
        <v>4759</v>
      </c>
      <c r="DJ182" s="163" t="s">
        <v>4435</v>
      </c>
      <c r="DK182" s="297" t="s">
        <v>4566</v>
      </c>
    </row>
    <row r="183" spans="1:115">
      <c r="A183" s="306">
        <v>178</v>
      </c>
      <c r="B183" s="326"/>
      <c r="C183" s="326"/>
      <c r="D183" s="334"/>
      <c r="E183" s="334"/>
      <c r="F183" s="326"/>
      <c r="G183" s="337"/>
      <c r="H183" s="337"/>
      <c r="I183" s="337"/>
      <c r="J183" s="41" t="s">
        <v>1</v>
      </c>
      <c r="K183" s="306" t="s">
        <v>4383</v>
      </c>
      <c r="L183" s="163" t="s">
        <v>5792</v>
      </c>
      <c r="M183" s="306" t="s">
        <v>4508</v>
      </c>
      <c r="N183" s="163" t="s">
        <v>4701</v>
      </c>
      <c r="O183" s="18" t="s">
        <v>4507</v>
      </c>
      <c r="P183" s="163" t="s">
        <v>6312</v>
      </c>
      <c r="Q183" s="163" t="s">
        <v>4420</v>
      </c>
      <c r="R183" s="163" t="s">
        <v>4420</v>
      </c>
      <c r="S183" s="163" t="s">
        <v>5792</v>
      </c>
      <c r="T183" s="163" t="s">
        <v>4420</v>
      </c>
      <c r="U183" s="163" t="s">
        <v>5792</v>
      </c>
      <c r="V183" s="163" t="s">
        <v>4559</v>
      </c>
      <c r="W183" s="18">
        <v>10</v>
      </c>
      <c r="X183" s="231">
        <v>0</v>
      </c>
      <c r="Y183" s="18">
        <v>0</v>
      </c>
      <c r="Z183" s="306" t="s">
        <v>6319</v>
      </c>
      <c r="AA183" s="21">
        <f>INDEX('[2]Cross-Section Database'!$C$2:$V$2928,MATCH(Z183,'[2]Cross-Section Database'!$B$2:$B$2928,0),3)</f>
        <v>260.3</v>
      </c>
      <c r="AB183" s="21">
        <f>INDEX('[2]Cross-Section Database'!$C$2:$V$2928,MATCH(Z183,'[2]Cross-Section Database'!$B$2:$B$2928,0),4)</f>
        <v>256.3</v>
      </c>
      <c r="AC183" s="21">
        <f>INDEX('[2]Cross-Section Database'!$C$2:$V$2928,MATCH(Z183,'[2]Cross-Section Database'!$B$2:$B$2928,0),6)</f>
        <v>17.3</v>
      </c>
      <c r="AD183" s="21">
        <f>INDEX('[2]Cross-Section Database'!$C$2:$V$2928,MATCH(Z183,'[2]Cross-Section Database'!$B$2:$B$2928,0),5)</f>
        <v>10.3</v>
      </c>
      <c r="AE183" s="21">
        <v>1200</v>
      </c>
      <c r="AF183" s="306" t="s">
        <v>6320</v>
      </c>
      <c r="AG183" s="38">
        <f>INDEX('[2]Cross-Section Database'!$C$2:$V$2928,MATCH(AF183,'[2]Cross-Section Database'!$B$2:$B$2928,0),3)</f>
        <v>457</v>
      </c>
      <c r="AH183" s="21">
        <f>INDEX('[2]Cross-Section Database'!$C$2:$V$2928,MATCH(AF183,'[2]Cross-Section Database'!$B$2:$B$2928,0),4)</f>
        <v>190.4</v>
      </c>
      <c r="AI183" s="21">
        <f>INDEX('[2]Cross-Section Database'!$C$2:$V$2928,MATCH(AF183,'[2]Cross-Section Database'!$B$2:$B$2928,0),6)</f>
        <v>14.5</v>
      </c>
      <c r="AJ183" s="21">
        <f>INDEX('[2]Cross-Section Database'!$C$2:$V$2928,MATCH(AF183,'[2]Cross-Section Database'!$B$2:$B$2928,0),5)</f>
        <v>9</v>
      </c>
      <c r="AK183" s="21">
        <v>1200</v>
      </c>
      <c r="AL183" s="21">
        <f>INDEX('[2]Cross-Section Database'!$C$2:$V$3928,MATCH(AF183,'[2]Cross-Section Database'!$B$2:$B$3928,0),11)</f>
        <v>333200000</v>
      </c>
      <c r="AM183" s="24">
        <f>INDEX('[2]Cross-Section Database'!$C$2:$V$3928,MATCH(AF183,'[2]Cross-Section Database'!$B$2:$B$3928,0),12)</f>
        <v>1653000</v>
      </c>
      <c r="AN183" s="21">
        <v>12</v>
      </c>
      <c r="AO183" s="21">
        <v>200</v>
      </c>
      <c r="AP183" s="21">
        <v>510</v>
      </c>
      <c r="AQ183" s="21">
        <f t="shared" si="61"/>
        <v>26.5</v>
      </c>
      <c r="AR183" s="21">
        <f t="shared" si="54"/>
        <v>26.5</v>
      </c>
      <c r="AS183" s="306" t="s">
        <v>5807</v>
      </c>
      <c r="AT183" s="163" t="s">
        <v>4499</v>
      </c>
      <c r="AU183" s="163" t="s">
        <v>6134</v>
      </c>
      <c r="AV183" s="163">
        <v>24</v>
      </c>
      <c r="AW183" s="163">
        <f t="shared" si="56"/>
        <v>353</v>
      </c>
      <c r="AX183" s="21">
        <v>87</v>
      </c>
      <c r="AY183" s="21">
        <f t="shared" si="57"/>
        <v>87</v>
      </c>
      <c r="AZ183" s="21">
        <v>90</v>
      </c>
      <c r="BA183" s="21">
        <v>90</v>
      </c>
      <c r="BB183" s="21">
        <f>AP183-AX183-AY183-2*AZ183</f>
        <v>156</v>
      </c>
      <c r="BC183" s="15" t="s">
        <v>6312</v>
      </c>
      <c r="BD183" s="163" t="s">
        <v>4465</v>
      </c>
      <c r="BE183" s="163" t="s">
        <v>4465</v>
      </c>
      <c r="BF183" s="163">
        <v>4</v>
      </c>
      <c r="BG183" s="163">
        <v>8</v>
      </c>
      <c r="BH183" s="202" t="s">
        <v>5792</v>
      </c>
      <c r="BI183" s="203" t="s">
        <v>5792</v>
      </c>
      <c r="BJ183" s="203" t="s">
        <v>5792</v>
      </c>
      <c r="BK183" s="203" t="s">
        <v>5792</v>
      </c>
      <c r="BL183" s="203" t="s">
        <v>5792</v>
      </c>
      <c r="BM183" s="203" t="s">
        <v>5792</v>
      </c>
      <c r="BN183" s="203" t="s">
        <v>5792</v>
      </c>
      <c r="BO183" s="203" t="s">
        <v>5792</v>
      </c>
      <c r="BP183" s="202" t="s">
        <v>5792</v>
      </c>
      <c r="BQ183" s="203" t="s">
        <v>5792</v>
      </c>
      <c r="BR183" s="203" t="s">
        <v>5792</v>
      </c>
      <c r="BS183" s="203" t="s">
        <v>5792</v>
      </c>
      <c r="BT183" s="203" t="s">
        <v>5792</v>
      </c>
      <c r="BU183" s="203" t="s">
        <v>5792</v>
      </c>
      <c r="BV183" s="218" t="s">
        <v>5792</v>
      </c>
      <c r="BW183" s="203" t="s">
        <v>5792</v>
      </c>
      <c r="BX183" s="203" t="s">
        <v>5792</v>
      </c>
      <c r="BY183" s="203" t="s">
        <v>5792</v>
      </c>
      <c r="BZ183" s="203" t="s">
        <v>5792</v>
      </c>
      <c r="CA183" s="203" t="s">
        <v>5792</v>
      </c>
      <c r="CB183" s="218" t="s">
        <v>5792</v>
      </c>
      <c r="CC183" s="163" t="s">
        <v>6282</v>
      </c>
      <c r="CD183" s="163">
        <v>275</v>
      </c>
      <c r="CE183" s="21">
        <v>327.5</v>
      </c>
      <c r="CF183" s="163">
        <v>410</v>
      </c>
      <c r="CG183" s="21">
        <v>469.5</v>
      </c>
      <c r="CH183" s="69">
        <v>166000</v>
      </c>
      <c r="CI183" s="306" t="s">
        <v>6282</v>
      </c>
      <c r="CJ183" s="163">
        <v>275</v>
      </c>
      <c r="CK183" s="33">
        <f t="shared" si="62"/>
        <v>357.5</v>
      </c>
      <c r="CL183" s="163">
        <v>430</v>
      </c>
      <c r="CM183" s="32">
        <f t="shared" si="63"/>
        <v>473.00000000000006</v>
      </c>
      <c r="CN183" s="67">
        <v>200000</v>
      </c>
      <c r="CO183" s="306" t="s">
        <v>6282</v>
      </c>
      <c r="CP183" s="60">
        <v>275</v>
      </c>
      <c r="CQ183" s="163">
        <v>326</v>
      </c>
      <c r="CR183" s="60">
        <v>410</v>
      </c>
      <c r="CS183" s="163">
        <v>475</v>
      </c>
      <c r="CT183" s="69">
        <v>157000</v>
      </c>
      <c r="CU183" s="207" t="s">
        <v>5792</v>
      </c>
      <c r="CV183" s="208" t="s">
        <v>5792</v>
      </c>
      <c r="CW183" s="208" t="s">
        <v>5792</v>
      </c>
      <c r="CX183" s="209" t="s">
        <v>5792</v>
      </c>
      <c r="CY183" s="207" t="s">
        <v>5792</v>
      </c>
      <c r="CZ183" s="208" t="s">
        <v>5792</v>
      </c>
      <c r="DA183" s="209" t="s">
        <v>5792</v>
      </c>
      <c r="DB183" s="283" t="s">
        <v>5792</v>
      </c>
      <c r="DC183" s="163">
        <v>8.8000000000000007</v>
      </c>
      <c r="DD183" s="163">
        <v>640</v>
      </c>
      <c r="DE183" s="32">
        <v>730</v>
      </c>
      <c r="DF183" s="163">
        <v>800</v>
      </c>
      <c r="DG183" s="163">
        <v>949</v>
      </c>
      <c r="DH183" s="61">
        <v>200000</v>
      </c>
      <c r="DI183" s="41" t="s">
        <v>4768</v>
      </c>
      <c r="DJ183" s="163" t="s">
        <v>4435</v>
      </c>
      <c r="DK183" s="297" t="s">
        <v>4566</v>
      </c>
    </row>
    <row r="184" spans="1:115">
      <c r="A184" s="306">
        <v>179</v>
      </c>
      <c r="B184" s="326"/>
      <c r="C184" s="326"/>
      <c r="D184" s="334"/>
      <c r="E184" s="334"/>
      <c r="F184" s="326"/>
      <c r="G184" s="337"/>
      <c r="H184" s="337"/>
      <c r="I184" s="337"/>
      <c r="J184" s="41" t="s">
        <v>2</v>
      </c>
      <c r="K184" s="306" t="s">
        <v>4383</v>
      </c>
      <c r="L184" s="163" t="s">
        <v>5792</v>
      </c>
      <c r="M184" s="306" t="s">
        <v>4508</v>
      </c>
      <c r="N184" s="163" t="s">
        <v>4701</v>
      </c>
      <c r="O184" s="18" t="s">
        <v>4507</v>
      </c>
      <c r="P184" s="163" t="s">
        <v>6312</v>
      </c>
      <c r="Q184" s="163" t="s">
        <v>4420</v>
      </c>
      <c r="R184" s="163" t="s">
        <v>4420</v>
      </c>
      <c r="S184" s="163" t="s">
        <v>5792</v>
      </c>
      <c r="T184" s="163" t="s">
        <v>4420</v>
      </c>
      <c r="U184" s="163" t="s">
        <v>5792</v>
      </c>
      <c r="V184" s="163" t="s">
        <v>4559</v>
      </c>
      <c r="W184" s="18">
        <v>10</v>
      </c>
      <c r="X184" s="231">
        <v>0</v>
      </c>
      <c r="Y184" s="18">
        <v>0</v>
      </c>
      <c r="Z184" s="306" t="s">
        <v>6321</v>
      </c>
      <c r="AA184" s="21">
        <f>INDEX('[2]Cross-Section Database'!$C$2:$V$2928,MATCH(Z184,'[2]Cross-Section Database'!$B$2:$B$2928,0),3)</f>
        <v>254.1</v>
      </c>
      <c r="AB184" s="21">
        <f>INDEX('[2]Cross-Section Database'!$C$2:$V$2928,MATCH(Z184,'[2]Cross-Section Database'!$B$2:$B$2928,0),4)</f>
        <v>254.6</v>
      </c>
      <c r="AC184" s="21">
        <f>INDEX('[2]Cross-Section Database'!$C$2:$V$2928,MATCH(Z184,'[2]Cross-Section Database'!$B$2:$B$2928,0),6)</f>
        <v>14.2</v>
      </c>
      <c r="AD184" s="21">
        <f>INDEX('[2]Cross-Section Database'!$C$2:$V$2928,MATCH(Z184,'[2]Cross-Section Database'!$B$2:$B$2928,0),5)</f>
        <v>8.6</v>
      </c>
      <c r="AE184" s="21">
        <v>1100</v>
      </c>
      <c r="AF184" s="306" t="s">
        <v>6290</v>
      </c>
      <c r="AG184" s="21">
        <f>INDEX('[2]Cross-Section Database'!$C$2:$V$2928,MATCH(AF184,'[2]Cross-Section Database'!$B$2:$B$2928,0),3)</f>
        <v>406.4</v>
      </c>
      <c r="AH184" s="21">
        <f>INDEX('[2]Cross-Section Database'!$C$2:$V$2928,MATCH(AF184,'[2]Cross-Section Database'!$B$2:$B$2928,0),4)</f>
        <v>177.9</v>
      </c>
      <c r="AI184" s="21">
        <f>INDEX('[2]Cross-Section Database'!$C$2:$V$2928,MATCH(AF184,'[2]Cross-Section Database'!$B$2:$B$2928,0),6)</f>
        <v>12.8</v>
      </c>
      <c r="AJ184" s="21">
        <f>INDEX('[2]Cross-Section Database'!$C$2:$V$2928,MATCH(AF184,'[2]Cross-Section Database'!$B$2:$B$2928,0),5)</f>
        <v>7.9</v>
      </c>
      <c r="AK184" s="21">
        <v>1200</v>
      </c>
      <c r="AL184" s="21">
        <f>INDEX('[2]Cross-Section Database'!$C$2:$V$3928,MATCH(AF184,'[2]Cross-Section Database'!$B$2:$B$3928,0),11)</f>
        <v>216000000</v>
      </c>
      <c r="AM184" s="24">
        <f>INDEX('[2]Cross-Section Database'!$C$2:$V$3928,MATCH(AF184,'[2]Cross-Section Database'!$B$2:$B$3928,0),12)</f>
        <v>1199000</v>
      </c>
      <c r="AN184" s="21">
        <v>12</v>
      </c>
      <c r="AO184" s="21">
        <v>200</v>
      </c>
      <c r="AP184" s="21">
        <v>460</v>
      </c>
      <c r="AQ184" s="21">
        <f t="shared" si="61"/>
        <v>26.800000000000011</v>
      </c>
      <c r="AR184" s="21">
        <f t="shared" si="54"/>
        <v>26.800000000000011</v>
      </c>
      <c r="AS184" s="306" t="s">
        <v>5807</v>
      </c>
      <c r="AT184" s="163" t="s">
        <v>4499</v>
      </c>
      <c r="AU184" s="163" t="s">
        <v>6134</v>
      </c>
      <c r="AV184" s="163">
        <v>20</v>
      </c>
      <c r="AW184" s="163">
        <f t="shared" si="56"/>
        <v>245</v>
      </c>
      <c r="AX184" s="21">
        <v>87</v>
      </c>
      <c r="AY184" s="21">
        <f t="shared" si="57"/>
        <v>87</v>
      </c>
      <c r="AZ184" s="21">
        <v>90</v>
      </c>
      <c r="BA184" s="21">
        <v>90</v>
      </c>
      <c r="BB184" s="21">
        <f t="shared" ref="BB184:BB185" si="64">AP184-AX184-AY184-2*AZ184</f>
        <v>106</v>
      </c>
      <c r="BC184" s="15" t="s">
        <v>6312</v>
      </c>
      <c r="BD184" s="163" t="s">
        <v>4465</v>
      </c>
      <c r="BE184" s="163" t="s">
        <v>4465</v>
      </c>
      <c r="BF184" s="163">
        <v>4</v>
      </c>
      <c r="BG184" s="163">
        <v>8</v>
      </c>
      <c r="BH184" s="202" t="s">
        <v>5792</v>
      </c>
      <c r="BI184" s="203" t="s">
        <v>5792</v>
      </c>
      <c r="BJ184" s="203" t="s">
        <v>5792</v>
      </c>
      <c r="BK184" s="203" t="s">
        <v>5792</v>
      </c>
      <c r="BL184" s="203" t="s">
        <v>5792</v>
      </c>
      <c r="BM184" s="203" t="s">
        <v>5792</v>
      </c>
      <c r="BN184" s="203" t="s">
        <v>5792</v>
      </c>
      <c r="BO184" s="203" t="s">
        <v>5792</v>
      </c>
      <c r="BP184" s="202" t="s">
        <v>5792</v>
      </c>
      <c r="BQ184" s="203" t="s">
        <v>5792</v>
      </c>
      <c r="BR184" s="203" t="s">
        <v>5792</v>
      </c>
      <c r="BS184" s="203" t="s">
        <v>5792</v>
      </c>
      <c r="BT184" s="203" t="s">
        <v>5792</v>
      </c>
      <c r="BU184" s="203" t="s">
        <v>5792</v>
      </c>
      <c r="BV184" s="218" t="s">
        <v>5792</v>
      </c>
      <c r="BW184" s="203" t="s">
        <v>5792</v>
      </c>
      <c r="BX184" s="203" t="s">
        <v>5792</v>
      </c>
      <c r="BY184" s="203" t="s">
        <v>5792</v>
      </c>
      <c r="BZ184" s="203" t="s">
        <v>5792</v>
      </c>
      <c r="CA184" s="203" t="s">
        <v>5792</v>
      </c>
      <c r="CB184" s="218" t="s">
        <v>5792</v>
      </c>
      <c r="CC184" s="163" t="s">
        <v>6282</v>
      </c>
      <c r="CD184" s="163">
        <v>275</v>
      </c>
      <c r="CE184" s="21">
        <v>327.5</v>
      </c>
      <c r="CF184" s="163">
        <v>410</v>
      </c>
      <c r="CG184" s="21">
        <v>469.5</v>
      </c>
      <c r="CH184" s="69">
        <v>166000</v>
      </c>
      <c r="CI184" s="306" t="s">
        <v>6282</v>
      </c>
      <c r="CJ184" s="163">
        <v>275</v>
      </c>
      <c r="CK184" s="33">
        <f t="shared" si="62"/>
        <v>357.5</v>
      </c>
      <c r="CL184" s="163">
        <v>430</v>
      </c>
      <c r="CM184" s="32">
        <f t="shared" si="63"/>
        <v>473.00000000000006</v>
      </c>
      <c r="CN184" s="67">
        <v>200000</v>
      </c>
      <c r="CO184" s="306" t="s">
        <v>6282</v>
      </c>
      <c r="CP184" s="60">
        <v>275</v>
      </c>
      <c r="CQ184" s="163">
        <v>326</v>
      </c>
      <c r="CR184" s="60">
        <v>410</v>
      </c>
      <c r="CS184" s="163">
        <v>475</v>
      </c>
      <c r="CT184" s="69">
        <v>157000</v>
      </c>
      <c r="CU184" s="207" t="s">
        <v>5792</v>
      </c>
      <c r="CV184" s="208" t="s">
        <v>5792</v>
      </c>
      <c r="CW184" s="208" t="s">
        <v>5792</v>
      </c>
      <c r="CX184" s="209" t="s">
        <v>5792</v>
      </c>
      <c r="CY184" s="207" t="s">
        <v>5792</v>
      </c>
      <c r="CZ184" s="208" t="s">
        <v>5792</v>
      </c>
      <c r="DA184" s="209" t="s">
        <v>5792</v>
      </c>
      <c r="DB184" s="283" t="s">
        <v>5792</v>
      </c>
      <c r="DC184" s="163">
        <v>8.8000000000000007</v>
      </c>
      <c r="DD184" s="163">
        <v>640</v>
      </c>
      <c r="DE184" s="32">
        <v>730</v>
      </c>
      <c r="DF184" s="163">
        <v>800</v>
      </c>
      <c r="DG184" s="163">
        <v>882</v>
      </c>
      <c r="DH184" s="61">
        <v>200000</v>
      </c>
      <c r="DI184" s="29" t="s">
        <v>4768</v>
      </c>
      <c r="DJ184" s="163" t="s">
        <v>4435</v>
      </c>
      <c r="DK184" s="297" t="s">
        <v>4566</v>
      </c>
    </row>
    <row r="185" spans="1:115" ht="15.6" customHeight="1" thickBot="1">
      <c r="A185" s="58">
        <v>180</v>
      </c>
      <c r="B185" s="327"/>
      <c r="C185" s="327"/>
      <c r="D185" s="335"/>
      <c r="E185" s="335"/>
      <c r="F185" s="327"/>
      <c r="G185" s="338"/>
      <c r="H185" s="338"/>
      <c r="I185" s="338"/>
      <c r="J185" s="42" t="s">
        <v>3</v>
      </c>
      <c r="K185" s="58" t="s">
        <v>4383</v>
      </c>
      <c r="L185" s="164" t="s">
        <v>5792</v>
      </c>
      <c r="M185" s="143" t="s">
        <v>4508</v>
      </c>
      <c r="N185" s="164" t="s">
        <v>4701</v>
      </c>
      <c r="O185" s="14" t="s">
        <v>4507</v>
      </c>
      <c r="P185" s="164" t="s">
        <v>6312</v>
      </c>
      <c r="Q185" s="164" t="s">
        <v>4420</v>
      </c>
      <c r="R185" s="164" t="s">
        <v>4420</v>
      </c>
      <c r="S185" s="164" t="s">
        <v>5792</v>
      </c>
      <c r="T185" s="164" t="s">
        <v>4420</v>
      </c>
      <c r="U185" s="164" t="s">
        <v>5792</v>
      </c>
      <c r="V185" s="164" t="s">
        <v>4559</v>
      </c>
      <c r="W185" s="14">
        <v>10</v>
      </c>
      <c r="X185" s="233">
        <v>0</v>
      </c>
      <c r="Y185" s="14">
        <v>0</v>
      </c>
      <c r="Z185" s="143" t="s">
        <v>6321</v>
      </c>
      <c r="AA185" s="23">
        <f>INDEX('[2]Cross-Section Database'!$C$2:$V$2928,MATCH(Z185,'[2]Cross-Section Database'!$B$2:$B$2928,0),3)</f>
        <v>254.1</v>
      </c>
      <c r="AB185" s="23">
        <f>INDEX('[2]Cross-Section Database'!$C$2:$V$2928,MATCH(Z185,'[2]Cross-Section Database'!$B$2:$B$2928,0),4)</f>
        <v>254.6</v>
      </c>
      <c r="AC185" s="23">
        <f>INDEX('[2]Cross-Section Database'!$C$2:$V$2928,MATCH(Z185,'[2]Cross-Section Database'!$B$2:$B$2928,0),6)</f>
        <v>14.2</v>
      </c>
      <c r="AD185" s="23">
        <f>INDEX('[2]Cross-Section Database'!$C$2:$V$2928,MATCH(Z185,'[2]Cross-Section Database'!$B$2:$B$2928,0),5)</f>
        <v>8.6</v>
      </c>
      <c r="AE185" s="23">
        <v>1100</v>
      </c>
      <c r="AF185" s="306" t="s">
        <v>6290</v>
      </c>
      <c r="AG185" s="21">
        <f>INDEX('[2]Cross-Section Database'!$C$2:$V$2928,MATCH(AF185,'[2]Cross-Section Database'!$B$2:$B$2928,0),3)</f>
        <v>406.4</v>
      </c>
      <c r="AH185" s="21">
        <f>INDEX('[2]Cross-Section Database'!$C$2:$V$2928,MATCH(AF185,'[2]Cross-Section Database'!$B$2:$B$2928,0),4)</f>
        <v>177.9</v>
      </c>
      <c r="AI185" s="21">
        <f>INDEX('[2]Cross-Section Database'!$C$2:$V$2928,MATCH(AF185,'[2]Cross-Section Database'!$B$2:$B$2928,0),6)</f>
        <v>12.8</v>
      </c>
      <c r="AJ185" s="21">
        <f>INDEX('[2]Cross-Section Database'!$C$2:$V$2928,MATCH(AF185,'[2]Cross-Section Database'!$B$2:$B$2928,0),5)</f>
        <v>7.9</v>
      </c>
      <c r="AK185" s="21">
        <v>1200</v>
      </c>
      <c r="AL185" s="21">
        <f>INDEX('[2]Cross-Section Database'!$C$2:$V$3928,MATCH(AF185,'[2]Cross-Section Database'!$B$2:$B$3928,0),11)</f>
        <v>216000000</v>
      </c>
      <c r="AM185" s="24">
        <f>INDEX('[2]Cross-Section Database'!$C$2:$V$3928,MATCH(AF185,'[2]Cross-Section Database'!$B$2:$B$3928,0),12)</f>
        <v>1199000</v>
      </c>
      <c r="AN185" s="21">
        <v>15</v>
      </c>
      <c r="AO185" s="21">
        <v>200</v>
      </c>
      <c r="AP185" s="21">
        <v>460</v>
      </c>
      <c r="AQ185" s="21">
        <f t="shared" si="61"/>
        <v>26.800000000000011</v>
      </c>
      <c r="AR185" s="21">
        <f t="shared" si="54"/>
        <v>26.800000000000011</v>
      </c>
      <c r="AS185" s="306" t="s">
        <v>5807</v>
      </c>
      <c r="AT185" s="163" t="s">
        <v>4499</v>
      </c>
      <c r="AU185" s="163" t="s">
        <v>6134</v>
      </c>
      <c r="AV185" s="163">
        <v>20</v>
      </c>
      <c r="AW185" s="163">
        <f t="shared" si="56"/>
        <v>245</v>
      </c>
      <c r="AX185" s="21">
        <v>87</v>
      </c>
      <c r="AY185" s="21">
        <f t="shared" si="57"/>
        <v>87</v>
      </c>
      <c r="AZ185" s="21">
        <v>90</v>
      </c>
      <c r="BA185" s="21">
        <v>90</v>
      </c>
      <c r="BB185" s="21">
        <f t="shared" si="64"/>
        <v>106</v>
      </c>
      <c r="BC185" s="15" t="s">
        <v>6312</v>
      </c>
      <c r="BD185" s="163" t="s">
        <v>4465</v>
      </c>
      <c r="BE185" s="163" t="s">
        <v>4465</v>
      </c>
      <c r="BF185" s="163">
        <v>4</v>
      </c>
      <c r="BG185" s="163">
        <v>8</v>
      </c>
      <c r="BH185" s="202" t="s">
        <v>5792</v>
      </c>
      <c r="BI185" s="203" t="s">
        <v>5792</v>
      </c>
      <c r="BJ185" s="203" t="s">
        <v>5792</v>
      </c>
      <c r="BK185" s="203" t="s">
        <v>5792</v>
      </c>
      <c r="BL185" s="203" t="s">
        <v>5792</v>
      </c>
      <c r="BM185" s="203" t="s">
        <v>5792</v>
      </c>
      <c r="BN185" s="203" t="s">
        <v>5792</v>
      </c>
      <c r="BO185" s="203" t="s">
        <v>5792</v>
      </c>
      <c r="BP185" s="202" t="s">
        <v>5792</v>
      </c>
      <c r="BQ185" s="203" t="s">
        <v>5792</v>
      </c>
      <c r="BR185" s="203" t="s">
        <v>5792</v>
      </c>
      <c r="BS185" s="203" t="s">
        <v>5792</v>
      </c>
      <c r="BT185" s="203" t="s">
        <v>5792</v>
      </c>
      <c r="BU185" s="203" t="s">
        <v>5792</v>
      </c>
      <c r="BV185" s="218" t="s">
        <v>5792</v>
      </c>
      <c r="BW185" s="203" t="s">
        <v>5792</v>
      </c>
      <c r="BX185" s="203" t="s">
        <v>5792</v>
      </c>
      <c r="BY185" s="203" t="s">
        <v>5792</v>
      </c>
      <c r="BZ185" s="203" t="s">
        <v>5792</v>
      </c>
      <c r="CA185" s="203" t="s">
        <v>5792</v>
      </c>
      <c r="CB185" s="218" t="s">
        <v>5792</v>
      </c>
      <c r="CC185" s="163" t="s">
        <v>6282</v>
      </c>
      <c r="CD185" s="163">
        <v>275</v>
      </c>
      <c r="CE185" s="21">
        <v>327.5</v>
      </c>
      <c r="CF185" s="163">
        <v>410</v>
      </c>
      <c r="CG185" s="21">
        <v>469.5</v>
      </c>
      <c r="CH185" s="69">
        <v>166000</v>
      </c>
      <c r="CI185" s="306" t="s">
        <v>6282</v>
      </c>
      <c r="CJ185" s="163">
        <v>275</v>
      </c>
      <c r="CK185" s="33">
        <f t="shared" si="62"/>
        <v>357.5</v>
      </c>
      <c r="CL185" s="163">
        <v>430</v>
      </c>
      <c r="CM185" s="32">
        <f t="shared" si="63"/>
        <v>473.00000000000006</v>
      </c>
      <c r="CN185" s="67">
        <v>200000</v>
      </c>
      <c r="CO185" s="306" t="s">
        <v>6282</v>
      </c>
      <c r="CP185" s="60">
        <v>275</v>
      </c>
      <c r="CQ185" s="163">
        <v>307</v>
      </c>
      <c r="CR185" s="60">
        <v>410</v>
      </c>
      <c r="CS185" s="163">
        <v>461</v>
      </c>
      <c r="CT185" s="69">
        <v>150000</v>
      </c>
      <c r="CU185" s="207" t="s">
        <v>5792</v>
      </c>
      <c r="CV185" s="208" t="s">
        <v>5792</v>
      </c>
      <c r="CW185" s="208" t="s">
        <v>5792</v>
      </c>
      <c r="CX185" s="209" t="s">
        <v>5792</v>
      </c>
      <c r="CY185" s="207" t="s">
        <v>5792</v>
      </c>
      <c r="CZ185" s="208" t="s">
        <v>5792</v>
      </c>
      <c r="DA185" s="209" t="s">
        <v>5792</v>
      </c>
      <c r="DB185" s="283" t="s">
        <v>5792</v>
      </c>
      <c r="DC185" s="163">
        <v>8.8000000000000007</v>
      </c>
      <c r="DD185" s="163">
        <v>640</v>
      </c>
      <c r="DE185" s="32">
        <v>730</v>
      </c>
      <c r="DF185" s="163">
        <v>800</v>
      </c>
      <c r="DG185" s="163">
        <v>882</v>
      </c>
      <c r="DH185" s="61">
        <v>200000</v>
      </c>
      <c r="DI185" s="29" t="s">
        <v>4768</v>
      </c>
      <c r="DJ185" s="163" t="s">
        <v>4435</v>
      </c>
      <c r="DK185" s="297" t="s">
        <v>4566</v>
      </c>
    </row>
    <row r="186" spans="1:115" ht="15.6" customHeight="1">
      <c r="A186" s="302">
        <v>181</v>
      </c>
      <c r="B186" s="325">
        <v>27</v>
      </c>
      <c r="C186" s="325">
        <v>1996</v>
      </c>
      <c r="D186" s="325" t="s">
        <v>5997</v>
      </c>
      <c r="E186" s="328" t="s">
        <v>5998</v>
      </c>
      <c r="F186" s="325">
        <v>3</v>
      </c>
      <c r="G186" s="328" t="s">
        <v>5986</v>
      </c>
      <c r="H186" s="325" t="s">
        <v>5920</v>
      </c>
      <c r="I186" s="325" t="s">
        <v>6240</v>
      </c>
      <c r="J186" s="316" t="s">
        <v>5988</v>
      </c>
      <c r="K186" s="302" t="s">
        <v>4535</v>
      </c>
      <c r="L186" s="162" t="s">
        <v>6059</v>
      </c>
      <c r="M186" s="299" t="s">
        <v>4508</v>
      </c>
      <c r="N186" s="302" t="s">
        <v>4700</v>
      </c>
      <c r="O186" s="17" t="s">
        <v>4507</v>
      </c>
      <c r="P186" s="305" t="s">
        <v>4470</v>
      </c>
      <c r="Q186" s="162" t="s">
        <v>4420</v>
      </c>
      <c r="R186" s="162" t="s">
        <v>4420</v>
      </c>
      <c r="S186" s="162" t="s">
        <v>5792</v>
      </c>
      <c r="T186" s="162" t="s">
        <v>4420</v>
      </c>
      <c r="U186" s="162" t="s">
        <v>5792</v>
      </c>
      <c r="V186" s="30" t="s">
        <v>4559</v>
      </c>
      <c r="W186" s="88">
        <v>6</v>
      </c>
      <c r="X186" s="239">
        <v>0</v>
      </c>
      <c r="Y186" s="17">
        <v>0</v>
      </c>
      <c r="Z186" s="302" t="s">
        <v>4347</v>
      </c>
      <c r="AA186" s="16">
        <f>INDEX('[2]Cross-Section Database'!$C$2:$V$2928,MATCH(Z186,'[2]Cross-Section Database'!$B$2:$B$2928,0),3)</f>
        <v>254.1</v>
      </c>
      <c r="AB186" s="16">
        <f>INDEX('[2]Cross-Section Database'!$C$2:$V$2928,MATCH(Z186,'[2]Cross-Section Database'!$B$2:$B$2928,0),4)</f>
        <v>254.6</v>
      </c>
      <c r="AC186" s="16">
        <f>INDEX('[2]Cross-Section Database'!$C$2:$V$2928,MATCH(Z186,'[2]Cross-Section Database'!$B$2:$B$2928,0),6)</f>
        <v>14.2</v>
      </c>
      <c r="AD186" s="16">
        <f>INDEX('[2]Cross-Section Database'!$C$2:$V$2928,MATCH(Z186,'[2]Cross-Section Database'!$B$2:$B$2928,0),5)</f>
        <v>8.6</v>
      </c>
      <c r="AE186" s="45">
        <v>2165</v>
      </c>
      <c r="AF186" s="305" t="s">
        <v>4214</v>
      </c>
      <c r="AG186" s="16">
        <f>INDEX('[2]Cross-Section Database'!$C$2:$V$23928,MATCH(AF186,'[2]Cross-Section Database'!$B$2:$B$3928,0),3)</f>
        <v>304.39999999999998</v>
      </c>
      <c r="AH186" s="16">
        <f>INDEX('[2]Cross-Section Database'!$C$2:$V$3928,MATCH(AF186,'[2]Cross-Section Database'!$B$2:$B$3928,0),4)</f>
        <v>123.4</v>
      </c>
      <c r="AI186" s="16">
        <f>INDEX('[2]Cross-Section Database'!$C$2:$V$3928,MATCH(AF186,'[2]Cross-Section Database'!$B$2:$B$3928,0),6)</f>
        <v>10.7</v>
      </c>
      <c r="AJ186" s="16">
        <f>INDEX('[2]Cross-Section Database'!$C$2:$V$3928,MATCH(AF186,'[2]Cross-Section Database'!$B$2:$B$3928,0),5)</f>
        <v>7.1</v>
      </c>
      <c r="AK186" s="16">
        <v>1873</v>
      </c>
      <c r="AL186" s="16">
        <f>INDEX('[2]Cross-Section Database'!$C$2:$V$3928,MATCH(AF186,'[2]Cross-Section Database'!$B$2:$B$3928,0),11)</f>
        <v>71710000</v>
      </c>
      <c r="AM186" s="26">
        <f>INDEX('[2]Cross-Section Database'!$C$2:$V$3928,MATCH(AF186,'[2]Cross-Section Database'!$B$2:$B$3928,0),12)</f>
        <v>539400</v>
      </c>
      <c r="AN186" s="53">
        <v>10</v>
      </c>
      <c r="AO186" s="31">
        <v>270</v>
      </c>
      <c r="AP186" s="31">
        <v>324</v>
      </c>
      <c r="AQ186" s="16">
        <v>10</v>
      </c>
      <c r="AR186" s="26">
        <v>10</v>
      </c>
      <c r="AS186" s="305" t="s">
        <v>5807</v>
      </c>
      <c r="AT186" s="162" t="s">
        <v>5987</v>
      </c>
      <c r="AU186" s="16">
        <v>50</v>
      </c>
      <c r="AV186" s="162">
        <v>20</v>
      </c>
      <c r="AW186" s="162">
        <f t="shared" si="56"/>
        <v>245</v>
      </c>
      <c r="AX186" s="16">
        <v>72</v>
      </c>
      <c r="AY186" s="16">
        <v>72</v>
      </c>
      <c r="AZ186" s="45">
        <v>100</v>
      </c>
      <c r="BA186" s="31">
        <v>60</v>
      </c>
      <c r="BB186" s="45">
        <v>0</v>
      </c>
      <c r="BC186" s="22" t="s">
        <v>4470</v>
      </c>
      <c r="BD186" s="162" t="s">
        <v>6209</v>
      </c>
      <c r="BE186" s="162" t="s">
        <v>6209</v>
      </c>
      <c r="BF186" s="162">
        <v>2</v>
      </c>
      <c r="BG186" s="17">
        <v>6</v>
      </c>
      <c r="BH186" s="305">
        <v>125</v>
      </c>
      <c r="BI186" s="162">
        <v>1200</v>
      </c>
      <c r="BJ186" s="162" t="s">
        <v>6194</v>
      </c>
      <c r="BK186" s="162">
        <v>1</v>
      </c>
      <c r="BL186" s="162">
        <v>180</v>
      </c>
      <c r="BM186" s="162">
        <v>1678</v>
      </c>
      <c r="BN186" s="162">
        <v>52</v>
      </c>
      <c r="BO186" s="162" t="s">
        <v>4591</v>
      </c>
      <c r="BP186" s="305" t="s">
        <v>5856</v>
      </c>
      <c r="BQ186" s="162">
        <v>18</v>
      </c>
      <c r="BR186" s="162">
        <v>2</v>
      </c>
      <c r="BS186" s="162">
        <v>19</v>
      </c>
      <c r="BT186" s="162">
        <v>100</v>
      </c>
      <c r="BU186" s="162">
        <v>100</v>
      </c>
      <c r="BV186" s="17">
        <v>210</v>
      </c>
      <c r="BW186" s="305" t="s">
        <v>5993</v>
      </c>
      <c r="BX186" s="162" t="s">
        <v>4691</v>
      </c>
      <c r="BY186" s="31">
        <f>((BI186/250)+1)*PI()*8^2/4</f>
        <v>291.5397982531328</v>
      </c>
      <c r="BZ186" s="31">
        <f>CB186*BI186*(BH186-BN186)</f>
        <v>1165.08</v>
      </c>
      <c r="CA186" s="30">
        <v>25</v>
      </c>
      <c r="CB186" s="123">
        <v>1.3299999999999999E-2</v>
      </c>
      <c r="CC186" s="106" t="s">
        <v>5793</v>
      </c>
      <c r="CD186" s="65">
        <v>275</v>
      </c>
      <c r="CE186" s="16">
        <f>(349+366)/2</f>
        <v>357.5</v>
      </c>
      <c r="CF186" s="65">
        <v>410</v>
      </c>
      <c r="CG186" s="16">
        <f>(499+515)/2</f>
        <v>507</v>
      </c>
      <c r="CH186" s="66">
        <v>200000</v>
      </c>
      <c r="CI186" s="106" t="s">
        <v>5793</v>
      </c>
      <c r="CJ186" s="65">
        <v>275</v>
      </c>
      <c r="CK186" s="16">
        <f>(351+327)/2</f>
        <v>339</v>
      </c>
      <c r="CL186" s="65">
        <v>410</v>
      </c>
      <c r="CM186" s="16">
        <f>(467+459)/2</f>
        <v>463</v>
      </c>
      <c r="CN186" s="66">
        <v>200000</v>
      </c>
      <c r="CO186" s="106" t="s">
        <v>5793</v>
      </c>
      <c r="CP186" s="65">
        <v>275</v>
      </c>
      <c r="CQ186" s="45">
        <v>308</v>
      </c>
      <c r="CR186" s="65">
        <v>410</v>
      </c>
      <c r="CS186" s="45">
        <v>472</v>
      </c>
      <c r="CT186" s="66">
        <v>200000</v>
      </c>
      <c r="CU186" s="302" t="s">
        <v>5654</v>
      </c>
      <c r="CV186" s="45">
        <v>43.2</v>
      </c>
      <c r="CW186" s="45">
        <v>3.02</v>
      </c>
      <c r="CX186" s="66">
        <v>35000</v>
      </c>
      <c r="CY186" s="305">
        <v>505</v>
      </c>
      <c r="CZ186" s="162">
        <v>654</v>
      </c>
      <c r="DA186" s="66">
        <v>200000</v>
      </c>
      <c r="DB186" s="293">
        <v>550</v>
      </c>
      <c r="DC186" s="162">
        <v>8.8000000000000007</v>
      </c>
      <c r="DD186" s="162">
        <v>640</v>
      </c>
      <c r="DE186" s="30">
        <v>730</v>
      </c>
      <c r="DF186" s="162">
        <v>800</v>
      </c>
      <c r="DG186" s="30">
        <v>940</v>
      </c>
      <c r="DH186" s="66">
        <v>200000</v>
      </c>
      <c r="DI186" s="28" t="s">
        <v>5991</v>
      </c>
      <c r="DJ186" s="162" t="s">
        <v>4561</v>
      </c>
      <c r="DK186" s="296" t="s">
        <v>4566</v>
      </c>
    </row>
    <row r="187" spans="1:115">
      <c r="A187" s="303">
        <v>182</v>
      </c>
      <c r="B187" s="326"/>
      <c r="C187" s="326"/>
      <c r="D187" s="326"/>
      <c r="E187" s="329"/>
      <c r="F187" s="326"/>
      <c r="G187" s="329"/>
      <c r="H187" s="326"/>
      <c r="I187" s="326"/>
      <c r="J187" s="317" t="s">
        <v>5989</v>
      </c>
      <c r="K187" s="303" t="s">
        <v>4535</v>
      </c>
      <c r="L187" s="303" t="s">
        <v>6059</v>
      </c>
      <c r="M187" s="300" t="s">
        <v>4508</v>
      </c>
      <c r="N187" s="303" t="s">
        <v>4700</v>
      </c>
      <c r="O187" s="49" t="s">
        <v>4507</v>
      </c>
      <c r="P187" s="300" t="s">
        <v>4470</v>
      </c>
      <c r="Q187" s="303" t="s">
        <v>4420</v>
      </c>
      <c r="R187" s="303" t="s">
        <v>4420</v>
      </c>
      <c r="S187" s="303" t="s">
        <v>5792</v>
      </c>
      <c r="T187" s="303" t="s">
        <v>4420</v>
      </c>
      <c r="U187" s="303" t="s">
        <v>5792</v>
      </c>
      <c r="V187" s="32" t="s">
        <v>4559</v>
      </c>
      <c r="W187" s="73">
        <v>6</v>
      </c>
      <c r="X187" s="230">
        <v>0</v>
      </c>
      <c r="Y187" s="18">
        <v>0</v>
      </c>
      <c r="Z187" s="163" t="s">
        <v>4347</v>
      </c>
      <c r="AA187" s="21">
        <f>INDEX('[2]Cross-Section Database'!$C$2:$V$2928,MATCH(Z187,'[2]Cross-Section Database'!$B$2:$B$2928,0),3)</f>
        <v>254.1</v>
      </c>
      <c r="AB187" s="21">
        <f>INDEX('[2]Cross-Section Database'!$C$2:$V$2928,MATCH(Z187,'[2]Cross-Section Database'!$B$2:$B$2928,0),4)</f>
        <v>254.6</v>
      </c>
      <c r="AC187" s="21">
        <f>INDEX('[2]Cross-Section Database'!$C$2:$V$2928,MATCH(Z187,'[2]Cross-Section Database'!$B$2:$B$2928,0),6)</f>
        <v>14.2</v>
      </c>
      <c r="AD187" s="21">
        <f>INDEX('[2]Cross-Section Database'!$C$2:$V$2928,MATCH(Z187,'[2]Cross-Section Database'!$B$2:$B$2928,0),5)</f>
        <v>8.6</v>
      </c>
      <c r="AE187" s="21">
        <v>2165</v>
      </c>
      <c r="AF187" s="306" t="s">
        <v>4214</v>
      </c>
      <c r="AG187" s="21">
        <f>INDEX('[2]Cross-Section Database'!$C$2:$V$23928,MATCH(AF187,'[2]Cross-Section Database'!$B$2:$B$3928,0),3)</f>
        <v>304.39999999999998</v>
      </c>
      <c r="AH187" s="21">
        <f>INDEX('[2]Cross-Section Database'!$C$2:$V$3928,MATCH(AF187,'[2]Cross-Section Database'!$B$2:$B$3928,0),4)</f>
        <v>123.4</v>
      </c>
      <c r="AI187" s="21">
        <f>INDEX('[2]Cross-Section Database'!$C$2:$V$3928,MATCH(AF187,'[2]Cross-Section Database'!$B$2:$B$3928,0),6)</f>
        <v>10.7</v>
      </c>
      <c r="AJ187" s="21">
        <f>INDEX('[2]Cross-Section Database'!$C$2:$V$3928,MATCH(AF187,'[2]Cross-Section Database'!$B$2:$B$3928,0),5)</f>
        <v>7.1</v>
      </c>
      <c r="AK187" s="21">
        <v>1873</v>
      </c>
      <c r="AL187" s="21">
        <f>INDEX('[2]Cross-Section Database'!$C$2:$V$3928,MATCH(AF187,'[2]Cross-Section Database'!$B$2:$B$3928,0),11)</f>
        <v>71710000</v>
      </c>
      <c r="AM187" s="24">
        <f>INDEX('[2]Cross-Section Database'!$C$2:$V$3928,MATCH(AF187,'[2]Cross-Section Database'!$B$2:$B$3928,0),12)</f>
        <v>539400</v>
      </c>
      <c r="AN187" s="54">
        <v>10</v>
      </c>
      <c r="AO187" s="33">
        <v>270</v>
      </c>
      <c r="AP187" s="33">
        <v>324</v>
      </c>
      <c r="AQ187" s="21">
        <v>10</v>
      </c>
      <c r="AR187" s="24">
        <v>10</v>
      </c>
      <c r="AS187" s="163" t="s">
        <v>5807</v>
      </c>
      <c r="AT187" s="163" t="s">
        <v>5987</v>
      </c>
      <c r="AU187" s="163">
        <v>50</v>
      </c>
      <c r="AV187" s="163">
        <v>20</v>
      </c>
      <c r="AW187" s="163">
        <f t="shared" si="56"/>
        <v>245</v>
      </c>
      <c r="AX187" s="21">
        <v>72</v>
      </c>
      <c r="AY187" s="21">
        <v>72</v>
      </c>
      <c r="AZ187" s="21">
        <v>100</v>
      </c>
      <c r="BA187" s="33">
        <v>60</v>
      </c>
      <c r="BB187" s="21">
        <v>0</v>
      </c>
      <c r="BC187" s="15" t="s">
        <v>4470</v>
      </c>
      <c r="BD187" s="163" t="s">
        <v>6209</v>
      </c>
      <c r="BE187" s="163" t="s">
        <v>6209</v>
      </c>
      <c r="BF187" s="163">
        <v>2</v>
      </c>
      <c r="BG187" s="18">
        <v>6</v>
      </c>
      <c r="BH187" s="306">
        <v>125</v>
      </c>
      <c r="BI187" s="163">
        <v>1200</v>
      </c>
      <c r="BJ187" s="163" t="s">
        <v>6194</v>
      </c>
      <c r="BK187" s="163">
        <v>1</v>
      </c>
      <c r="BL187" s="163">
        <v>180</v>
      </c>
      <c r="BM187" s="163">
        <v>1678</v>
      </c>
      <c r="BN187" s="163">
        <v>52</v>
      </c>
      <c r="BO187" s="163" t="s">
        <v>4591</v>
      </c>
      <c r="BP187" s="306" t="s">
        <v>5856</v>
      </c>
      <c r="BQ187" s="163">
        <v>9</v>
      </c>
      <c r="BR187" s="163">
        <v>1</v>
      </c>
      <c r="BS187" s="163">
        <v>19</v>
      </c>
      <c r="BT187" s="163">
        <v>100</v>
      </c>
      <c r="BU187" s="163">
        <v>100</v>
      </c>
      <c r="BV187" s="18">
        <v>210</v>
      </c>
      <c r="BW187" s="306" t="s">
        <v>5993</v>
      </c>
      <c r="BX187" s="163" t="s">
        <v>6167</v>
      </c>
      <c r="BY187" s="33">
        <f>((BI187/250)+1)*PI()*8^2/4</f>
        <v>291.5397982531328</v>
      </c>
      <c r="BZ187" s="33">
        <f>CB187*BI187*(BH187-BN187)</f>
        <v>805.92</v>
      </c>
      <c r="CA187" s="32">
        <v>25</v>
      </c>
      <c r="CB187" s="121">
        <v>9.1999999999999998E-3</v>
      </c>
      <c r="CC187" s="107" t="s">
        <v>5793</v>
      </c>
      <c r="CD187" s="60">
        <v>275</v>
      </c>
      <c r="CE187" s="21">
        <f t="shared" ref="CE187:CE188" si="65">(349+366)/2</f>
        <v>357.5</v>
      </c>
      <c r="CF187" s="60">
        <v>410</v>
      </c>
      <c r="CG187" s="21">
        <f t="shared" ref="CG187:CG188" si="66">(499+515)/2</f>
        <v>507</v>
      </c>
      <c r="CH187" s="67">
        <v>200000</v>
      </c>
      <c r="CI187" s="107" t="s">
        <v>5793</v>
      </c>
      <c r="CJ187" s="60">
        <v>275</v>
      </c>
      <c r="CK187" s="21">
        <f t="shared" ref="CK187:CK188" si="67">(351+327)/2</f>
        <v>339</v>
      </c>
      <c r="CL187" s="60">
        <v>410</v>
      </c>
      <c r="CM187" s="21">
        <f t="shared" ref="CM187:CM188" si="68">(467+459)/2</f>
        <v>463</v>
      </c>
      <c r="CN187" s="67">
        <v>200000</v>
      </c>
      <c r="CO187" s="107" t="s">
        <v>5793</v>
      </c>
      <c r="CP187" s="60">
        <v>275</v>
      </c>
      <c r="CQ187" s="46">
        <v>308</v>
      </c>
      <c r="CR187" s="60">
        <v>410</v>
      </c>
      <c r="CS187" s="46">
        <v>472</v>
      </c>
      <c r="CT187" s="67">
        <v>200000</v>
      </c>
      <c r="CU187" s="303" t="s">
        <v>5654</v>
      </c>
      <c r="CV187" s="46">
        <v>41.41</v>
      </c>
      <c r="CW187" s="46">
        <v>2.84</v>
      </c>
      <c r="CX187" s="67">
        <v>35000</v>
      </c>
      <c r="CY187" s="306">
        <v>505</v>
      </c>
      <c r="CZ187" s="163">
        <v>654</v>
      </c>
      <c r="DA187" s="67">
        <v>200000</v>
      </c>
      <c r="DB187" s="294">
        <v>550</v>
      </c>
      <c r="DC187" s="163">
        <v>8.8000000000000007</v>
      </c>
      <c r="DD187" s="163">
        <v>640</v>
      </c>
      <c r="DE187" s="32">
        <v>730</v>
      </c>
      <c r="DF187" s="10">
        <v>800</v>
      </c>
      <c r="DG187" s="32">
        <v>940</v>
      </c>
      <c r="DH187" s="67">
        <v>200000</v>
      </c>
      <c r="DI187" s="29" t="s">
        <v>5991</v>
      </c>
      <c r="DJ187" s="163" t="s">
        <v>4561</v>
      </c>
      <c r="DK187" s="297" t="s">
        <v>4566</v>
      </c>
    </row>
    <row r="188" spans="1:115" ht="15.6" customHeight="1" thickBot="1">
      <c r="A188" s="304">
        <v>183</v>
      </c>
      <c r="B188" s="327"/>
      <c r="C188" s="327"/>
      <c r="D188" s="327"/>
      <c r="E188" s="330"/>
      <c r="F188" s="327"/>
      <c r="G188" s="330"/>
      <c r="H188" s="327"/>
      <c r="I188" s="327"/>
      <c r="J188" s="318" t="s">
        <v>5990</v>
      </c>
      <c r="K188" s="304" t="s">
        <v>4535</v>
      </c>
      <c r="L188" s="304" t="s">
        <v>6059</v>
      </c>
      <c r="M188" s="301" t="s">
        <v>4509</v>
      </c>
      <c r="N188" s="304" t="s">
        <v>4700</v>
      </c>
      <c r="O188" s="50" t="s">
        <v>4507</v>
      </c>
      <c r="P188" s="301" t="s">
        <v>4470</v>
      </c>
      <c r="Q188" s="304" t="s">
        <v>4420</v>
      </c>
      <c r="R188" s="304" t="s">
        <v>4420</v>
      </c>
      <c r="S188" s="304" t="s">
        <v>5792</v>
      </c>
      <c r="T188" s="304" t="s">
        <v>4420</v>
      </c>
      <c r="U188" s="304" t="s">
        <v>5792</v>
      </c>
      <c r="V188" s="34" t="s">
        <v>4559</v>
      </c>
      <c r="W188" s="118">
        <v>6</v>
      </c>
      <c r="X188" s="235">
        <v>0</v>
      </c>
      <c r="Y188" s="14">
        <v>0</v>
      </c>
      <c r="Z188" s="164" t="s">
        <v>4347</v>
      </c>
      <c r="AA188" s="23">
        <f>INDEX('[2]Cross-Section Database'!$C$2:$V$2928,MATCH(Z188,'[2]Cross-Section Database'!$B$2:$B$2928,0),3)</f>
        <v>254.1</v>
      </c>
      <c r="AB188" s="23">
        <f>INDEX('[2]Cross-Section Database'!$C$2:$V$2928,MATCH(Z188,'[2]Cross-Section Database'!$B$2:$B$2928,0),4)</f>
        <v>254.6</v>
      </c>
      <c r="AC188" s="23">
        <f>INDEX('[2]Cross-Section Database'!$C$2:$V$2928,MATCH(Z188,'[2]Cross-Section Database'!$B$2:$B$2928,0),6)</f>
        <v>14.2</v>
      </c>
      <c r="AD188" s="23">
        <f>INDEX('[2]Cross-Section Database'!$C$2:$V$2928,MATCH(Z188,'[2]Cross-Section Database'!$B$2:$B$2928,0),5)</f>
        <v>8.6</v>
      </c>
      <c r="AE188" s="23">
        <v>2165</v>
      </c>
      <c r="AF188" s="143" t="s">
        <v>4214</v>
      </c>
      <c r="AG188" s="23">
        <f>INDEX('[2]Cross-Section Database'!$C$2:$V$23928,MATCH(AF188,'[2]Cross-Section Database'!$B$2:$B$3928,0),3)</f>
        <v>304.39999999999998</v>
      </c>
      <c r="AH188" s="23">
        <f>INDEX('[2]Cross-Section Database'!$C$2:$V$3928,MATCH(AF188,'[2]Cross-Section Database'!$B$2:$B$3928,0),4)</f>
        <v>123.4</v>
      </c>
      <c r="AI188" s="23">
        <f>INDEX('[2]Cross-Section Database'!$C$2:$V$3928,MATCH(AF188,'[2]Cross-Section Database'!$B$2:$B$3928,0),6)</f>
        <v>10.7</v>
      </c>
      <c r="AJ188" s="23">
        <f>INDEX('[2]Cross-Section Database'!$C$2:$V$3928,MATCH(AF188,'[2]Cross-Section Database'!$B$2:$B$3928,0),5)</f>
        <v>7.1</v>
      </c>
      <c r="AK188" s="23">
        <v>1873</v>
      </c>
      <c r="AL188" s="21">
        <f>INDEX('[2]Cross-Section Database'!$C$2:$V$3928,MATCH(AF188,'[2]Cross-Section Database'!$B$2:$B$3928,0),11)</f>
        <v>71710000</v>
      </c>
      <c r="AM188" s="24">
        <f>INDEX('[2]Cross-Section Database'!$C$2:$V$3928,MATCH(AF188,'[2]Cross-Section Database'!$B$2:$B$3928,0),12)</f>
        <v>539400</v>
      </c>
      <c r="AN188" s="55">
        <v>10</v>
      </c>
      <c r="AO188" s="35">
        <v>270</v>
      </c>
      <c r="AP188" s="35">
        <v>324</v>
      </c>
      <c r="AQ188" s="23">
        <v>10</v>
      </c>
      <c r="AR188" s="25">
        <v>10</v>
      </c>
      <c r="AS188" s="164" t="s">
        <v>5807</v>
      </c>
      <c r="AT188" s="164" t="s">
        <v>5987</v>
      </c>
      <c r="AU188" s="164">
        <v>50</v>
      </c>
      <c r="AV188" s="164">
        <v>20</v>
      </c>
      <c r="AW188" s="164">
        <f t="shared" si="56"/>
        <v>245</v>
      </c>
      <c r="AX188" s="23">
        <v>72</v>
      </c>
      <c r="AY188" s="23">
        <v>72</v>
      </c>
      <c r="AZ188" s="23">
        <v>100</v>
      </c>
      <c r="BA188" s="35">
        <v>60</v>
      </c>
      <c r="BB188" s="23">
        <v>0</v>
      </c>
      <c r="BC188" s="19" t="s">
        <v>4470</v>
      </c>
      <c r="BD188" s="164" t="s">
        <v>6209</v>
      </c>
      <c r="BE188" s="164" t="s">
        <v>6209</v>
      </c>
      <c r="BF188" s="164">
        <v>2</v>
      </c>
      <c r="BG188" s="14">
        <v>6</v>
      </c>
      <c r="BH188" s="143">
        <v>125</v>
      </c>
      <c r="BI188" s="164">
        <v>1200</v>
      </c>
      <c r="BJ188" s="164" t="s">
        <v>6194</v>
      </c>
      <c r="BK188" s="164">
        <v>1</v>
      </c>
      <c r="BL188" s="164">
        <v>180</v>
      </c>
      <c r="BM188" s="164">
        <v>1678</v>
      </c>
      <c r="BN188" s="164">
        <v>52</v>
      </c>
      <c r="BO188" s="164" t="s">
        <v>4591</v>
      </c>
      <c r="BP188" s="143" t="s">
        <v>5856</v>
      </c>
      <c r="BQ188" s="164">
        <v>9</v>
      </c>
      <c r="BR188" s="164">
        <v>1</v>
      </c>
      <c r="BS188" s="164">
        <v>19</v>
      </c>
      <c r="BT188" s="164">
        <v>100</v>
      </c>
      <c r="BU188" s="164">
        <v>100</v>
      </c>
      <c r="BV188" s="14">
        <v>210</v>
      </c>
      <c r="BW188" s="143" t="s">
        <v>5993</v>
      </c>
      <c r="BX188" s="164" t="s">
        <v>6167</v>
      </c>
      <c r="BY188" s="33">
        <f>((BI188/250)+1)*PI()*8^2/4</f>
        <v>291.5397982531328</v>
      </c>
      <c r="BZ188" s="35">
        <f>CB188*BI188*(BH188-BN188)</f>
        <v>805.92</v>
      </c>
      <c r="CA188" s="34">
        <v>25</v>
      </c>
      <c r="CB188" s="122">
        <v>9.1999999999999998E-3</v>
      </c>
      <c r="CC188" s="132" t="s">
        <v>5793</v>
      </c>
      <c r="CD188" s="87">
        <v>275</v>
      </c>
      <c r="CE188" s="23">
        <f t="shared" si="65"/>
        <v>357.5</v>
      </c>
      <c r="CF188" s="87">
        <v>410</v>
      </c>
      <c r="CG188" s="23">
        <f t="shared" si="66"/>
        <v>507</v>
      </c>
      <c r="CH188" s="70">
        <v>200000</v>
      </c>
      <c r="CI188" s="132" t="s">
        <v>5793</v>
      </c>
      <c r="CJ188" s="87">
        <v>275</v>
      </c>
      <c r="CK188" s="23">
        <f t="shared" si="67"/>
        <v>339</v>
      </c>
      <c r="CL188" s="87">
        <v>410</v>
      </c>
      <c r="CM188" s="23">
        <f t="shared" si="68"/>
        <v>463</v>
      </c>
      <c r="CN188" s="70">
        <v>200000</v>
      </c>
      <c r="CO188" s="132" t="s">
        <v>5793</v>
      </c>
      <c r="CP188" s="87">
        <v>275</v>
      </c>
      <c r="CQ188" s="56">
        <v>308</v>
      </c>
      <c r="CR188" s="87">
        <v>410</v>
      </c>
      <c r="CS188" s="56">
        <v>472</v>
      </c>
      <c r="CT188" s="70">
        <v>200000</v>
      </c>
      <c r="CU188" s="304" t="s">
        <v>5654</v>
      </c>
      <c r="CV188" s="56">
        <v>42.64</v>
      </c>
      <c r="CW188" s="56">
        <v>3.19</v>
      </c>
      <c r="CX188" s="70">
        <v>35000</v>
      </c>
      <c r="CY188" s="143">
        <v>505</v>
      </c>
      <c r="CZ188" s="164">
        <v>654</v>
      </c>
      <c r="DA188" s="70">
        <v>200000</v>
      </c>
      <c r="DB188" s="295">
        <v>550</v>
      </c>
      <c r="DC188" s="164">
        <v>8.8000000000000007</v>
      </c>
      <c r="DD188" s="164">
        <v>640</v>
      </c>
      <c r="DE188" s="34">
        <v>730</v>
      </c>
      <c r="DF188" s="13">
        <v>800</v>
      </c>
      <c r="DG188" s="34">
        <v>940</v>
      </c>
      <c r="DH188" s="70">
        <v>200000</v>
      </c>
      <c r="DI188" s="27" t="s">
        <v>5992</v>
      </c>
      <c r="DJ188" s="143" t="s">
        <v>4561</v>
      </c>
      <c r="DK188" s="298" t="s">
        <v>4566</v>
      </c>
    </row>
    <row r="189" spans="1:115" ht="15.6" customHeight="1">
      <c r="A189" s="305">
        <v>184</v>
      </c>
      <c r="B189" s="325">
        <v>28</v>
      </c>
      <c r="C189" s="325">
        <v>1999</v>
      </c>
      <c r="D189" s="342" t="s">
        <v>5631</v>
      </c>
      <c r="E189" s="342" t="s">
        <v>5638</v>
      </c>
      <c r="F189" s="325">
        <v>12</v>
      </c>
      <c r="G189" s="336" t="s">
        <v>5905</v>
      </c>
      <c r="H189" s="336" t="s">
        <v>5904</v>
      </c>
      <c r="I189" s="336" t="s">
        <v>6241</v>
      </c>
      <c r="J189" s="319" t="s">
        <v>4512</v>
      </c>
      <c r="K189" s="305" t="s">
        <v>4535</v>
      </c>
      <c r="L189" s="162" t="s">
        <v>6059</v>
      </c>
      <c r="M189" s="305" t="s">
        <v>4509</v>
      </c>
      <c r="N189" s="162" t="s">
        <v>4703</v>
      </c>
      <c r="O189" s="17" t="s">
        <v>4507</v>
      </c>
      <c r="P189" s="162" t="s">
        <v>6312</v>
      </c>
      <c r="Q189" s="162" t="s">
        <v>4420</v>
      </c>
      <c r="R189" s="162" t="s">
        <v>6312</v>
      </c>
      <c r="S189" s="162" t="s">
        <v>5792</v>
      </c>
      <c r="T189" s="162" t="s">
        <v>4420</v>
      </c>
      <c r="U189" s="162" t="s">
        <v>5792</v>
      </c>
      <c r="V189" s="30" t="s">
        <v>4559</v>
      </c>
      <c r="W189" s="88">
        <v>6</v>
      </c>
      <c r="X189" s="232">
        <v>0</v>
      </c>
      <c r="Y189" s="17">
        <v>0</v>
      </c>
      <c r="Z189" s="306" t="s">
        <v>5632</v>
      </c>
      <c r="AA189" s="21">
        <f>12*25.4</f>
        <v>304.79999999999995</v>
      </c>
      <c r="AB189" s="21">
        <f>8*25.4</f>
        <v>203.2</v>
      </c>
      <c r="AC189" s="21">
        <v>25.4</v>
      </c>
      <c r="AD189" s="21">
        <f>3/8*25.4</f>
        <v>9.5249999999999986</v>
      </c>
      <c r="AE189" s="21">
        <f>60*25.4</f>
        <v>1524</v>
      </c>
      <c r="AF189" s="305" t="s">
        <v>5633</v>
      </c>
      <c r="AG189" s="16">
        <f>18*25.4</f>
        <v>457.2</v>
      </c>
      <c r="AH189" s="16">
        <f>6*25.4</f>
        <v>152.39999999999998</v>
      </c>
      <c r="AI189" s="16">
        <f>0.5*25.4</f>
        <v>12.7</v>
      </c>
      <c r="AJ189" s="16">
        <f>0.25*25.4</f>
        <v>6.35</v>
      </c>
      <c r="AK189" s="16">
        <f>69.5*25.4</f>
        <v>1765.3</v>
      </c>
      <c r="AL189" s="16">
        <f t="shared" ref="AL189:AL207" si="69">AH189*AG189^3/12-(AH189-AJ189)*(AG189-2*AI189)^3/12</f>
        <v>233861360.77096665</v>
      </c>
      <c r="AM189" s="26">
        <f t="shared" ref="AM189:AM207" si="70">AH189*AG189^2/4-(AH189-AJ189)*(AG189-2*AI189)^2/4</f>
        <v>1156312.2034999989</v>
      </c>
      <c r="AN189" s="16">
        <f>3/8*25.4</f>
        <v>9.5249999999999986</v>
      </c>
      <c r="AO189" s="16">
        <f>6*25.4</f>
        <v>152.39999999999998</v>
      </c>
      <c r="AP189" s="16">
        <f>18*25.4</f>
        <v>457.2</v>
      </c>
      <c r="AQ189" s="16">
        <v>0</v>
      </c>
      <c r="AR189" s="16">
        <v>0</v>
      </c>
      <c r="AS189" s="305" t="s">
        <v>5807</v>
      </c>
      <c r="AT189" s="162" t="s">
        <v>5637</v>
      </c>
      <c r="AU189" s="16">
        <f t="shared" ref="AU189:AU200" si="71">0.7*DD189*AW189/1000</f>
        <v>107.968</v>
      </c>
      <c r="AV189" s="16">
        <v>19.100000000000001</v>
      </c>
      <c r="AW189" s="162">
        <v>241</v>
      </c>
      <c r="AX189" s="16">
        <f>(1+5/8)*25.4</f>
        <v>41.274999999999999</v>
      </c>
      <c r="AY189" s="16">
        <f>(1+5/8)*25.4</f>
        <v>41.274999999999999</v>
      </c>
      <c r="AZ189" s="16">
        <f>3*25.4</f>
        <v>76.199999999999989</v>
      </c>
      <c r="BA189" s="16">
        <f>3*25.4</f>
        <v>76.199999999999989</v>
      </c>
      <c r="BB189" s="16">
        <f>AP189-AX189-AY189-2*AZ189</f>
        <v>222.25000000000006</v>
      </c>
      <c r="BC189" s="22" t="s">
        <v>6312</v>
      </c>
      <c r="BD189" s="162" t="s">
        <v>4465</v>
      </c>
      <c r="BE189" s="162" t="s">
        <v>4465</v>
      </c>
      <c r="BF189" s="162">
        <v>4</v>
      </c>
      <c r="BG189" s="162">
        <v>8</v>
      </c>
      <c r="BH189" s="200" t="s">
        <v>5792</v>
      </c>
      <c r="BI189" s="201" t="s">
        <v>5792</v>
      </c>
      <c r="BJ189" s="201" t="s">
        <v>5792</v>
      </c>
      <c r="BK189" s="201" t="s">
        <v>5792</v>
      </c>
      <c r="BL189" s="201" t="s">
        <v>5792</v>
      </c>
      <c r="BM189" s="201" t="s">
        <v>5792</v>
      </c>
      <c r="BN189" s="201" t="s">
        <v>5792</v>
      </c>
      <c r="BO189" s="201" t="s">
        <v>5792</v>
      </c>
      <c r="BP189" s="200" t="s">
        <v>5792</v>
      </c>
      <c r="BQ189" s="201" t="s">
        <v>5792</v>
      </c>
      <c r="BR189" s="201" t="s">
        <v>5792</v>
      </c>
      <c r="BS189" s="201" t="s">
        <v>5792</v>
      </c>
      <c r="BT189" s="201" t="s">
        <v>5792</v>
      </c>
      <c r="BU189" s="201" t="s">
        <v>5792</v>
      </c>
      <c r="BV189" s="219" t="s">
        <v>5792</v>
      </c>
      <c r="BW189" s="201" t="s">
        <v>5792</v>
      </c>
      <c r="BX189" s="201" t="s">
        <v>5792</v>
      </c>
      <c r="BY189" s="201" t="s">
        <v>5792</v>
      </c>
      <c r="BZ189" s="201" t="s">
        <v>5792</v>
      </c>
      <c r="CA189" s="201" t="s">
        <v>5792</v>
      </c>
      <c r="CB189" s="219" t="s">
        <v>5792</v>
      </c>
      <c r="CC189" s="106" t="s">
        <v>4536</v>
      </c>
      <c r="CD189" s="65">
        <v>345</v>
      </c>
      <c r="CE189" s="31">
        <f>CD189*1.1</f>
        <v>379.50000000000006</v>
      </c>
      <c r="CF189" s="65">
        <v>450</v>
      </c>
      <c r="CG189" s="30">
        <v>495.00000000000006</v>
      </c>
      <c r="CH189" s="66">
        <v>200000</v>
      </c>
      <c r="CI189" s="106" t="s">
        <v>4536</v>
      </c>
      <c r="CJ189" s="65">
        <v>345</v>
      </c>
      <c r="CK189" s="31">
        <f>CJ189*1.1</f>
        <v>379.50000000000006</v>
      </c>
      <c r="CL189" s="65">
        <v>450</v>
      </c>
      <c r="CM189" s="30">
        <v>495.00000000000006</v>
      </c>
      <c r="CN189" s="66">
        <v>200000</v>
      </c>
      <c r="CO189" s="106" t="s">
        <v>4536</v>
      </c>
      <c r="CP189" s="65">
        <v>345</v>
      </c>
      <c r="CQ189" s="31">
        <f>CP189*1.1</f>
        <v>379.50000000000006</v>
      </c>
      <c r="CR189" s="65">
        <v>450</v>
      </c>
      <c r="CS189" s="30">
        <f>CR189*1.1</f>
        <v>495.00000000000006</v>
      </c>
      <c r="CT189" s="66">
        <v>200000</v>
      </c>
      <c r="CU189" s="204" t="s">
        <v>5792</v>
      </c>
      <c r="CV189" s="205" t="s">
        <v>5792</v>
      </c>
      <c r="CW189" s="205" t="s">
        <v>5792</v>
      </c>
      <c r="CX189" s="206" t="s">
        <v>5792</v>
      </c>
      <c r="CY189" s="204" t="s">
        <v>5792</v>
      </c>
      <c r="CZ189" s="205" t="s">
        <v>5792</v>
      </c>
      <c r="DA189" s="206" t="s">
        <v>5792</v>
      </c>
      <c r="DB189" s="282" t="s">
        <v>5792</v>
      </c>
      <c r="DC189" s="162" t="s">
        <v>4422</v>
      </c>
      <c r="DD189" s="162">
        <v>640</v>
      </c>
      <c r="DE189" s="30">
        <v>730</v>
      </c>
      <c r="DF189" s="162">
        <v>800</v>
      </c>
      <c r="DG189" s="30">
        <v>940</v>
      </c>
      <c r="DH189" s="66">
        <v>200000</v>
      </c>
      <c r="DI189" s="28" t="s">
        <v>5839</v>
      </c>
      <c r="DJ189" s="162" t="s">
        <v>4435</v>
      </c>
      <c r="DK189" s="296" t="s">
        <v>4566</v>
      </c>
    </row>
    <row r="190" spans="1:115">
      <c r="A190" s="306">
        <v>185</v>
      </c>
      <c r="B190" s="326"/>
      <c r="C190" s="326"/>
      <c r="D190" s="343"/>
      <c r="E190" s="343"/>
      <c r="F190" s="326"/>
      <c r="G190" s="337"/>
      <c r="H190" s="337"/>
      <c r="I190" s="337"/>
      <c r="J190" s="314" t="s">
        <v>4397</v>
      </c>
      <c r="K190" s="306" t="s">
        <v>4535</v>
      </c>
      <c r="L190" s="163" t="s">
        <v>6059</v>
      </c>
      <c r="M190" s="306" t="s">
        <v>4509</v>
      </c>
      <c r="N190" s="163" t="s">
        <v>4703</v>
      </c>
      <c r="O190" s="18" t="s">
        <v>4507</v>
      </c>
      <c r="P190" s="163" t="s">
        <v>6312</v>
      </c>
      <c r="Q190" s="163" t="s">
        <v>4420</v>
      </c>
      <c r="R190" s="163" t="s">
        <v>6312</v>
      </c>
      <c r="S190" s="163" t="s">
        <v>5792</v>
      </c>
      <c r="T190" s="163" t="s">
        <v>4420</v>
      </c>
      <c r="U190" s="163" t="s">
        <v>5792</v>
      </c>
      <c r="V190" s="32" t="s">
        <v>4559</v>
      </c>
      <c r="W190" s="73">
        <v>6</v>
      </c>
      <c r="X190" s="231">
        <v>0</v>
      </c>
      <c r="Y190" s="18">
        <v>0</v>
      </c>
      <c r="Z190" s="306" t="s">
        <v>5632</v>
      </c>
      <c r="AA190" s="21">
        <f t="shared" ref="AA190:AA200" si="72">12*25.4</f>
        <v>304.79999999999995</v>
      </c>
      <c r="AB190" s="21">
        <f t="shared" ref="AB190:AB200" si="73">8*25.4</f>
        <v>203.2</v>
      </c>
      <c r="AC190" s="21">
        <v>25.4</v>
      </c>
      <c r="AD190" s="21">
        <f t="shared" ref="AD190:AD200" si="74">3/8*25.4</f>
        <v>9.5249999999999986</v>
      </c>
      <c r="AE190" s="21">
        <f t="shared" ref="AE190:AE200" si="75">60*25.4</f>
        <v>1524</v>
      </c>
      <c r="AF190" s="306" t="s">
        <v>5633</v>
      </c>
      <c r="AG190" s="21">
        <f t="shared" ref="AG190:AG191" si="76">18*25.4</f>
        <v>457.2</v>
      </c>
      <c r="AH190" s="21">
        <f t="shared" ref="AH190:AH191" si="77">6*25.4</f>
        <v>152.39999999999998</v>
      </c>
      <c r="AI190" s="21">
        <f t="shared" ref="AI190:AI191" si="78">0.5*25.4</f>
        <v>12.7</v>
      </c>
      <c r="AJ190" s="21">
        <f t="shared" ref="AJ190:AJ191" si="79">0.25*25.4</f>
        <v>6.35</v>
      </c>
      <c r="AK190" s="21">
        <f t="shared" ref="AK190:AK200" si="80">69.5*25.4</f>
        <v>1765.3</v>
      </c>
      <c r="AL190" s="21">
        <f t="shared" si="69"/>
        <v>233861360.77096665</v>
      </c>
      <c r="AM190" s="24">
        <f t="shared" si="70"/>
        <v>1156312.2034999989</v>
      </c>
      <c r="AN190" s="21">
        <f>0.5*25.4</f>
        <v>12.7</v>
      </c>
      <c r="AO190" s="21">
        <f t="shared" ref="AO190:AO191" si="81">6*25.4</f>
        <v>152.39999999999998</v>
      </c>
      <c r="AP190" s="21">
        <f t="shared" ref="AP190:AP194" si="82">18*25.4</f>
        <v>457.2</v>
      </c>
      <c r="AQ190" s="21">
        <v>0</v>
      </c>
      <c r="AR190" s="21">
        <v>0</v>
      </c>
      <c r="AS190" s="306" t="s">
        <v>5807</v>
      </c>
      <c r="AT190" s="163" t="s">
        <v>5637</v>
      </c>
      <c r="AU190" s="21">
        <f t="shared" si="71"/>
        <v>107.968</v>
      </c>
      <c r="AV190" s="21">
        <v>19.100000000000001</v>
      </c>
      <c r="AW190" s="163">
        <v>241</v>
      </c>
      <c r="AX190" s="21">
        <f t="shared" ref="AX190:AY191" si="83">(1+5/8)*25.4</f>
        <v>41.274999999999999</v>
      </c>
      <c r="AY190" s="21">
        <f t="shared" si="83"/>
        <v>41.274999999999999</v>
      </c>
      <c r="AZ190" s="21">
        <f t="shared" ref="AZ190:BA191" si="84">3*25.4</f>
        <v>76.199999999999989</v>
      </c>
      <c r="BA190" s="21">
        <f t="shared" si="84"/>
        <v>76.199999999999989</v>
      </c>
      <c r="BB190" s="21">
        <f t="shared" ref="BB190:BB200" si="85">AP190-AX190-AY190-2*AZ190</f>
        <v>222.25000000000006</v>
      </c>
      <c r="BC190" s="15" t="s">
        <v>6312</v>
      </c>
      <c r="BD190" s="163" t="s">
        <v>4465</v>
      </c>
      <c r="BE190" s="163" t="s">
        <v>4465</v>
      </c>
      <c r="BF190" s="163">
        <v>4</v>
      </c>
      <c r="BG190" s="163">
        <v>8</v>
      </c>
      <c r="BH190" s="202" t="s">
        <v>5792</v>
      </c>
      <c r="BI190" s="203" t="s">
        <v>5792</v>
      </c>
      <c r="BJ190" s="203" t="s">
        <v>5792</v>
      </c>
      <c r="BK190" s="203" t="s">
        <v>5792</v>
      </c>
      <c r="BL190" s="203" t="s">
        <v>5792</v>
      </c>
      <c r="BM190" s="203" t="s">
        <v>5792</v>
      </c>
      <c r="BN190" s="203" t="s">
        <v>5792</v>
      </c>
      <c r="BO190" s="203" t="s">
        <v>5792</v>
      </c>
      <c r="BP190" s="202" t="s">
        <v>5792</v>
      </c>
      <c r="BQ190" s="203" t="s">
        <v>5792</v>
      </c>
      <c r="BR190" s="203" t="s">
        <v>5792</v>
      </c>
      <c r="BS190" s="203" t="s">
        <v>5792</v>
      </c>
      <c r="BT190" s="203" t="s">
        <v>5792</v>
      </c>
      <c r="BU190" s="203" t="s">
        <v>5792</v>
      </c>
      <c r="BV190" s="218" t="s">
        <v>5792</v>
      </c>
      <c r="BW190" s="203" t="s">
        <v>5792</v>
      </c>
      <c r="BX190" s="203" t="s">
        <v>5792</v>
      </c>
      <c r="BY190" s="203" t="s">
        <v>5792</v>
      </c>
      <c r="BZ190" s="203" t="s">
        <v>5792</v>
      </c>
      <c r="CA190" s="203" t="s">
        <v>5792</v>
      </c>
      <c r="CB190" s="218" t="s">
        <v>5792</v>
      </c>
      <c r="CC190" s="107" t="s">
        <v>4536</v>
      </c>
      <c r="CD190" s="60">
        <v>345</v>
      </c>
      <c r="CE190" s="33">
        <f t="shared" ref="CE190:CE200" si="86">CD190*1.1</f>
        <v>379.50000000000006</v>
      </c>
      <c r="CF190" s="60">
        <v>450</v>
      </c>
      <c r="CG190" s="32">
        <v>495.00000000000006</v>
      </c>
      <c r="CH190" s="67">
        <v>200000</v>
      </c>
      <c r="CI190" s="107" t="s">
        <v>4536</v>
      </c>
      <c r="CJ190" s="60">
        <v>345</v>
      </c>
      <c r="CK190" s="33">
        <f t="shared" ref="CK190:CK200" si="87">CJ190*1.1</f>
        <v>379.50000000000006</v>
      </c>
      <c r="CL190" s="60">
        <v>450</v>
      </c>
      <c r="CM190" s="32">
        <v>495.00000000000006</v>
      </c>
      <c r="CN190" s="67">
        <v>200000</v>
      </c>
      <c r="CO190" s="107" t="s">
        <v>4536</v>
      </c>
      <c r="CP190" s="60">
        <v>345</v>
      </c>
      <c r="CQ190" s="21">
        <v>358.2</v>
      </c>
      <c r="CR190" s="60">
        <v>450</v>
      </c>
      <c r="CS190" s="32">
        <f t="shared" ref="CS190:CS200" si="88">CR190*1.1</f>
        <v>495.00000000000006</v>
      </c>
      <c r="CT190" s="67">
        <v>200000</v>
      </c>
      <c r="CU190" s="207" t="s">
        <v>5792</v>
      </c>
      <c r="CV190" s="208" t="s">
        <v>5792</v>
      </c>
      <c r="CW190" s="208" t="s">
        <v>5792</v>
      </c>
      <c r="CX190" s="209" t="s">
        <v>5792</v>
      </c>
      <c r="CY190" s="207" t="s">
        <v>5792</v>
      </c>
      <c r="CZ190" s="208" t="s">
        <v>5792</v>
      </c>
      <c r="DA190" s="209" t="s">
        <v>5792</v>
      </c>
      <c r="DB190" s="283" t="s">
        <v>5792</v>
      </c>
      <c r="DC190" s="163" t="s">
        <v>4422</v>
      </c>
      <c r="DD190" s="163">
        <v>640</v>
      </c>
      <c r="DE190" s="32">
        <v>730</v>
      </c>
      <c r="DF190" s="163">
        <v>800</v>
      </c>
      <c r="DG190" s="32">
        <v>940</v>
      </c>
      <c r="DH190" s="67">
        <v>200000</v>
      </c>
      <c r="DI190" s="29" t="s">
        <v>5838</v>
      </c>
      <c r="DJ190" s="163" t="s">
        <v>4435</v>
      </c>
      <c r="DK190" s="297" t="s">
        <v>4566</v>
      </c>
    </row>
    <row r="191" spans="1:115">
      <c r="A191" s="306">
        <v>186</v>
      </c>
      <c r="B191" s="326"/>
      <c r="C191" s="326"/>
      <c r="D191" s="343"/>
      <c r="E191" s="343"/>
      <c r="F191" s="326"/>
      <c r="G191" s="337"/>
      <c r="H191" s="337"/>
      <c r="I191" s="337"/>
      <c r="J191" s="314" t="s">
        <v>4398</v>
      </c>
      <c r="K191" s="306" t="s">
        <v>4535</v>
      </c>
      <c r="L191" s="163" t="s">
        <v>6059</v>
      </c>
      <c r="M191" s="306" t="s">
        <v>4509</v>
      </c>
      <c r="N191" s="163" t="s">
        <v>4703</v>
      </c>
      <c r="O191" s="18" t="s">
        <v>4507</v>
      </c>
      <c r="P191" s="163" t="s">
        <v>6312</v>
      </c>
      <c r="Q191" s="163" t="s">
        <v>4420</v>
      </c>
      <c r="R191" s="163" t="s">
        <v>6312</v>
      </c>
      <c r="S191" s="163" t="s">
        <v>5792</v>
      </c>
      <c r="T191" s="163" t="s">
        <v>4420</v>
      </c>
      <c r="U191" s="163" t="s">
        <v>5792</v>
      </c>
      <c r="V191" s="32" t="s">
        <v>4559</v>
      </c>
      <c r="W191" s="73">
        <v>6</v>
      </c>
      <c r="X191" s="231">
        <v>0</v>
      </c>
      <c r="Y191" s="18">
        <v>0</v>
      </c>
      <c r="Z191" s="306" t="s">
        <v>5632</v>
      </c>
      <c r="AA191" s="21">
        <f t="shared" si="72"/>
        <v>304.79999999999995</v>
      </c>
      <c r="AB191" s="21">
        <f t="shared" si="73"/>
        <v>203.2</v>
      </c>
      <c r="AC191" s="21">
        <v>25.4</v>
      </c>
      <c r="AD191" s="21">
        <f t="shared" si="74"/>
        <v>9.5249999999999986</v>
      </c>
      <c r="AE191" s="21">
        <f t="shared" si="75"/>
        <v>1524</v>
      </c>
      <c r="AF191" s="306" t="s">
        <v>5633</v>
      </c>
      <c r="AG191" s="21">
        <f t="shared" si="76"/>
        <v>457.2</v>
      </c>
      <c r="AH191" s="21">
        <f t="shared" si="77"/>
        <v>152.39999999999998</v>
      </c>
      <c r="AI191" s="21">
        <f t="shared" si="78"/>
        <v>12.7</v>
      </c>
      <c r="AJ191" s="21">
        <f t="shared" si="79"/>
        <v>6.35</v>
      </c>
      <c r="AK191" s="21">
        <f t="shared" si="80"/>
        <v>1765.3</v>
      </c>
      <c r="AL191" s="21">
        <f t="shared" si="69"/>
        <v>233861360.77096665</v>
      </c>
      <c r="AM191" s="24">
        <f t="shared" si="70"/>
        <v>1156312.2034999989</v>
      </c>
      <c r="AN191" s="21">
        <f>5/8*25.4</f>
        <v>15.875</v>
      </c>
      <c r="AO191" s="21">
        <f t="shared" si="81"/>
        <v>152.39999999999998</v>
      </c>
      <c r="AP191" s="21">
        <f t="shared" si="82"/>
        <v>457.2</v>
      </c>
      <c r="AQ191" s="21">
        <v>0</v>
      </c>
      <c r="AR191" s="21">
        <v>0</v>
      </c>
      <c r="AS191" s="306" t="s">
        <v>5807</v>
      </c>
      <c r="AT191" s="163" t="s">
        <v>5637</v>
      </c>
      <c r="AU191" s="21">
        <f t="shared" si="71"/>
        <v>107.968</v>
      </c>
      <c r="AV191" s="21">
        <v>19.100000000000001</v>
      </c>
      <c r="AW191" s="163">
        <v>241</v>
      </c>
      <c r="AX191" s="21">
        <f t="shared" si="83"/>
        <v>41.274999999999999</v>
      </c>
      <c r="AY191" s="21">
        <f t="shared" si="83"/>
        <v>41.274999999999999</v>
      </c>
      <c r="AZ191" s="21">
        <f t="shared" si="84"/>
        <v>76.199999999999989</v>
      </c>
      <c r="BA191" s="21">
        <f t="shared" si="84"/>
        <v>76.199999999999989</v>
      </c>
      <c r="BB191" s="21">
        <f t="shared" si="85"/>
        <v>222.25000000000006</v>
      </c>
      <c r="BC191" s="15" t="s">
        <v>6312</v>
      </c>
      <c r="BD191" s="163" t="s">
        <v>4465</v>
      </c>
      <c r="BE191" s="163" t="s">
        <v>4465</v>
      </c>
      <c r="BF191" s="163">
        <v>4</v>
      </c>
      <c r="BG191" s="163">
        <v>8</v>
      </c>
      <c r="BH191" s="202" t="s">
        <v>5792</v>
      </c>
      <c r="BI191" s="203" t="s">
        <v>5792</v>
      </c>
      <c r="BJ191" s="203" t="s">
        <v>5792</v>
      </c>
      <c r="BK191" s="203" t="s">
        <v>5792</v>
      </c>
      <c r="BL191" s="203" t="s">
        <v>5792</v>
      </c>
      <c r="BM191" s="203" t="s">
        <v>5792</v>
      </c>
      <c r="BN191" s="203" t="s">
        <v>5792</v>
      </c>
      <c r="BO191" s="203" t="s">
        <v>5792</v>
      </c>
      <c r="BP191" s="202" t="s">
        <v>5792</v>
      </c>
      <c r="BQ191" s="203" t="s">
        <v>5792</v>
      </c>
      <c r="BR191" s="203" t="s">
        <v>5792</v>
      </c>
      <c r="BS191" s="203" t="s">
        <v>5792</v>
      </c>
      <c r="BT191" s="203" t="s">
        <v>5792</v>
      </c>
      <c r="BU191" s="203" t="s">
        <v>5792</v>
      </c>
      <c r="BV191" s="218" t="s">
        <v>5792</v>
      </c>
      <c r="BW191" s="203" t="s">
        <v>5792</v>
      </c>
      <c r="BX191" s="203" t="s">
        <v>5792</v>
      </c>
      <c r="BY191" s="203" t="s">
        <v>5792</v>
      </c>
      <c r="BZ191" s="203" t="s">
        <v>5792</v>
      </c>
      <c r="CA191" s="203" t="s">
        <v>5792</v>
      </c>
      <c r="CB191" s="218" t="s">
        <v>5792</v>
      </c>
      <c r="CC191" s="107" t="s">
        <v>4536</v>
      </c>
      <c r="CD191" s="60">
        <v>345</v>
      </c>
      <c r="CE191" s="33">
        <f t="shared" si="86"/>
        <v>379.50000000000006</v>
      </c>
      <c r="CF191" s="60">
        <v>450</v>
      </c>
      <c r="CG191" s="32">
        <v>495.00000000000006</v>
      </c>
      <c r="CH191" s="67">
        <v>200000</v>
      </c>
      <c r="CI191" s="107" t="s">
        <v>4536</v>
      </c>
      <c r="CJ191" s="60">
        <v>345</v>
      </c>
      <c r="CK191" s="33">
        <f t="shared" si="87"/>
        <v>379.50000000000006</v>
      </c>
      <c r="CL191" s="60">
        <v>450</v>
      </c>
      <c r="CM191" s="32">
        <v>495.00000000000006</v>
      </c>
      <c r="CN191" s="67">
        <v>200000</v>
      </c>
      <c r="CO191" s="107" t="s">
        <v>4536</v>
      </c>
      <c r="CP191" s="60">
        <v>345</v>
      </c>
      <c r="CQ191" s="21">
        <v>372</v>
      </c>
      <c r="CR191" s="60">
        <v>450</v>
      </c>
      <c r="CS191" s="32">
        <f t="shared" si="88"/>
        <v>495.00000000000006</v>
      </c>
      <c r="CT191" s="67">
        <v>200000</v>
      </c>
      <c r="CU191" s="207" t="s">
        <v>5792</v>
      </c>
      <c r="CV191" s="208" t="s">
        <v>5792</v>
      </c>
      <c r="CW191" s="208" t="s">
        <v>5792</v>
      </c>
      <c r="CX191" s="209" t="s">
        <v>5792</v>
      </c>
      <c r="CY191" s="207" t="s">
        <v>5792</v>
      </c>
      <c r="CZ191" s="208" t="s">
        <v>5792</v>
      </c>
      <c r="DA191" s="209" t="s">
        <v>5792</v>
      </c>
      <c r="DB191" s="283" t="s">
        <v>5792</v>
      </c>
      <c r="DC191" s="163" t="s">
        <v>4422</v>
      </c>
      <c r="DD191" s="163">
        <v>640</v>
      </c>
      <c r="DE191" s="32">
        <v>730</v>
      </c>
      <c r="DF191" s="163">
        <v>800</v>
      </c>
      <c r="DG191" s="32">
        <v>940</v>
      </c>
      <c r="DH191" s="67">
        <v>200000</v>
      </c>
      <c r="DI191" s="29" t="s">
        <v>5838</v>
      </c>
      <c r="DJ191" s="163" t="s">
        <v>4435</v>
      </c>
      <c r="DK191" s="297" t="s">
        <v>4566</v>
      </c>
    </row>
    <row r="192" spans="1:115">
      <c r="A192" s="306">
        <v>187</v>
      </c>
      <c r="B192" s="326"/>
      <c r="C192" s="326"/>
      <c r="D192" s="343"/>
      <c r="E192" s="343"/>
      <c r="F192" s="326"/>
      <c r="G192" s="337"/>
      <c r="H192" s="337"/>
      <c r="I192" s="337"/>
      <c r="J192" s="314" t="s">
        <v>4399</v>
      </c>
      <c r="K192" s="306" t="s">
        <v>4535</v>
      </c>
      <c r="L192" s="163" t="s">
        <v>6059</v>
      </c>
      <c r="M192" s="306" t="s">
        <v>4509</v>
      </c>
      <c r="N192" s="163" t="s">
        <v>4703</v>
      </c>
      <c r="O192" s="18" t="s">
        <v>4507</v>
      </c>
      <c r="P192" s="163" t="s">
        <v>6312</v>
      </c>
      <c r="Q192" s="163" t="s">
        <v>4420</v>
      </c>
      <c r="R192" s="163" t="s">
        <v>4420</v>
      </c>
      <c r="S192" s="163" t="s">
        <v>5792</v>
      </c>
      <c r="T192" s="163" t="s">
        <v>4420</v>
      </c>
      <c r="U192" s="163" t="s">
        <v>5792</v>
      </c>
      <c r="V192" s="32" t="s">
        <v>4559</v>
      </c>
      <c r="W192" s="73">
        <v>6</v>
      </c>
      <c r="X192" s="231">
        <v>0</v>
      </c>
      <c r="Y192" s="18">
        <v>0</v>
      </c>
      <c r="Z192" s="306" t="s">
        <v>5632</v>
      </c>
      <c r="AA192" s="21">
        <f t="shared" si="72"/>
        <v>304.79999999999995</v>
      </c>
      <c r="AB192" s="21">
        <f t="shared" si="73"/>
        <v>203.2</v>
      </c>
      <c r="AC192" s="21">
        <v>25.4</v>
      </c>
      <c r="AD192" s="21">
        <f t="shared" si="74"/>
        <v>9.5249999999999986</v>
      </c>
      <c r="AE192" s="21">
        <f t="shared" si="75"/>
        <v>1524</v>
      </c>
      <c r="AF192" s="306" t="s">
        <v>5634</v>
      </c>
      <c r="AG192" s="21">
        <f>18*25.4</f>
        <v>457.2</v>
      </c>
      <c r="AH192" s="21">
        <f>8*25.4</f>
        <v>203.2</v>
      </c>
      <c r="AI192" s="21">
        <f>0.5*25.4</f>
        <v>12.7</v>
      </c>
      <c r="AJ192" s="21">
        <f>0.25*25.4</f>
        <v>6.35</v>
      </c>
      <c r="AK192" s="21">
        <f t="shared" si="80"/>
        <v>1765.3</v>
      </c>
      <c r="AL192" s="21">
        <f t="shared" si="69"/>
        <v>297614140.79203296</v>
      </c>
      <c r="AM192" s="24">
        <f t="shared" si="70"/>
        <v>1443085.8234999981</v>
      </c>
      <c r="AN192" s="21">
        <f>3/8*25.4</f>
        <v>9.5249999999999986</v>
      </c>
      <c r="AO192" s="21">
        <f>8*25.4</f>
        <v>203.2</v>
      </c>
      <c r="AP192" s="21">
        <f t="shared" si="82"/>
        <v>457.2</v>
      </c>
      <c r="AQ192" s="21">
        <v>0</v>
      </c>
      <c r="AR192" s="21">
        <v>0</v>
      </c>
      <c r="AS192" s="306" t="s">
        <v>5807</v>
      </c>
      <c r="AT192" s="163" t="s">
        <v>5637</v>
      </c>
      <c r="AU192" s="21">
        <f t="shared" si="71"/>
        <v>191.744</v>
      </c>
      <c r="AV192" s="21">
        <v>25.4</v>
      </c>
      <c r="AW192" s="163">
        <v>428</v>
      </c>
      <c r="AX192" s="21">
        <f>(1+7/8)*25.4</f>
        <v>47.625</v>
      </c>
      <c r="AY192" s="21">
        <f>(1+7/8)*25.4</f>
        <v>47.625</v>
      </c>
      <c r="AZ192" s="21">
        <f>3.5*25.4</f>
        <v>88.899999999999991</v>
      </c>
      <c r="BA192" s="21">
        <f>3.5*25.4</f>
        <v>88.899999999999991</v>
      </c>
      <c r="BB192" s="21">
        <f t="shared" si="85"/>
        <v>184.15</v>
      </c>
      <c r="BC192" s="15" t="s">
        <v>6312</v>
      </c>
      <c r="BD192" s="163" t="s">
        <v>4465</v>
      </c>
      <c r="BE192" s="163" t="s">
        <v>4465</v>
      </c>
      <c r="BF192" s="163">
        <v>4</v>
      </c>
      <c r="BG192" s="163">
        <v>8</v>
      </c>
      <c r="BH192" s="202" t="s">
        <v>5792</v>
      </c>
      <c r="BI192" s="203" t="s">
        <v>5792</v>
      </c>
      <c r="BJ192" s="203" t="s">
        <v>5792</v>
      </c>
      <c r="BK192" s="203" t="s">
        <v>5792</v>
      </c>
      <c r="BL192" s="203" t="s">
        <v>5792</v>
      </c>
      <c r="BM192" s="203" t="s">
        <v>5792</v>
      </c>
      <c r="BN192" s="203" t="s">
        <v>5792</v>
      </c>
      <c r="BO192" s="203" t="s">
        <v>5792</v>
      </c>
      <c r="BP192" s="202" t="s">
        <v>5792</v>
      </c>
      <c r="BQ192" s="203" t="s">
        <v>5792</v>
      </c>
      <c r="BR192" s="203" t="s">
        <v>5792</v>
      </c>
      <c r="BS192" s="203" t="s">
        <v>5792</v>
      </c>
      <c r="BT192" s="203" t="s">
        <v>5792</v>
      </c>
      <c r="BU192" s="203" t="s">
        <v>5792</v>
      </c>
      <c r="BV192" s="218" t="s">
        <v>5792</v>
      </c>
      <c r="BW192" s="203" t="s">
        <v>5792</v>
      </c>
      <c r="BX192" s="203" t="s">
        <v>5792</v>
      </c>
      <c r="BY192" s="203" t="s">
        <v>5792</v>
      </c>
      <c r="BZ192" s="203" t="s">
        <v>5792</v>
      </c>
      <c r="CA192" s="203" t="s">
        <v>5792</v>
      </c>
      <c r="CB192" s="218" t="s">
        <v>5792</v>
      </c>
      <c r="CC192" s="107" t="s">
        <v>4536</v>
      </c>
      <c r="CD192" s="60">
        <v>345</v>
      </c>
      <c r="CE192" s="33">
        <f t="shared" si="86"/>
        <v>379.50000000000006</v>
      </c>
      <c r="CF192" s="60">
        <v>450</v>
      </c>
      <c r="CG192" s="32">
        <v>495.00000000000006</v>
      </c>
      <c r="CH192" s="67">
        <v>200000</v>
      </c>
      <c r="CI192" s="107" t="s">
        <v>4536</v>
      </c>
      <c r="CJ192" s="60">
        <v>345</v>
      </c>
      <c r="CK192" s="33">
        <f t="shared" si="87"/>
        <v>379.50000000000006</v>
      </c>
      <c r="CL192" s="60">
        <v>450</v>
      </c>
      <c r="CM192" s="32">
        <v>495.00000000000006</v>
      </c>
      <c r="CN192" s="67">
        <v>200000</v>
      </c>
      <c r="CO192" s="107" t="s">
        <v>4536</v>
      </c>
      <c r="CP192" s="60">
        <v>345</v>
      </c>
      <c r="CQ192" s="21">
        <v>365.1</v>
      </c>
      <c r="CR192" s="60">
        <v>450</v>
      </c>
      <c r="CS192" s="32">
        <f t="shared" si="88"/>
        <v>495.00000000000006</v>
      </c>
      <c r="CT192" s="67">
        <v>200000</v>
      </c>
      <c r="CU192" s="207" t="s">
        <v>5792</v>
      </c>
      <c r="CV192" s="208" t="s">
        <v>5792</v>
      </c>
      <c r="CW192" s="208" t="s">
        <v>5792</v>
      </c>
      <c r="CX192" s="209" t="s">
        <v>5792</v>
      </c>
      <c r="CY192" s="207" t="s">
        <v>5792</v>
      </c>
      <c r="CZ192" s="208" t="s">
        <v>5792</v>
      </c>
      <c r="DA192" s="209" t="s">
        <v>5792</v>
      </c>
      <c r="DB192" s="283" t="s">
        <v>5792</v>
      </c>
      <c r="DC192" s="163" t="s">
        <v>4422</v>
      </c>
      <c r="DD192" s="163">
        <v>640</v>
      </c>
      <c r="DE192" s="32">
        <v>730</v>
      </c>
      <c r="DF192" s="163">
        <v>800</v>
      </c>
      <c r="DG192" s="32">
        <v>940</v>
      </c>
      <c r="DH192" s="67">
        <v>200000</v>
      </c>
      <c r="DI192" s="29" t="s">
        <v>5839</v>
      </c>
      <c r="DJ192" s="163" t="s">
        <v>4435</v>
      </c>
      <c r="DK192" s="297" t="s">
        <v>4566</v>
      </c>
    </row>
    <row r="193" spans="1:115">
      <c r="A193" s="306">
        <v>188</v>
      </c>
      <c r="B193" s="326"/>
      <c r="C193" s="326"/>
      <c r="D193" s="343"/>
      <c r="E193" s="343"/>
      <c r="F193" s="326"/>
      <c r="G193" s="337"/>
      <c r="H193" s="337"/>
      <c r="I193" s="337"/>
      <c r="J193" s="314" t="s">
        <v>4400</v>
      </c>
      <c r="K193" s="306" t="s">
        <v>4535</v>
      </c>
      <c r="L193" s="163" t="s">
        <v>6059</v>
      </c>
      <c r="M193" s="306" t="s">
        <v>4509</v>
      </c>
      <c r="N193" s="163" t="s">
        <v>4703</v>
      </c>
      <c r="O193" s="18" t="s">
        <v>4507</v>
      </c>
      <c r="P193" s="163" t="s">
        <v>6312</v>
      </c>
      <c r="Q193" s="163" t="s">
        <v>4420</v>
      </c>
      <c r="R193" s="163" t="s">
        <v>4420</v>
      </c>
      <c r="S193" s="163" t="s">
        <v>5792</v>
      </c>
      <c r="T193" s="163" t="s">
        <v>4420</v>
      </c>
      <c r="U193" s="163" t="s">
        <v>5792</v>
      </c>
      <c r="V193" s="32" t="s">
        <v>4559</v>
      </c>
      <c r="W193" s="73">
        <v>6</v>
      </c>
      <c r="X193" s="231">
        <v>0</v>
      </c>
      <c r="Y193" s="18">
        <v>0</v>
      </c>
      <c r="Z193" s="306" t="s">
        <v>5632</v>
      </c>
      <c r="AA193" s="21">
        <f t="shared" si="72"/>
        <v>304.79999999999995</v>
      </c>
      <c r="AB193" s="21">
        <f t="shared" si="73"/>
        <v>203.2</v>
      </c>
      <c r="AC193" s="21">
        <v>25.4</v>
      </c>
      <c r="AD193" s="21">
        <f t="shared" si="74"/>
        <v>9.5249999999999986</v>
      </c>
      <c r="AE193" s="21">
        <f t="shared" si="75"/>
        <v>1524</v>
      </c>
      <c r="AF193" s="306" t="s">
        <v>5634</v>
      </c>
      <c r="AG193" s="21">
        <f t="shared" ref="AG193:AG194" si="89">18*25.4</f>
        <v>457.2</v>
      </c>
      <c r="AH193" s="21">
        <f t="shared" ref="AH193:AH194" si="90">8*25.4</f>
        <v>203.2</v>
      </c>
      <c r="AI193" s="21">
        <f t="shared" ref="AI193:AI200" si="91">0.5*25.4</f>
        <v>12.7</v>
      </c>
      <c r="AJ193" s="21">
        <f t="shared" ref="AJ193:AJ200" si="92">0.25*25.4</f>
        <v>6.35</v>
      </c>
      <c r="AK193" s="21">
        <f t="shared" si="80"/>
        <v>1765.3</v>
      </c>
      <c r="AL193" s="21">
        <f t="shared" si="69"/>
        <v>297614140.79203296</v>
      </c>
      <c r="AM193" s="24">
        <f t="shared" si="70"/>
        <v>1443085.8234999981</v>
      </c>
      <c r="AN193" s="21">
        <f>0.5*25.4</f>
        <v>12.7</v>
      </c>
      <c r="AO193" s="21">
        <f t="shared" ref="AO193:AO194" si="93">8*25.4</f>
        <v>203.2</v>
      </c>
      <c r="AP193" s="21">
        <f t="shared" si="82"/>
        <v>457.2</v>
      </c>
      <c r="AQ193" s="21">
        <v>0</v>
      </c>
      <c r="AR193" s="21">
        <v>0</v>
      </c>
      <c r="AS193" s="306" t="s">
        <v>5807</v>
      </c>
      <c r="AT193" s="163" t="s">
        <v>5637</v>
      </c>
      <c r="AU193" s="21">
        <f t="shared" si="71"/>
        <v>191.744</v>
      </c>
      <c r="AV193" s="21">
        <v>25.4</v>
      </c>
      <c r="AW193" s="163">
        <v>428</v>
      </c>
      <c r="AX193" s="21">
        <f t="shared" ref="AX193:AY194" si="94">(1+7/8)*25.4</f>
        <v>47.625</v>
      </c>
      <c r="AY193" s="21">
        <f t="shared" si="94"/>
        <v>47.625</v>
      </c>
      <c r="AZ193" s="21">
        <f t="shared" ref="AZ193:BA194" si="95">3.5*25.4</f>
        <v>88.899999999999991</v>
      </c>
      <c r="BA193" s="21">
        <f t="shared" si="95"/>
        <v>88.899999999999991</v>
      </c>
      <c r="BB193" s="21">
        <f t="shared" si="85"/>
        <v>184.15</v>
      </c>
      <c r="BC193" s="15" t="s">
        <v>6312</v>
      </c>
      <c r="BD193" s="163" t="s">
        <v>4465</v>
      </c>
      <c r="BE193" s="163" t="s">
        <v>4465</v>
      </c>
      <c r="BF193" s="163">
        <v>4</v>
      </c>
      <c r="BG193" s="163">
        <v>8</v>
      </c>
      <c r="BH193" s="202" t="s">
        <v>5792</v>
      </c>
      <c r="BI193" s="203" t="s">
        <v>5792</v>
      </c>
      <c r="BJ193" s="203" t="s">
        <v>5792</v>
      </c>
      <c r="BK193" s="203" t="s">
        <v>5792</v>
      </c>
      <c r="BL193" s="203" t="s">
        <v>5792</v>
      </c>
      <c r="BM193" s="203" t="s">
        <v>5792</v>
      </c>
      <c r="BN193" s="203" t="s">
        <v>5792</v>
      </c>
      <c r="BO193" s="203" t="s">
        <v>5792</v>
      </c>
      <c r="BP193" s="202" t="s">
        <v>5792</v>
      </c>
      <c r="BQ193" s="203" t="s">
        <v>5792</v>
      </c>
      <c r="BR193" s="203" t="s">
        <v>5792</v>
      </c>
      <c r="BS193" s="203" t="s">
        <v>5792</v>
      </c>
      <c r="BT193" s="203" t="s">
        <v>5792</v>
      </c>
      <c r="BU193" s="203" t="s">
        <v>5792</v>
      </c>
      <c r="BV193" s="218" t="s">
        <v>5792</v>
      </c>
      <c r="BW193" s="203" t="s">
        <v>5792</v>
      </c>
      <c r="BX193" s="203" t="s">
        <v>5792</v>
      </c>
      <c r="BY193" s="203" t="s">
        <v>5792</v>
      </c>
      <c r="BZ193" s="203" t="s">
        <v>5792</v>
      </c>
      <c r="CA193" s="203" t="s">
        <v>5792</v>
      </c>
      <c r="CB193" s="218" t="s">
        <v>5792</v>
      </c>
      <c r="CC193" s="107" t="s">
        <v>4536</v>
      </c>
      <c r="CD193" s="60">
        <v>345</v>
      </c>
      <c r="CE193" s="33">
        <f t="shared" si="86"/>
        <v>379.50000000000006</v>
      </c>
      <c r="CF193" s="60">
        <v>450</v>
      </c>
      <c r="CG193" s="32">
        <v>495.00000000000006</v>
      </c>
      <c r="CH193" s="67">
        <v>200000</v>
      </c>
      <c r="CI193" s="107" t="s">
        <v>4536</v>
      </c>
      <c r="CJ193" s="60">
        <v>345</v>
      </c>
      <c r="CK193" s="33">
        <f t="shared" si="87"/>
        <v>379.50000000000006</v>
      </c>
      <c r="CL193" s="60">
        <v>450</v>
      </c>
      <c r="CM193" s="32">
        <v>495.00000000000006</v>
      </c>
      <c r="CN193" s="67">
        <v>200000</v>
      </c>
      <c r="CO193" s="107" t="s">
        <v>4536</v>
      </c>
      <c r="CP193" s="60">
        <v>345</v>
      </c>
      <c r="CQ193" s="21">
        <v>337.6</v>
      </c>
      <c r="CR193" s="60">
        <v>450</v>
      </c>
      <c r="CS193" s="32">
        <f t="shared" si="88"/>
        <v>495.00000000000006</v>
      </c>
      <c r="CT193" s="67">
        <v>200000</v>
      </c>
      <c r="CU193" s="207" t="s">
        <v>5792</v>
      </c>
      <c r="CV193" s="208" t="s">
        <v>5792</v>
      </c>
      <c r="CW193" s="208" t="s">
        <v>5792</v>
      </c>
      <c r="CX193" s="209" t="s">
        <v>5792</v>
      </c>
      <c r="CY193" s="207" t="s">
        <v>5792</v>
      </c>
      <c r="CZ193" s="208" t="s">
        <v>5792</v>
      </c>
      <c r="DA193" s="209" t="s">
        <v>5792</v>
      </c>
      <c r="DB193" s="283" t="s">
        <v>5792</v>
      </c>
      <c r="DC193" s="163" t="s">
        <v>4422</v>
      </c>
      <c r="DD193" s="163">
        <v>640</v>
      </c>
      <c r="DE193" s="32">
        <v>730</v>
      </c>
      <c r="DF193" s="163">
        <v>800</v>
      </c>
      <c r="DG193" s="32">
        <v>940</v>
      </c>
      <c r="DH193" s="67">
        <v>200000</v>
      </c>
      <c r="DI193" s="29" t="s">
        <v>5838</v>
      </c>
      <c r="DJ193" s="163" t="s">
        <v>4435</v>
      </c>
      <c r="DK193" s="297" t="s">
        <v>4566</v>
      </c>
    </row>
    <row r="194" spans="1:115">
      <c r="A194" s="306">
        <v>189</v>
      </c>
      <c r="B194" s="326"/>
      <c r="C194" s="326"/>
      <c r="D194" s="343"/>
      <c r="E194" s="343"/>
      <c r="F194" s="326"/>
      <c r="G194" s="337"/>
      <c r="H194" s="337"/>
      <c r="I194" s="337"/>
      <c r="J194" s="314" t="s">
        <v>4401</v>
      </c>
      <c r="K194" s="306" t="s">
        <v>4535</v>
      </c>
      <c r="L194" s="163" t="s">
        <v>6059</v>
      </c>
      <c r="M194" s="306" t="s">
        <v>4509</v>
      </c>
      <c r="N194" s="163" t="s">
        <v>4703</v>
      </c>
      <c r="O194" s="18" t="s">
        <v>4507</v>
      </c>
      <c r="P194" s="163" t="s">
        <v>6312</v>
      </c>
      <c r="Q194" s="163" t="s">
        <v>4420</v>
      </c>
      <c r="R194" s="163" t="s">
        <v>4420</v>
      </c>
      <c r="S194" s="163" t="s">
        <v>5792</v>
      </c>
      <c r="T194" s="163" t="s">
        <v>4420</v>
      </c>
      <c r="U194" s="163" t="s">
        <v>5792</v>
      </c>
      <c r="V194" s="32" t="s">
        <v>4559</v>
      </c>
      <c r="W194" s="73">
        <v>6</v>
      </c>
      <c r="X194" s="231">
        <v>0</v>
      </c>
      <c r="Y194" s="18">
        <v>0</v>
      </c>
      <c r="Z194" s="306" t="s">
        <v>5632</v>
      </c>
      <c r="AA194" s="21">
        <f t="shared" si="72"/>
        <v>304.79999999999995</v>
      </c>
      <c r="AB194" s="21">
        <f t="shared" si="73"/>
        <v>203.2</v>
      </c>
      <c r="AC194" s="21">
        <v>25.4</v>
      </c>
      <c r="AD194" s="21">
        <f t="shared" si="74"/>
        <v>9.5249999999999986</v>
      </c>
      <c r="AE194" s="21">
        <f t="shared" si="75"/>
        <v>1524</v>
      </c>
      <c r="AF194" s="306" t="s">
        <v>5634</v>
      </c>
      <c r="AG194" s="21">
        <f t="shared" si="89"/>
        <v>457.2</v>
      </c>
      <c r="AH194" s="21">
        <f t="shared" si="90"/>
        <v>203.2</v>
      </c>
      <c r="AI194" s="21">
        <f t="shared" si="91"/>
        <v>12.7</v>
      </c>
      <c r="AJ194" s="21">
        <f t="shared" si="92"/>
        <v>6.35</v>
      </c>
      <c r="AK194" s="21">
        <f t="shared" si="80"/>
        <v>1765.3</v>
      </c>
      <c r="AL194" s="21">
        <f t="shared" si="69"/>
        <v>297614140.79203296</v>
      </c>
      <c r="AM194" s="24">
        <f t="shared" si="70"/>
        <v>1443085.8234999981</v>
      </c>
      <c r="AN194" s="21">
        <f>3/4*25.4</f>
        <v>19.049999999999997</v>
      </c>
      <c r="AO194" s="21">
        <f t="shared" si="93"/>
        <v>203.2</v>
      </c>
      <c r="AP194" s="21">
        <f t="shared" si="82"/>
        <v>457.2</v>
      </c>
      <c r="AQ194" s="21">
        <v>0</v>
      </c>
      <c r="AR194" s="21">
        <v>0</v>
      </c>
      <c r="AS194" s="306" t="s">
        <v>5807</v>
      </c>
      <c r="AT194" s="163" t="s">
        <v>5637</v>
      </c>
      <c r="AU194" s="21">
        <f t="shared" si="71"/>
        <v>191.744</v>
      </c>
      <c r="AV194" s="21">
        <v>25.4</v>
      </c>
      <c r="AW194" s="163">
        <v>428</v>
      </c>
      <c r="AX194" s="21">
        <f t="shared" si="94"/>
        <v>47.625</v>
      </c>
      <c r="AY194" s="21">
        <f t="shared" si="94"/>
        <v>47.625</v>
      </c>
      <c r="AZ194" s="21">
        <f t="shared" si="95"/>
        <v>88.899999999999991</v>
      </c>
      <c r="BA194" s="21">
        <f t="shared" si="95"/>
        <v>88.899999999999991</v>
      </c>
      <c r="BB194" s="21">
        <f t="shared" si="85"/>
        <v>184.15</v>
      </c>
      <c r="BC194" s="15" t="s">
        <v>6312</v>
      </c>
      <c r="BD194" s="163" t="s">
        <v>4465</v>
      </c>
      <c r="BE194" s="163" t="s">
        <v>4465</v>
      </c>
      <c r="BF194" s="163">
        <v>4</v>
      </c>
      <c r="BG194" s="163">
        <v>8</v>
      </c>
      <c r="BH194" s="202" t="s">
        <v>5792</v>
      </c>
      <c r="BI194" s="203" t="s">
        <v>5792</v>
      </c>
      <c r="BJ194" s="203" t="s">
        <v>5792</v>
      </c>
      <c r="BK194" s="203" t="s">
        <v>5792</v>
      </c>
      <c r="BL194" s="203" t="s">
        <v>5792</v>
      </c>
      <c r="BM194" s="203" t="s">
        <v>5792</v>
      </c>
      <c r="BN194" s="203" t="s">
        <v>5792</v>
      </c>
      <c r="BO194" s="203" t="s">
        <v>5792</v>
      </c>
      <c r="BP194" s="202" t="s">
        <v>5792</v>
      </c>
      <c r="BQ194" s="203" t="s">
        <v>5792</v>
      </c>
      <c r="BR194" s="203" t="s">
        <v>5792</v>
      </c>
      <c r="BS194" s="203" t="s">
        <v>5792</v>
      </c>
      <c r="BT194" s="203" t="s">
        <v>5792</v>
      </c>
      <c r="BU194" s="203" t="s">
        <v>5792</v>
      </c>
      <c r="BV194" s="218" t="s">
        <v>5792</v>
      </c>
      <c r="BW194" s="203" t="s">
        <v>5792</v>
      </c>
      <c r="BX194" s="203" t="s">
        <v>5792</v>
      </c>
      <c r="BY194" s="203" t="s">
        <v>5792</v>
      </c>
      <c r="BZ194" s="203" t="s">
        <v>5792</v>
      </c>
      <c r="CA194" s="203" t="s">
        <v>5792</v>
      </c>
      <c r="CB194" s="218" t="s">
        <v>5792</v>
      </c>
      <c r="CC194" s="107" t="s">
        <v>4536</v>
      </c>
      <c r="CD194" s="60">
        <v>345</v>
      </c>
      <c r="CE194" s="33">
        <f t="shared" si="86"/>
        <v>379.50000000000006</v>
      </c>
      <c r="CF194" s="60">
        <v>450</v>
      </c>
      <c r="CG194" s="32">
        <v>495.00000000000006</v>
      </c>
      <c r="CH194" s="67">
        <v>200000</v>
      </c>
      <c r="CI194" s="107" t="s">
        <v>4536</v>
      </c>
      <c r="CJ194" s="60">
        <v>345</v>
      </c>
      <c r="CK194" s="33">
        <f t="shared" si="87"/>
        <v>379.50000000000006</v>
      </c>
      <c r="CL194" s="60">
        <v>450</v>
      </c>
      <c r="CM194" s="32">
        <v>495.00000000000006</v>
      </c>
      <c r="CN194" s="67">
        <v>200000</v>
      </c>
      <c r="CO194" s="107" t="s">
        <v>4536</v>
      </c>
      <c r="CP194" s="60">
        <v>345</v>
      </c>
      <c r="CQ194" s="33">
        <f t="shared" ref="CQ194" si="96">CP194*1.1</f>
        <v>379.50000000000006</v>
      </c>
      <c r="CR194" s="60">
        <v>450</v>
      </c>
      <c r="CS194" s="32">
        <f t="shared" si="88"/>
        <v>495.00000000000006</v>
      </c>
      <c r="CT194" s="67">
        <v>200000</v>
      </c>
      <c r="CU194" s="207" t="s">
        <v>5792</v>
      </c>
      <c r="CV194" s="208" t="s">
        <v>5792</v>
      </c>
      <c r="CW194" s="208" t="s">
        <v>5792</v>
      </c>
      <c r="CX194" s="209" t="s">
        <v>5792</v>
      </c>
      <c r="CY194" s="207" t="s">
        <v>5792</v>
      </c>
      <c r="CZ194" s="208" t="s">
        <v>5792</v>
      </c>
      <c r="DA194" s="209" t="s">
        <v>5792</v>
      </c>
      <c r="DB194" s="283" t="s">
        <v>5792</v>
      </c>
      <c r="DC194" s="163" t="s">
        <v>4422</v>
      </c>
      <c r="DD194" s="163">
        <v>640</v>
      </c>
      <c r="DE194" s="32">
        <v>730</v>
      </c>
      <c r="DF194" s="163">
        <v>800</v>
      </c>
      <c r="DG194" s="32">
        <v>940</v>
      </c>
      <c r="DH194" s="67">
        <v>200000</v>
      </c>
      <c r="DI194" s="29" t="s">
        <v>5838</v>
      </c>
      <c r="DJ194" s="163" t="s">
        <v>4435</v>
      </c>
      <c r="DK194" s="297" t="s">
        <v>4566</v>
      </c>
    </row>
    <row r="195" spans="1:115">
      <c r="A195" s="306">
        <v>190</v>
      </c>
      <c r="B195" s="326"/>
      <c r="C195" s="326"/>
      <c r="D195" s="343"/>
      <c r="E195" s="343"/>
      <c r="F195" s="326"/>
      <c r="G195" s="337"/>
      <c r="H195" s="337"/>
      <c r="I195" s="337"/>
      <c r="J195" s="314" t="s">
        <v>4402</v>
      </c>
      <c r="K195" s="306" t="s">
        <v>4535</v>
      </c>
      <c r="L195" s="163" t="s">
        <v>6059</v>
      </c>
      <c r="M195" s="306" t="s">
        <v>4509</v>
      </c>
      <c r="N195" s="163" t="s">
        <v>4703</v>
      </c>
      <c r="O195" s="18" t="s">
        <v>4507</v>
      </c>
      <c r="P195" s="163" t="s">
        <v>6312</v>
      </c>
      <c r="Q195" s="163" t="s">
        <v>4420</v>
      </c>
      <c r="R195" s="163" t="s">
        <v>4420</v>
      </c>
      <c r="S195" s="163" t="s">
        <v>5792</v>
      </c>
      <c r="T195" s="163" t="s">
        <v>4420</v>
      </c>
      <c r="U195" s="163" t="s">
        <v>5792</v>
      </c>
      <c r="V195" s="32" t="s">
        <v>4559</v>
      </c>
      <c r="W195" s="73">
        <v>6</v>
      </c>
      <c r="X195" s="231">
        <v>0</v>
      </c>
      <c r="Y195" s="18">
        <v>0</v>
      </c>
      <c r="Z195" s="306" t="s">
        <v>5632</v>
      </c>
      <c r="AA195" s="21">
        <f t="shared" si="72"/>
        <v>304.79999999999995</v>
      </c>
      <c r="AB195" s="21">
        <f t="shared" si="73"/>
        <v>203.2</v>
      </c>
      <c r="AC195" s="21">
        <v>25.4</v>
      </c>
      <c r="AD195" s="21">
        <f t="shared" si="74"/>
        <v>9.5249999999999986</v>
      </c>
      <c r="AE195" s="21">
        <f t="shared" si="75"/>
        <v>1524</v>
      </c>
      <c r="AF195" s="306" t="s">
        <v>5636</v>
      </c>
      <c r="AG195" s="21">
        <f>22*25.4</f>
        <v>558.79999999999995</v>
      </c>
      <c r="AH195" s="21">
        <f>6*25.4</f>
        <v>152.39999999999998</v>
      </c>
      <c r="AI195" s="21">
        <f t="shared" si="91"/>
        <v>12.7</v>
      </c>
      <c r="AJ195" s="21">
        <f t="shared" si="92"/>
        <v>6.35</v>
      </c>
      <c r="AK195" s="21">
        <f t="shared" si="80"/>
        <v>1765.3</v>
      </c>
      <c r="AL195" s="21">
        <f t="shared" si="69"/>
        <v>368963144.33029962</v>
      </c>
      <c r="AM195" s="24">
        <f t="shared" si="70"/>
        <v>1508634.0794999972</v>
      </c>
      <c r="AN195" s="21">
        <f>3/8*25.4</f>
        <v>9.5249999999999986</v>
      </c>
      <c r="AO195" s="21">
        <f>6*25.4</f>
        <v>152.39999999999998</v>
      </c>
      <c r="AP195" s="21">
        <f>22*25.4</f>
        <v>558.79999999999995</v>
      </c>
      <c r="AQ195" s="21">
        <v>0</v>
      </c>
      <c r="AR195" s="21">
        <v>0</v>
      </c>
      <c r="AS195" s="306" t="s">
        <v>5807</v>
      </c>
      <c r="AT195" s="163" t="s">
        <v>5637</v>
      </c>
      <c r="AU195" s="21">
        <f t="shared" si="71"/>
        <v>107.968</v>
      </c>
      <c r="AV195" s="21">
        <v>19.100000000000001</v>
      </c>
      <c r="AW195" s="163">
        <v>241</v>
      </c>
      <c r="AX195" s="21">
        <f t="shared" ref="AX195:AY197" si="97">(1+5/8)*25.4</f>
        <v>41.274999999999999</v>
      </c>
      <c r="AY195" s="21">
        <f t="shared" si="97"/>
        <v>41.274999999999999</v>
      </c>
      <c r="AZ195" s="21">
        <f>3*25.4</f>
        <v>76.199999999999989</v>
      </c>
      <c r="BA195" s="21">
        <f>3*25.4</f>
        <v>76.199999999999989</v>
      </c>
      <c r="BB195" s="21">
        <f t="shared" si="85"/>
        <v>323.85000000000002</v>
      </c>
      <c r="BC195" s="15" t="s">
        <v>6312</v>
      </c>
      <c r="BD195" s="163" t="s">
        <v>4465</v>
      </c>
      <c r="BE195" s="163" t="s">
        <v>4465</v>
      </c>
      <c r="BF195" s="163">
        <v>4</v>
      </c>
      <c r="BG195" s="163">
        <v>8</v>
      </c>
      <c r="BH195" s="202" t="s">
        <v>5792</v>
      </c>
      <c r="BI195" s="203" t="s">
        <v>5792</v>
      </c>
      <c r="BJ195" s="203" t="s">
        <v>5792</v>
      </c>
      <c r="BK195" s="203" t="s">
        <v>5792</v>
      </c>
      <c r="BL195" s="203" t="s">
        <v>5792</v>
      </c>
      <c r="BM195" s="203" t="s">
        <v>5792</v>
      </c>
      <c r="BN195" s="203" t="s">
        <v>5792</v>
      </c>
      <c r="BO195" s="203" t="s">
        <v>5792</v>
      </c>
      <c r="BP195" s="202" t="s">
        <v>5792</v>
      </c>
      <c r="BQ195" s="203" t="s">
        <v>5792</v>
      </c>
      <c r="BR195" s="203" t="s">
        <v>5792</v>
      </c>
      <c r="BS195" s="203" t="s">
        <v>5792</v>
      </c>
      <c r="BT195" s="203" t="s">
        <v>5792</v>
      </c>
      <c r="BU195" s="203" t="s">
        <v>5792</v>
      </c>
      <c r="BV195" s="218" t="s">
        <v>5792</v>
      </c>
      <c r="BW195" s="203" t="s">
        <v>5792</v>
      </c>
      <c r="BX195" s="203" t="s">
        <v>5792</v>
      </c>
      <c r="BY195" s="203" t="s">
        <v>5792</v>
      </c>
      <c r="BZ195" s="203" t="s">
        <v>5792</v>
      </c>
      <c r="CA195" s="203" t="s">
        <v>5792</v>
      </c>
      <c r="CB195" s="218" t="s">
        <v>5792</v>
      </c>
      <c r="CC195" s="107" t="s">
        <v>4536</v>
      </c>
      <c r="CD195" s="60">
        <v>345</v>
      </c>
      <c r="CE195" s="33">
        <f t="shared" si="86"/>
        <v>379.50000000000006</v>
      </c>
      <c r="CF195" s="60">
        <v>450</v>
      </c>
      <c r="CG195" s="32">
        <v>495.00000000000006</v>
      </c>
      <c r="CH195" s="67">
        <v>200000</v>
      </c>
      <c r="CI195" s="107" t="s">
        <v>4536</v>
      </c>
      <c r="CJ195" s="60">
        <v>345</v>
      </c>
      <c r="CK195" s="33">
        <f t="shared" si="87"/>
        <v>379.50000000000006</v>
      </c>
      <c r="CL195" s="60">
        <v>450</v>
      </c>
      <c r="CM195" s="32">
        <v>495.00000000000006</v>
      </c>
      <c r="CN195" s="67">
        <v>200000</v>
      </c>
      <c r="CO195" s="107" t="s">
        <v>4536</v>
      </c>
      <c r="CP195" s="60">
        <v>345</v>
      </c>
      <c r="CQ195" s="21">
        <v>351.4</v>
      </c>
      <c r="CR195" s="60">
        <v>450</v>
      </c>
      <c r="CS195" s="32">
        <f t="shared" si="88"/>
        <v>495.00000000000006</v>
      </c>
      <c r="CT195" s="67">
        <v>200000</v>
      </c>
      <c r="CU195" s="207" t="s">
        <v>5792</v>
      </c>
      <c r="CV195" s="208" t="s">
        <v>5792</v>
      </c>
      <c r="CW195" s="208" t="s">
        <v>5792</v>
      </c>
      <c r="CX195" s="209" t="s">
        <v>5792</v>
      </c>
      <c r="CY195" s="207" t="s">
        <v>5792</v>
      </c>
      <c r="CZ195" s="208" t="s">
        <v>5792</v>
      </c>
      <c r="DA195" s="209" t="s">
        <v>5792</v>
      </c>
      <c r="DB195" s="283" t="s">
        <v>5792</v>
      </c>
      <c r="DC195" s="163" t="s">
        <v>4422</v>
      </c>
      <c r="DD195" s="163">
        <v>640</v>
      </c>
      <c r="DE195" s="32">
        <v>730</v>
      </c>
      <c r="DF195" s="163">
        <v>800</v>
      </c>
      <c r="DG195" s="32">
        <v>940</v>
      </c>
      <c r="DH195" s="67">
        <v>200000</v>
      </c>
      <c r="DI195" s="29" t="s">
        <v>5839</v>
      </c>
      <c r="DJ195" s="163" t="s">
        <v>4435</v>
      </c>
      <c r="DK195" s="297" t="s">
        <v>4566</v>
      </c>
    </row>
    <row r="196" spans="1:115">
      <c r="A196" s="306">
        <v>191</v>
      </c>
      <c r="B196" s="326"/>
      <c r="C196" s="326"/>
      <c r="D196" s="343"/>
      <c r="E196" s="343"/>
      <c r="F196" s="326"/>
      <c r="G196" s="337"/>
      <c r="H196" s="337"/>
      <c r="I196" s="337"/>
      <c r="J196" s="314" t="s">
        <v>4403</v>
      </c>
      <c r="K196" s="306" t="s">
        <v>4535</v>
      </c>
      <c r="L196" s="163" t="s">
        <v>6059</v>
      </c>
      <c r="M196" s="306" t="s">
        <v>4509</v>
      </c>
      <c r="N196" s="163" t="s">
        <v>4703</v>
      </c>
      <c r="O196" s="18" t="s">
        <v>4507</v>
      </c>
      <c r="P196" s="163" t="s">
        <v>6312</v>
      </c>
      <c r="Q196" s="163" t="s">
        <v>4420</v>
      </c>
      <c r="R196" s="163" t="s">
        <v>4420</v>
      </c>
      <c r="S196" s="163" t="s">
        <v>5792</v>
      </c>
      <c r="T196" s="163" t="s">
        <v>4420</v>
      </c>
      <c r="U196" s="163" t="s">
        <v>5792</v>
      </c>
      <c r="V196" s="32" t="s">
        <v>4559</v>
      </c>
      <c r="W196" s="73">
        <v>6</v>
      </c>
      <c r="X196" s="231">
        <v>0</v>
      </c>
      <c r="Y196" s="18">
        <v>0</v>
      </c>
      <c r="Z196" s="306" t="s">
        <v>5632</v>
      </c>
      <c r="AA196" s="21">
        <f t="shared" si="72"/>
        <v>304.79999999999995</v>
      </c>
      <c r="AB196" s="21">
        <f t="shared" si="73"/>
        <v>203.2</v>
      </c>
      <c r="AC196" s="21">
        <v>25.4</v>
      </c>
      <c r="AD196" s="21">
        <f t="shared" si="74"/>
        <v>9.5249999999999986</v>
      </c>
      <c r="AE196" s="21">
        <f t="shared" si="75"/>
        <v>1524</v>
      </c>
      <c r="AF196" s="306" t="s">
        <v>5636</v>
      </c>
      <c r="AG196" s="21">
        <f t="shared" ref="AG196:AG200" si="98">22*25.4</f>
        <v>558.79999999999995</v>
      </c>
      <c r="AH196" s="21">
        <f t="shared" ref="AH196:AH197" si="99">6*25.4</f>
        <v>152.39999999999998</v>
      </c>
      <c r="AI196" s="21">
        <f t="shared" si="91"/>
        <v>12.7</v>
      </c>
      <c r="AJ196" s="21">
        <f t="shared" si="92"/>
        <v>6.35</v>
      </c>
      <c r="AK196" s="21">
        <f t="shared" si="80"/>
        <v>1765.3</v>
      </c>
      <c r="AL196" s="21">
        <f t="shared" si="69"/>
        <v>368963144.33029962</v>
      </c>
      <c r="AM196" s="24">
        <f t="shared" si="70"/>
        <v>1508634.0794999972</v>
      </c>
      <c r="AN196" s="21">
        <f>0.5*25.4</f>
        <v>12.7</v>
      </c>
      <c r="AO196" s="21">
        <f t="shared" ref="AO196:AO197" si="100">6*25.4</f>
        <v>152.39999999999998</v>
      </c>
      <c r="AP196" s="21">
        <f t="shared" ref="AP196:AP200" si="101">22*25.4</f>
        <v>558.79999999999995</v>
      </c>
      <c r="AQ196" s="21">
        <v>0</v>
      </c>
      <c r="AR196" s="21">
        <v>0</v>
      </c>
      <c r="AS196" s="306" t="s">
        <v>5807</v>
      </c>
      <c r="AT196" s="163" t="s">
        <v>5637</v>
      </c>
      <c r="AU196" s="21">
        <f t="shared" si="71"/>
        <v>107.968</v>
      </c>
      <c r="AV196" s="21">
        <v>19.100000000000001</v>
      </c>
      <c r="AW196" s="163">
        <v>241</v>
      </c>
      <c r="AX196" s="21">
        <f t="shared" si="97"/>
        <v>41.274999999999999</v>
      </c>
      <c r="AY196" s="21">
        <f t="shared" si="97"/>
        <v>41.274999999999999</v>
      </c>
      <c r="AZ196" s="21">
        <f t="shared" ref="AZ196:BA197" si="102">3*25.4</f>
        <v>76.199999999999989</v>
      </c>
      <c r="BA196" s="21">
        <f t="shared" si="102"/>
        <v>76.199999999999989</v>
      </c>
      <c r="BB196" s="21">
        <f t="shared" si="85"/>
        <v>323.85000000000002</v>
      </c>
      <c r="BC196" s="15" t="s">
        <v>6312</v>
      </c>
      <c r="BD196" s="163" t="s">
        <v>4465</v>
      </c>
      <c r="BE196" s="163" t="s">
        <v>4465</v>
      </c>
      <c r="BF196" s="163">
        <v>4</v>
      </c>
      <c r="BG196" s="163">
        <v>8</v>
      </c>
      <c r="BH196" s="202" t="s">
        <v>5792</v>
      </c>
      <c r="BI196" s="203" t="s">
        <v>5792</v>
      </c>
      <c r="BJ196" s="203" t="s">
        <v>5792</v>
      </c>
      <c r="BK196" s="203" t="s">
        <v>5792</v>
      </c>
      <c r="BL196" s="203" t="s">
        <v>5792</v>
      </c>
      <c r="BM196" s="203" t="s">
        <v>5792</v>
      </c>
      <c r="BN196" s="203" t="s">
        <v>5792</v>
      </c>
      <c r="BO196" s="203" t="s">
        <v>5792</v>
      </c>
      <c r="BP196" s="202" t="s">
        <v>5792</v>
      </c>
      <c r="BQ196" s="203" t="s">
        <v>5792</v>
      </c>
      <c r="BR196" s="203" t="s">
        <v>5792</v>
      </c>
      <c r="BS196" s="203" t="s">
        <v>5792</v>
      </c>
      <c r="BT196" s="203" t="s">
        <v>5792</v>
      </c>
      <c r="BU196" s="203" t="s">
        <v>5792</v>
      </c>
      <c r="BV196" s="218" t="s">
        <v>5792</v>
      </c>
      <c r="BW196" s="203" t="s">
        <v>5792</v>
      </c>
      <c r="BX196" s="203" t="s">
        <v>5792</v>
      </c>
      <c r="BY196" s="203" t="s">
        <v>5792</v>
      </c>
      <c r="BZ196" s="203" t="s">
        <v>5792</v>
      </c>
      <c r="CA196" s="203" t="s">
        <v>5792</v>
      </c>
      <c r="CB196" s="218" t="s">
        <v>5792</v>
      </c>
      <c r="CC196" s="107" t="s">
        <v>4536</v>
      </c>
      <c r="CD196" s="60">
        <v>345</v>
      </c>
      <c r="CE196" s="33">
        <f t="shared" si="86"/>
        <v>379.50000000000006</v>
      </c>
      <c r="CF196" s="60">
        <v>450</v>
      </c>
      <c r="CG196" s="32">
        <v>495.00000000000006</v>
      </c>
      <c r="CH196" s="67">
        <v>200000</v>
      </c>
      <c r="CI196" s="107" t="s">
        <v>4536</v>
      </c>
      <c r="CJ196" s="60">
        <v>345</v>
      </c>
      <c r="CK196" s="33">
        <f t="shared" si="87"/>
        <v>379.50000000000006</v>
      </c>
      <c r="CL196" s="60">
        <v>450</v>
      </c>
      <c r="CM196" s="32">
        <v>495.00000000000006</v>
      </c>
      <c r="CN196" s="67">
        <v>200000</v>
      </c>
      <c r="CO196" s="107" t="s">
        <v>4536</v>
      </c>
      <c r="CP196" s="60">
        <v>345</v>
      </c>
      <c r="CQ196" s="21">
        <v>361.7</v>
      </c>
      <c r="CR196" s="60">
        <v>450</v>
      </c>
      <c r="CS196" s="32">
        <f t="shared" si="88"/>
        <v>495.00000000000006</v>
      </c>
      <c r="CT196" s="67">
        <v>200000</v>
      </c>
      <c r="CU196" s="207" t="s">
        <v>5792</v>
      </c>
      <c r="CV196" s="208" t="s">
        <v>5792</v>
      </c>
      <c r="CW196" s="208" t="s">
        <v>5792</v>
      </c>
      <c r="CX196" s="209" t="s">
        <v>5792</v>
      </c>
      <c r="CY196" s="207" t="s">
        <v>5792</v>
      </c>
      <c r="CZ196" s="208" t="s">
        <v>5792</v>
      </c>
      <c r="DA196" s="209" t="s">
        <v>5792</v>
      </c>
      <c r="DB196" s="283" t="s">
        <v>5792</v>
      </c>
      <c r="DC196" s="163" t="s">
        <v>4422</v>
      </c>
      <c r="DD196" s="163">
        <v>640</v>
      </c>
      <c r="DE196" s="32">
        <v>730</v>
      </c>
      <c r="DF196" s="163">
        <v>800</v>
      </c>
      <c r="DG196" s="32">
        <v>940</v>
      </c>
      <c r="DH196" s="67">
        <v>200000</v>
      </c>
      <c r="DI196" s="29" t="s">
        <v>5838</v>
      </c>
      <c r="DJ196" s="163" t="s">
        <v>4435</v>
      </c>
      <c r="DK196" s="297" t="s">
        <v>4566</v>
      </c>
    </row>
    <row r="197" spans="1:115">
      <c r="A197" s="306">
        <v>192</v>
      </c>
      <c r="B197" s="326"/>
      <c r="C197" s="326"/>
      <c r="D197" s="343"/>
      <c r="E197" s="343"/>
      <c r="F197" s="326"/>
      <c r="G197" s="337"/>
      <c r="H197" s="337"/>
      <c r="I197" s="337"/>
      <c r="J197" s="314" t="s">
        <v>4404</v>
      </c>
      <c r="K197" s="306" t="s">
        <v>4535</v>
      </c>
      <c r="L197" s="163" t="s">
        <v>6059</v>
      </c>
      <c r="M197" s="306" t="s">
        <v>4509</v>
      </c>
      <c r="N197" s="163" t="s">
        <v>4703</v>
      </c>
      <c r="O197" s="18" t="s">
        <v>4507</v>
      </c>
      <c r="P197" s="163" t="s">
        <v>6312</v>
      </c>
      <c r="Q197" s="163" t="s">
        <v>4420</v>
      </c>
      <c r="R197" s="163" t="s">
        <v>4420</v>
      </c>
      <c r="S197" s="163" t="s">
        <v>5792</v>
      </c>
      <c r="T197" s="163" t="s">
        <v>4420</v>
      </c>
      <c r="U197" s="163" t="s">
        <v>5792</v>
      </c>
      <c r="V197" s="32" t="s">
        <v>4559</v>
      </c>
      <c r="W197" s="73">
        <v>6</v>
      </c>
      <c r="X197" s="231">
        <v>0</v>
      </c>
      <c r="Y197" s="18">
        <v>0</v>
      </c>
      <c r="Z197" s="306" t="s">
        <v>5632</v>
      </c>
      <c r="AA197" s="21">
        <f t="shared" si="72"/>
        <v>304.79999999999995</v>
      </c>
      <c r="AB197" s="21">
        <f t="shared" si="73"/>
        <v>203.2</v>
      </c>
      <c r="AC197" s="21">
        <v>25.4</v>
      </c>
      <c r="AD197" s="21">
        <f t="shared" si="74"/>
        <v>9.5249999999999986</v>
      </c>
      <c r="AE197" s="21">
        <f t="shared" si="75"/>
        <v>1524</v>
      </c>
      <c r="AF197" s="306" t="s">
        <v>5636</v>
      </c>
      <c r="AG197" s="21">
        <f t="shared" si="98"/>
        <v>558.79999999999995</v>
      </c>
      <c r="AH197" s="21">
        <f t="shared" si="99"/>
        <v>152.39999999999998</v>
      </c>
      <c r="AI197" s="21">
        <f t="shared" si="91"/>
        <v>12.7</v>
      </c>
      <c r="AJ197" s="21">
        <f t="shared" si="92"/>
        <v>6.35</v>
      </c>
      <c r="AK197" s="21">
        <f t="shared" si="80"/>
        <v>1765.3</v>
      </c>
      <c r="AL197" s="21">
        <f t="shared" si="69"/>
        <v>368963144.33029962</v>
      </c>
      <c r="AM197" s="24">
        <f t="shared" si="70"/>
        <v>1508634.0794999972</v>
      </c>
      <c r="AN197" s="21">
        <f>5/8*25.4</f>
        <v>15.875</v>
      </c>
      <c r="AO197" s="21">
        <f t="shared" si="100"/>
        <v>152.39999999999998</v>
      </c>
      <c r="AP197" s="21">
        <f t="shared" si="101"/>
        <v>558.79999999999995</v>
      </c>
      <c r="AQ197" s="21">
        <v>0</v>
      </c>
      <c r="AR197" s="21">
        <v>0</v>
      </c>
      <c r="AS197" s="306" t="s">
        <v>5807</v>
      </c>
      <c r="AT197" s="163" t="s">
        <v>5637</v>
      </c>
      <c r="AU197" s="21">
        <f t="shared" si="71"/>
        <v>107.968</v>
      </c>
      <c r="AV197" s="21">
        <v>19.100000000000001</v>
      </c>
      <c r="AW197" s="163">
        <v>241</v>
      </c>
      <c r="AX197" s="21">
        <f t="shared" si="97"/>
        <v>41.274999999999999</v>
      </c>
      <c r="AY197" s="21">
        <f t="shared" si="97"/>
        <v>41.274999999999999</v>
      </c>
      <c r="AZ197" s="21">
        <f t="shared" si="102"/>
        <v>76.199999999999989</v>
      </c>
      <c r="BA197" s="21">
        <f t="shared" si="102"/>
        <v>76.199999999999989</v>
      </c>
      <c r="BB197" s="21">
        <f t="shared" si="85"/>
        <v>323.85000000000002</v>
      </c>
      <c r="BC197" s="15" t="s">
        <v>6312</v>
      </c>
      <c r="BD197" s="163" t="s">
        <v>4465</v>
      </c>
      <c r="BE197" s="163" t="s">
        <v>4465</v>
      </c>
      <c r="BF197" s="163">
        <v>4</v>
      </c>
      <c r="BG197" s="163">
        <v>8</v>
      </c>
      <c r="BH197" s="202" t="s">
        <v>5792</v>
      </c>
      <c r="BI197" s="203" t="s">
        <v>5792</v>
      </c>
      <c r="BJ197" s="203" t="s">
        <v>5792</v>
      </c>
      <c r="BK197" s="203" t="s">
        <v>5792</v>
      </c>
      <c r="BL197" s="203" t="s">
        <v>5792</v>
      </c>
      <c r="BM197" s="203" t="s">
        <v>5792</v>
      </c>
      <c r="BN197" s="203" t="s">
        <v>5792</v>
      </c>
      <c r="BO197" s="203" t="s">
        <v>5792</v>
      </c>
      <c r="BP197" s="202" t="s">
        <v>5792</v>
      </c>
      <c r="BQ197" s="203" t="s">
        <v>5792</v>
      </c>
      <c r="BR197" s="203" t="s">
        <v>5792</v>
      </c>
      <c r="BS197" s="203" t="s">
        <v>5792</v>
      </c>
      <c r="BT197" s="203" t="s">
        <v>5792</v>
      </c>
      <c r="BU197" s="203" t="s">
        <v>5792</v>
      </c>
      <c r="BV197" s="218" t="s">
        <v>5792</v>
      </c>
      <c r="BW197" s="203" t="s">
        <v>5792</v>
      </c>
      <c r="BX197" s="203" t="s">
        <v>5792</v>
      </c>
      <c r="BY197" s="203" t="s">
        <v>5792</v>
      </c>
      <c r="BZ197" s="203" t="s">
        <v>5792</v>
      </c>
      <c r="CA197" s="203" t="s">
        <v>5792</v>
      </c>
      <c r="CB197" s="218" t="s">
        <v>5792</v>
      </c>
      <c r="CC197" s="107" t="s">
        <v>4536</v>
      </c>
      <c r="CD197" s="60">
        <v>345</v>
      </c>
      <c r="CE197" s="33">
        <f t="shared" si="86"/>
        <v>379.50000000000006</v>
      </c>
      <c r="CF197" s="60">
        <v>450</v>
      </c>
      <c r="CG197" s="32">
        <v>495.00000000000006</v>
      </c>
      <c r="CH197" s="67">
        <v>200000</v>
      </c>
      <c r="CI197" s="107" t="s">
        <v>4536</v>
      </c>
      <c r="CJ197" s="60">
        <v>345</v>
      </c>
      <c r="CK197" s="33">
        <f t="shared" si="87"/>
        <v>379.50000000000006</v>
      </c>
      <c r="CL197" s="60">
        <v>450</v>
      </c>
      <c r="CM197" s="32">
        <v>495.00000000000006</v>
      </c>
      <c r="CN197" s="67">
        <v>200000</v>
      </c>
      <c r="CO197" s="107" t="s">
        <v>4536</v>
      </c>
      <c r="CP197" s="60">
        <v>345</v>
      </c>
      <c r="CQ197" s="21">
        <v>378.9</v>
      </c>
      <c r="CR197" s="60">
        <v>450</v>
      </c>
      <c r="CS197" s="32">
        <f t="shared" si="88"/>
        <v>495.00000000000006</v>
      </c>
      <c r="CT197" s="67">
        <v>200000</v>
      </c>
      <c r="CU197" s="207" t="s">
        <v>5792</v>
      </c>
      <c r="CV197" s="208" t="s">
        <v>5792</v>
      </c>
      <c r="CW197" s="208" t="s">
        <v>5792</v>
      </c>
      <c r="CX197" s="209" t="s">
        <v>5792</v>
      </c>
      <c r="CY197" s="207" t="s">
        <v>5792</v>
      </c>
      <c r="CZ197" s="208" t="s">
        <v>5792</v>
      </c>
      <c r="DA197" s="209" t="s">
        <v>5792</v>
      </c>
      <c r="DB197" s="283" t="s">
        <v>5792</v>
      </c>
      <c r="DC197" s="163" t="s">
        <v>4422</v>
      </c>
      <c r="DD197" s="163">
        <v>640</v>
      </c>
      <c r="DE197" s="32">
        <v>730</v>
      </c>
      <c r="DF197" s="163">
        <v>800</v>
      </c>
      <c r="DG197" s="32">
        <v>940</v>
      </c>
      <c r="DH197" s="67">
        <v>200000</v>
      </c>
      <c r="DI197" s="29" t="s">
        <v>5838</v>
      </c>
      <c r="DJ197" s="163" t="s">
        <v>4435</v>
      </c>
      <c r="DK197" s="297" t="s">
        <v>4566</v>
      </c>
    </row>
    <row r="198" spans="1:115">
      <c r="A198" s="306">
        <v>193</v>
      </c>
      <c r="B198" s="326"/>
      <c r="C198" s="326"/>
      <c r="D198" s="343"/>
      <c r="E198" s="343"/>
      <c r="F198" s="326"/>
      <c r="G198" s="337"/>
      <c r="H198" s="337"/>
      <c r="I198" s="337"/>
      <c r="J198" s="314" t="s">
        <v>4405</v>
      </c>
      <c r="K198" s="306" t="s">
        <v>4535</v>
      </c>
      <c r="L198" s="163" t="s">
        <v>6059</v>
      </c>
      <c r="M198" s="306" t="s">
        <v>4509</v>
      </c>
      <c r="N198" s="163" t="s">
        <v>4703</v>
      </c>
      <c r="O198" s="18" t="s">
        <v>4507</v>
      </c>
      <c r="P198" s="163" t="s">
        <v>6312</v>
      </c>
      <c r="Q198" s="163" t="s">
        <v>4420</v>
      </c>
      <c r="R198" s="163" t="s">
        <v>4420</v>
      </c>
      <c r="S198" s="163" t="s">
        <v>5792</v>
      </c>
      <c r="T198" s="163" t="s">
        <v>4420</v>
      </c>
      <c r="U198" s="163" t="s">
        <v>5792</v>
      </c>
      <c r="V198" s="32" t="s">
        <v>4559</v>
      </c>
      <c r="W198" s="73">
        <v>6</v>
      </c>
      <c r="X198" s="231">
        <v>0</v>
      </c>
      <c r="Y198" s="18">
        <v>0</v>
      </c>
      <c r="Z198" s="306" t="s">
        <v>5632</v>
      </c>
      <c r="AA198" s="21">
        <f t="shared" si="72"/>
        <v>304.79999999999995</v>
      </c>
      <c r="AB198" s="21">
        <f t="shared" si="73"/>
        <v>203.2</v>
      </c>
      <c r="AC198" s="21">
        <v>25.4</v>
      </c>
      <c r="AD198" s="21">
        <f t="shared" si="74"/>
        <v>9.5249999999999986</v>
      </c>
      <c r="AE198" s="21">
        <f t="shared" si="75"/>
        <v>1524</v>
      </c>
      <c r="AF198" s="306" t="s">
        <v>5635</v>
      </c>
      <c r="AG198" s="21">
        <f t="shared" si="98"/>
        <v>558.79999999999995</v>
      </c>
      <c r="AH198" s="21">
        <f t="shared" ref="AH198:AH200" si="103">8*25.4</f>
        <v>203.2</v>
      </c>
      <c r="AI198" s="21">
        <f t="shared" si="91"/>
        <v>12.7</v>
      </c>
      <c r="AJ198" s="21">
        <f t="shared" si="92"/>
        <v>6.35</v>
      </c>
      <c r="AK198" s="21">
        <f t="shared" si="80"/>
        <v>1765.3</v>
      </c>
      <c r="AL198" s="21">
        <f t="shared" si="69"/>
        <v>465181975.5481658</v>
      </c>
      <c r="AM198" s="24">
        <f t="shared" si="70"/>
        <v>1860955.9554999955</v>
      </c>
      <c r="AN198" s="21">
        <f>3/8*25.4</f>
        <v>9.5249999999999986</v>
      </c>
      <c r="AO198" s="21">
        <f>8*25.4</f>
        <v>203.2</v>
      </c>
      <c r="AP198" s="21">
        <f t="shared" si="101"/>
        <v>558.79999999999995</v>
      </c>
      <c r="AQ198" s="21">
        <v>0</v>
      </c>
      <c r="AR198" s="21">
        <v>0</v>
      </c>
      <c r="AS198" s="306" t="s">
        <v>5807</v>
      </c>
      <c r="AT198" s="163" t="s">
        <v>5637</v>
      </c>
      <c r="AU198" s="21">
        <f t="shared" si="71"/>
        <v>191.744</v>
      </c>
      <c r="AV198" s="21">
        <v>25.4</v>
      </c>
      <c r="AW198" s="163">
        <v>428</v>
      </c>
      <c r="AX198" s="21">
        <f>(1+7/8)*25.4</f>
        <v>47.625</v>
      </c>
      <c r="AY198" s="21">
        <f>(1+7/8)*25.4</f>
        <v>47.625</v>
      </c>
      <c r="AZ198" s="21">
        <f>3.5*25.4</f>
        <v>88.899999999999991</v>
      </c>
      <c r="BA198" s="21">
        <f>3.5*25.4</f>
        <v>88.899999999999991</v>
      </c>
      <c r="BB198" s="21">
        <f t="shared" si="85"/>
        <v>285.75</v>
      </c>
      <c r="BC198" s="15" t="s">
        <v>6312</v>
      </c>
      <c r="BD198" s="163" t="s">
        <v>4465</v>
      </c>
      <c r="BE198" s="163" t="s">
        <v>4465</v>
      </c>
      <c r="BF198" s="163">
        <v>4</v>
      </c>
      <c r="BG198" s="163">
        <v>8</v>
      </c>
      <c r="BH198" s="202" t="s">
        <v>5792</v>
      </c>
      <c r="BI198" s="203" t="s">
        <v>5792</v>
      </c>
      <c r="BJ198" s="203" t="s">
        <v>5792</v>
      </c>
      <c r="BK198" s="203" t="s">
        <v>5792</v>
      </c>
      <c r="BL198" s="203" t="s">
        <v>5792</v>
      </c>
      <c r="BM198" s="203" t="s">
        <v>5792</v>
      </c>
      <c r="BN198" s="203" t="s">
        <v>5792</v>
      </c>
      <c r="BO198" s="203" t="s">
        <v>5792</v>
      </c>
      <c r="BP198" s="202" t="s">
        <v>5792</v>
      </c>
      <c r="BQ198" s="203" t="s">
        <v>5792</v>
      </c>
      <c r="BR198" s="203" t="s">
        <v>5792</v>
      </c>
      <c r="BS198" s="203" t="s">
        <v>5792</v>
      </c>
      <c r="BT198" s="203" t="s">
        <v>5792</v>
      </c>
      <c r="BU198" s="203" t="s">
        <v>5792</v>
      </c>
      <c r="BV198" s="218" t="s">
        <v>5792</v>
      </c>
      <c r="BW198" s="203" t="s">
        <v>5792</v>
      </c>
      <c r="BX198" s="203" t="s">
        <v>5792</v>
      </c>
      <c r="BY198" s="203" t="s">
        <v>5792</v>
      </c>
      <c r="BZ198" s="203" t="s">
        <v>5792</v>
      </c>
      <c r="CA198" s="203" t="s">
        <v>5792</v>
      </c>
      <c r="CB198" s="218" t="s">
        <v>5792</v>
      </c>
      <c r="CC198" s="107" t="s">
        <v>4536</v>
      </c>
      <c r="CD198" s="60">
        <v>345</v>
      </c>
      <c r="CE198" s="33">
        <f t="shared" si="86"/>
        <v>379.50000000000006</v>
      </c>
      <c r="CF198" s="60">
        <v>450</v>
      </c>
      <c r="CG198" s="32">
        <v>495.00000000000006</v>
      </c>
      <c r="CH198" s="67">
        <v>200000</v>
      </c>
      <c r="CI198" s="107" t="s">
        <v>4536</v>
      </c>
      <c r="CJ198" s="60">
        <v>345</v>
      </c>
      <c r="CK198" s="33">
        <f t="shared" si="87"/>
        <v>379.50000000000006</v>
      </c>
      <c r="CL198" s="60">
        <v>450</v>
      </c>
      <c r="CM198" s="32">
        <v>495.00000000000006</v>
      </c>
      <c r="CN198" s="67">
        <v>200000</v>
      </c>
      <c r="CO198" s="107" t="s">
        <v>4536</v>
      </c>
      <c r="CP198" s="60">
        <v>345</v>
      </c>
      <c r="CQ198" s="21">
        <v>350</v>
      </c>
      <c r="CR198" s="60">
        <v>450</v>
      </c>
      <c r="CS198" s="32">
        <f t="shared" si="88"/>
        <v>495.00000000000006</v>
      </c>
      <c r="CT198" s="67">
        <v>200000</v>
      </c>
      <c r="CU198" s="207" t="s">
        <v>5792</v>
      </c>
      <c r="CV198" s="208" t="s">
        <v>5792</v>
      </c>
      <c r="CW198" s="208" t="s">
        <v>5792</v>
      </c>
      <c r="CX198" s="209" t="s">
        <v>5792</v>
      </c>
      <c r="CY198" s="207" t="s">
        <v>5792</v>
      </c>
      <c r="CZ198" s="208" t="s">
        <v>5792</v>
      </c>
      <c r="DA198" s="209" t="s">
        <v>5792</v>
      </c>
      <c r="DB198" s="283" t="s">
        <v>5792</v>
      </c>
      <c r="DC198" s="163" t="s">
        <v>4422</v>
      </c>
      <c r="DD198" s="163">
        <v>640</v>
      </c>
      <c r="DE198" s="32">
        <v>730</v>
      </c>
      <c r="DF198" s="163">
        <v>800</v>
      </c>
      <c r="DG198" s="32">
        <v>940</v>
      </c>
      <c r="DH198" s="67">
        <v>200000</v>
      </c>
      <c r="DI198" s="29" t="s">
        <v>4770</v>
      </c>
      <c r="DJ198" s="163" t="s">
        <v>4435</v>
      </c>
      <c r="DK198" s="297" t="s">
        <v>4566</v>
      </c>
    </row>
    <row r="199" spans="1:115">
      <c r="A199" s="306">
        <v>194</v>
      </c>
      <c r="B199" s="326"/>
      <c r="C199" s="326"/>
      <c r="D199" s="343"/>
      <c r="E199" s="343"/>
      <c r="F199" s="326"/>
      <c r="G199" s="337"/>
      <c r="H199" s="337"/>
      <c r="I199" s="337"/>
      <c r="J199" s="314" t="s">
        <v>4406</v>
      </c>
      <c r="K199" s="306" t="s">
        <v>4535</v>
      </c>
      <c r="L199" s="163" t="s">
        <v>6059</v>
      </c>
      <c r="M199" s="306" t="s">
        <v>4509</v>
      </c>
      <c r="N199" s="163" t="s">
        <v>4703</v>
      </c>
      <c r="O199" s="18" t="s">
        <v>4507</v>
      </c>
      <c r="P199" s="163" t="s">
        <v>6312</v>
      </c>
      <c r="Q199" s="163" t="s">
        <v>4420</v>
      </c>
      <c r="R199" s="163" t="s">
        <v>4420</v>
      </c>
      <c r="S199" s="163" t="s">
        <v>5792</v>
      </c>
      <c r="T199" s="163" t="s">
        <v>4420</v>
      </c>
      <c r="U199" s="163" t="s">
        <v>5792</v>
      </c>
      <c r="V199" s="32" t="s">
        <v>4559</v>
      </c>
      <c r="W199" s="73">
        <v>6</v>
      </c>
      <c r="X199" s="231">
        <v>0</v>
      </c>
      <c r="Y199" s="18">
        <v>0</v>
      </c>
      <c r="Z199" s="306" t="s">
        <v>5632</v>
      </c>
      <c r="AA199" s="21">
        <f t="shared" si="72"/>
        <v>304.79999999999995</v>
      </c>
      <c r="AB199" s="21">
        <f t="shared" si="73"/>
        <v>203.2</v>
      </c>
      <c r="AC199" s="21">
        <v>25.4</v>
      </c>
      <c r="AD199" s="21">
        <f t="shared" si="74"/>
        <v>9.5249999999999986</v>
      </c>
      <c r="AE199" s="21">
        <f t="shared" si="75"/>
        <v>1524</v>
      </c>
      <c r="AF199" s="306" t="s">
        <v>5635</v>
      </c>
      <c r="AG199" s="21">
        <f t="shared" si="98"/>
        <v>558.79999999999995</v>
      </c>
      <c r="AH199" s="21">
        <f t="shared" si="103"/>
        <v>203.2</v>
      </c>
      <c r="AI199" s="21">
        <f t="shared" si="91"/>
        <v>12.7</v>
      </c>
      <c r="AJ199" s="21">
        <f t="shared" si="92"/>
        <v>6.35</v>
      </c>
      <c r="AK199" s="21">
        <f t="shared" si="80"/>
        <v>1765.3</v>
      </c>
      <c r="AL199" s="21">
        <f t="shared" si="69"/>
        <v>465181975.5481658</v>
      </c>
      <c r="AM199" s="24">
        <f t="shared" si="70"/>
        <v>1860955.9554999955</v>
      </c>
      <c r="AN199" s="21">
        <f>0.5*25.4</f>
        <v>12.7</v>
      </c>
      <c r="AO199" s="21">
        <f t="shared" ref="AO199:AO200" si="104">8*25.4</f>
        <v>203.2</v>
      </c>
      <c r="AP199" s="21">
        <f t="shared" si="101"/>
        <v>558.79999999999995</v>
      </c>
      <c r="AQ199" s="21">
        <v>0</v>
      </c>
      <c r="AR199" s="21">
        <v>0</v>
      </c>
      <c r="AS199" s="306" t="s">
        <v>5807</v>
      </c>
      <c r="AT199" s="163" t="s">
        <v>5637</v>
      </c>
      <c r="AU199" s="21">
        <f t="shared" si="71"/>
        <v>191.744</v>
      </c>
      <c r="AV199" s="21">
        <v>25.4</v>
      </c>
      <c r="AW199" s="163">
        <v>428</v>
      </c>
      <c r="AX199" s="21">
        <f t="shared" ref="AX199:AY200" si="105">(1+7/8)*25.4</f>
        <v>47.625</v>
      </c>
      <c r="AY199" s="21">
        <f t="shared" si="105"/>
        <v>47.625</v>
      </c>
      <c r="AZ199" s="21">
        <f t="shared" ref="AZ199:BA200" si="106">3.5*25.4</f>
        <v>88.899999999999991</v>
      </c>
      <c r="BA199" s="21">
        <f t="shared" si="106"/>
        <v>88.899999999999991</v>
      </c>
      <c r="BB199" s="21">
        <f t="shared" si="85"/>
        <v>285.75</v>
      </c>
      <c r="BC199" s="15" t="s">
        <v>6312</v>
      </c>
      <c r="BD199" s="163" t="s">
        <v>4465</v>
      </c>
      <c r="BE199" s="163" t="s">
        <v>4465</v>
      </c>
      <c r="BF199" s="163">
        <v>4</v>
      </c>
      <c r="BG199" s="163">
        <v>8</v>
      </c>
      <c r="BH199" s="202" t="s">
        <v>5792</v>
      </c>
      <c r="BI199" s="203" t="s">
        <v>5792</v>
      </c>
      <c r="BJ199" s="203" t="s">
        <v>5792</v>
      </c>
      <c r="BK199" s="203" t="s">
        <v>5792</v>
      </c>
      <c r="BL199" s="203" t="s">
        <v>5792</v>
      </c>
      <c r="BM199" s="203" t="s">
        <v>5792</v>
      </c>
      <c r="BN199" s="203" t="s">
        <v>5792</v>
      </c>
      <c r="BO199" s="203" t="s">
        <v>5792</v>
      </c>
      <c r="BP199" s="202" t="s">
        <v>5792</v>
      </c>
      <c r="BQ199" s="203" t="s">
        <v>5792</v>
      </c>
      <c r="BR199" s="203" t="s">
        <v>5792</v>
      </c>
      <c r="BS199" s="203" t="s">
        <v>5792</v>
      </c>
      <c r="BT199" s="203" t="s">
        <v>5792</v>
      </c>
      <c r="BU199" s="203" t="s">
        <v>5792</v>
      </c>
      <c r="BV199" s="218" t="s">
        <v>5792</v>
      </c>
      <c r="BW199" s="203" t="s">
        <v>5792</v>
      </c>
      <c r="BX199" s="203" t="s">
        <v>5792</v>
      </c>
      <c r="BY199" s="203" t="s">
        <v>5792</v>
      </c>
      <c r="BZ199" s="203" t="s">
        <v>5792</v>
      </c>
      <c r="CA199" s="203" t="s">
        <v>5792</v>
      </c>
      <c r="CB199" s="218" t="s">
        <v>5792</v>
      </c>
      <c r="CC199" s="107" t="s">
        <v>4536</v>
      </c>
      <c r="CD199" s="60">
        <v>345</v>
      </c>
      <c r="CE199" s="33">
        <f t="shared" si="86"/>
        <v>379.50000000000006</v>
      </c>
      <c r="CF199" s="60">
        <v>450</v>
      </c>
      <c r="CG199" s="32">
        <v>495.00000000000006</v>
      </c>
      <c r="CH199" s="67">
        <v>200000</v>
      </c>
      <c r="CI199" s="107" t="s">
        <v>4536</v>
      </c>
      <c r="CJ199" s="60">
        <v>345</v>
      </c>
      <c r="CK199" s="33">
        <f t="shared" si="87"/>
        <v>379.50000000000006</v>
      </c>
      <c r="CL199" s="60">
        <v>450</v>
      </c>
      <c r="CM199" s="32">
        <v>495.00000000000006</v>
      </c>
      <c r="CN199" s="67">
        <v>200000</v>
      </c>
      <c r="CO199" s="107" t="s">
        <v>4536</v>
      </c>
      <c r="CP199" s="60">
        <v>345</v>
      </c>
      <c r="CQ199" s="33">
        <f t="shared" ref="CQ199" si="107">CP199*1.1</f>
        <v>379.50000000000006</v>
      </c>
      <c r="CR199" s="60">
        <v>450</v>
      </c>
      <c r="CS199" s="32">
        <f t="shared" si="88"/>
        <v>495.00000000000006</v>
      </c>
      <c r="CT199" s="67">
        <v>200000</v>
      </c>
      <c r="CU199" s="207" t="s">
        <v>5792</v>
      </c>
      <c r="CV199" s="208" t="s">
        <v>5792</v>
      </c>
      <c r="CW199" s="208" t="s">
        <v>5792</v>
      </c>
      <c r="CX199" s="209" t="s">
        <v>5792</v>
      </c>
      <c r="CY199" s="207" t="s">
        <v>5792</v>
      </c>
      <c r="CZ199" s="208" t="s">
        <v>5792</v>
      </c>
      <c r="DA199" s="209" t="s">
        <v>5792</v>
      </c>
      <c r="DB199" s="283" t="s">
        <v>5792</v>
      </c>
      <c r="DC199" s="163" t="s">
        <v>4422</v>
      </c>
      <c r="DD199" s="163">
        <v>640</v>
      </c>
      <c r="DE199" s="32">
        <v>730</v>
      </c>
      <c r="DF199" s="163">
        <v>800</v>
      </c>
      <c r="DG199" s="32">
        <v>940</v>
      </c>
      <c r="DH199" s="67">
        <v>200000</v>
      </c>
      <c r="DI199" s="29" t="s">
        <v>5839</v>
      </c>
      <c r="DJ199" s="163" t="s">
        <v>4435</v>
      </c>
      <c r="DK199" s="297" t="s">
        <v>4566</v>
      </c>
    </row>
    <row r="200" spans="1:115" ht="15.6" customHeight="1" thickBot="1">
      <c r="A200" s="143">
        <v>195</v>
      </c>
      <c r="B200" s="326"/>
      <c r="C200" s="326"/>
      <c r="D200" s="343"/>
      <c r="E200" s="343"/>
      <c r="F200" s="326"/>
      <c r="G200" s="337"/>
      <c r="H200" s="337"/>
      <c r="I200" s="337"/>
      <c r="J200" s="315" t="s">
        <v>4407</v>
      </c>
      <c r="K200" s="143" t="s">
        <v>4535</v>
      </c>
      <c r="L200" s="164" t="s">
        <v>6059</v>
      </c>
      <c r="M200" s="143" t="s">
        <v>4509</v>
      </c>
      <c r="N200" s="164" t="s">
        <v>4703</v>
      </c>
      <c r="O200" s="14" t="s">
        <v>4507</v>
      </c>
      <c r="P200" s="164" t="s">
        <v>6312</v>
      </c>
      <c r="Q200" s="164" t="s">
        <v>4420</v>
      </c>
      <c r="R200" s="164" t="s">
        <v>4420</v>
      </c>
      <c r="S200" s="164" t="s">
        <v>5792</v>
      </c>
      <c r="T200" s="164" t="s">
        <v>4420</v>
      </c>
      <c r="U200" s="164" t="s">
        <v>5792</v>
      </c>
      <c r="V200" s="34" t="s">
        <v>4559</v>
      </c>
      <c r="W200" s="118">
        <v>6</v>
      </c>
      <c r="X200" s="233">
        <v>0</v>
      </c>
      <c r="Y200" s="14">
        <v>0</v>
      </c>
      <c r="Z200" s="306" t="s">
        <v>5632</v>
      </c>
      <c r="AA200" s="21">
        <f t="shared" si="72"/>
        <v>304.79999999999995</v>
      </c>
      <c r="AB200" s="21">
        <f t="shared" si="73"/>
        <v>203.2</v>
      </c>
      <c r="AC200" s="21">
        <v>25.4</v>
      </c>
      <c r="AD200" s="21">
        <f t="shared" si="74"/>
        <v>9.5249999999999986</v>
      </c>
      <c r="AE200" s="21">
        <f t="shared" si="75"/>
        <v>1524</v>
      </c>
      <c r="AF200" s="143" t="s">
        <v>5635</v>
      </c>
      <c r="AG200" s="23">
        <f t="shared" si="98"/>
        <v>558.79999999999995</v>
      </c>
      <c r="AH200" s="23">
        <f t="shared" si="103"/>
        <v>203.2</v>
      </c>
      <c r="AI200" s="23">
        <f t="shared" si="91"/>
        <v>12.7</v>
      </c>
      <c r="AJ200" s="23">
        <f t="shared" si="92"/>
        <v>6.35</v>
      </c>
      <c r="AK200" s="23">
        <f t="shared" si="80"/>
        <v>1765.3</v>
      </c>
      <c r="AL200" s="23">
        <f t="shared" si="69"/>
        <v>465181975.5481658</v>
      </c>
      <c r="AM200" s="25">
        <f t="shared" si="70"/>
        <v>1860955.9554999955</v>
      </c>
      <c r="AN200" s="23">
        <f>3/4*25.4</f>
        <v>19.049999999999997</v>
      </c>
      <c r="AO200" s="23">
        <f t="shared" si="104"/>
        <v>203.2</v>
      </c>
      <c r="AP200" s="23">
        <f t="shared" si="101"/>
        <v>558.79999999999995</v>
      </c>
      <c r="AQ200" s="23">
        <v>0</v>
      </c>
      <c r="AR200" s="23">
        <v>0</v>
      </c>
      <c r="AS200" s="143" t="s">
        <v>5807</v>
      </c>
      <c r="AT200" s="164" t="s">
        <v>5637</v>
      </c>
      <c r="AU200" s="23">
        <f t="shared" si="71"/>
        <v>191.744</v>
      </c>
      <c r="AV200" s="23">
        <v>25.4</v>
      </c>
      <c r="AW200" s="164">
        <v>428</v>
      </c>
      <c r="AX200" s="23">
        <f t="shared" si="105"/>
        <v>47.625</v>
      </c>
      <c r="AY200" s="23">
        <f t="shared" si="105"/>
        <v>47.625</v>
      </c>
      <c r="AZ200" s="23">
        <f t="shared" si="106"/>
        <v>88.899999999999991</v>
      </c>
      <c r="BA200" s="23">
        <f t="shared" si="106"/>
        <v>88.899999999999991</v>
      </c>
      <c r="BB200" s="23">
        <f t="shared" si="85"/>
        <v>285.75</v>
      </c>
      <c r="BC200" s="19" t="s">
        <v>6312</v>
      </c>
      <c r="BD200" s="164" t="s">
        <v>4465</v>
      </c>
      <c r="BE200" s="164" t="s">
        <v>4465</v>
      </c>
      <c r="BF200" s="164">
        <v>4</v>
      </c>
      <c r="BG200" s="164">
        <v>8</v>
      </c>
      <c r="BH200" s="197" t="s">
        <v>5792</v>
      </c>
      <c r="BI200" s="198" t="s">
        <v>5792</v>
      </c>
      <c r="BJ200" s="198" t="s">
        <v>5792</v>
      </c>
      <c r="BK200" s="198" t="s">
        <v>5792</v>
      </c>
      <c r="BL200" s="198" t="s">
        <v>5792</v>
      </c>
      <c r="BM200" s="198" t="s">
        <v>5792</v>
      </c>
      <c r="BN200" s="198" t="s">
        <v>5792</v>
      </c>
      <c r="BO200" s="198" t="s">
        <v>5792</v>
      </c>
      <c r="BP200" s="197" t="s">
        <v>5792</v>
      </c>
      <c r="BQ200" s="198" t="s">
        <v>5792</v>
      </c>
      <c r="BR200" s="198" t="s">
        <v>5792</v>
      </c>
      <c r="BS200" s="198" t="s">
        <v>5792</v>
      </c>
      <c r="BT200" s="198" t="s">
        <v>5792</v>
      </c>
      <c r="BU200" s="198" t="s">
        <v>5792</v>
      </c>
      <c r="BV200" s="220" t="s">
        <v>5792</v>
      </c>
      <c r="BW200" s="198" t="s">
        <v>5792</v>
      </c>
      <c r="BX200" s="198" t="s">
        <v>5792</v>
      </c>
      <c r="BY200" s="198" t="s">
        <v>5792</v>
      </c>
      <c r="BZ200" s="198" t="s">
        <v>5792</v>
      </c>
      <c r="CA200" s="198" t="s">
        <v>5792</v>
      </c>
      <c r="CB200" s="220" t="s">
        <v>5792</v>
      </c>
      <c r="CC200" s="132" t="s">
        <v>4536</v>
      </c>
      <c r="CD200" s="87">
        <v>345</v>
      </c>
      <c r="CE200" s="35">
        <f t="shared" si="86"/>
        <v>379.50000000000006</v>
      </c>
      <c r="CF200" s="87">
        <v>450</v>
      </c>
      <c r="CG200" s="34">
        <v>495.00000000000006</v>
      </c>
      <c r="CH200" s="70">
        <v>200000</v>
      </c>
      <c r="CI200" s="132" t="s">
        <v>4536</v>
      </c>
      <c r="CJ200" s="87">
        <v>345</v>
      </c>
      <c r="CK200" s="35">
        <f t="shared" si="87"/>
        <v>379.50000000000006</v>
      </c>
      <c r="CL200" s="87">
        <v>450</v>
      </c>
      <c r="CM200" s="34">
        <v>495.00000000000006</v>
      </c>
      <c r="CN200" s="70">
        <v>200000</v>
      </c>
      <c r="CO200" s="132" t="s">
        <v>4536</v>
      </c>
      <c r="CP200" s="87">
        <v>345</v>
      </c>
      <c r="CQ200" s="23">
        <v>392.7</v>
      </c>
      <c r="CR200" s="87">
        <v>450</v>
      </c>
      <c r="CS200" s="34">
        <f t="shared" si="88"/>
        <v>495.00000000000006</v>
      </c>
      <c r="CT200" s="70">
        <v>200000</v>
      </c>
      <c r="CU200" s="210" t="s">
        <v>5792</v>
      </c>
      <c r="CV200" s="211" t="s">
        <v>5792</v>
      </c>
      <c r="CW200" s="211" t="s">
        <v>5792</v>
      </c>
      <c r="CX200" s="212" t="s">
        <v>5792</v>
      </c>
      <c r="CY200" s="210" t="s">
        <v>5792</v>
      </c>
      <c r="CZ200" s="211" t="s">
        <v>5792</v>
      </c>
      <c r="DA200" s="212" t="s">
        <v>5792</v>
      </c>
      <c r="DB200" s="284" t="s">
        <v>5792</v>
      </c>
      <c r="DC200" s="164" t="s">
        <v>4422</v>
      </c>
      <c r="DD200" s="164">
        <v>640</v>
      </c>
      <c r="DE200" s="34">
        <v>730</v>
      </c>
      <c r="DF200" s="164">
        <v>800</v>
      </c>
      <c r="DG200" s="34">
        <v>940</v>
      </c>
      <c r="DH200" s="70">
        <v>200000</v>
      </c>
      <c r="DI200" s="27" t="s">
        <v>5838</v>
      </c>
      <c r="DJ200" s="164" t="s">
        <v>4435</v>
      </c>
      <c r="DK200" s="298" t="s">
        <v>4566</v>
      </c>
    </row>
    <row r="201" spans="1:115" ht="15.6" customHeight="1">
      <c r="A201" s="306">
        <v>196</v>
      </c>
      <c r="B201" s="325">
        <v>29</v>
      </c>
      <c r="C201" s="325">
        <v>1999</v>
      </c>
      <c r="D201" s="345" t="s">
        <v>4534</v>
      </c>
      <c r="E201" s="333" t="s">
        <v>4855</v>
      </c>
      <c r="F201" s="325">
        <v>7</v>
      </c>
      <c r="G201" s="328" t="s">
        <v>5910</v>
      </c>
      <c r="H201" s="325" t="s">
        <v>5904</v>
      </c>
      <c r="I201" s="325" t="s">
        <v>6237</v>
      </c>
      <c r="J201" s="314" t="s">
        <v>4537</v>
      </c>
      <c r="K201" s="306" t="s">
        <v>4535</v>
      </c>
      <c r="L201" s="163" t="s">
        <v>6060</v>
      </c>
      <c r="M201" s="306" t="s">
        <v>4509</v>
      </c>
      <c r="N201" s="163" t="s">
        <v>4703</v>
      </c>
      <c r="O201" s="18" t="s">
        <v>4507</v>
      </c>
      <c r="P201" s="163" t="s">
        <v>4420</v>
      </c>
      <c r="Q201" s="163" t="s">
        <v>4420</v>
      </c>
      <c r="R201" s="163" t="s">
        <v>6169</v>
      </c>
      <c r="S201" s="163">
        <v>6</v>
      </c>
      <c r="T201" s="163" t="s">
        <v>4420</v>
      </c>
      <c r="U201" s="163" t="s">
        <v>5792</v>
      </c>
      <c r="V201" s="163" t="s">
        <v>4559</v>
      </c>
      <c r="W201" s="18">
        <v>6</v>
      </c>
      <c r="X201" s="231">
        <v>0</v>
      </c>
      <c r="Y201" s="142">
        <v>0</v>
      </c>
      <c r="Z201" s="305" t="s">
        <v>4804</v>
      </c>
      <c r="AA201" s="16">
        <f>12*25.4</f>
        <v>304.79999999999995</v>
      </c>
      <c r="AB201" s="16">
        <f>6*25.4</f>
        <v>152.39999999999998</v>
      </c>
      <c r="AC201" s="16">
        <f>3/8*25.4</f>
        <v>9.5249999999999986</v>
      </c>
      <c r="AD201" s="16">
        <f>0.25*25.4</f>
        <v>6.35</v>
      </c>
      <c r="AE201" s="30">
        <v>2716</v>
      </c>
      <c r="AF201" s="306" t="s">
        <v>4749</v>
      </c>
      <c r="AG201" s="21">
        <f t="shared" ref="AG201:AG207" si="108">16*25.4</f>
        <v>406.4</v>
      </c>
      <c r="AH201" s="21">
        <f t="shared" ref="AH201:AH207" si="109">6*25.4</f>
        <v>152.39999999999998</v>
      </c>
      <c r="AI201" s="21">
        <f>0.25*25.4</f>
        <v>6.35</v>
      </c>
      <c r="AJ201" s="21">
        <f>0.25*25.4</f>
        <v>6.35</v>
      </c>
      <c r="AK201" s="21">
        <f t="shared" ref="AK201:AK207" si="110">5.5*12*25.4</f>
        <v>1676.3999999999999</v>
      </c>
      <c r="AL201" s="21">
        <f t="shared" si="69"/>
        <v>109736597.1258291</v>
      </c>
      <c r="AM201" s="24">
        <f t="shared" si="70"/>
        <v>633206.3948749993</v>
      </c>
      <c r="AN201" s="21">
        <f>3/8*25.4</f>
        <v>9.5249999999999986</v>
      </c>
      <c r="AO201" s="21">
        <f t="shared" ref="AO201:AO207" si="111">AH201</f>
        <v>152.39999999999998</v>
      </c>
      <c r="AP201" s="21">
        <f t="shared" ref="AP201:AP207" si="112">AG201</f>
        <v>406.4</v>
      </c>
      <c r="AQ201" s="163">
        <v>0</v>
      </c>
      <c r="AR201" s="163">
        <v>0</v>
      </c>
      <c r="AS201" s="306" t="s">
        <v>5807</v>
      </c>
      <c r="AT201" s="163" t="s">
        <v>4499</v>
      </c>
      <c r="AU201" s="21">
        <v>124.55</v>
      </c>
      <c r="AV201" s="21">
        <f>3/4*25.4</f>
        <v>19.049999999999997</v>
      </c>
      <c r="AW201" s="163">
        <v>241</v>
      </c>
      <c r="AX201" s="21">
        <f>1.5*25.4+AI201</f>
        <v>44.449999999999996</v>
      </c>
      <c r="AY201" s="21">
        <f>1.5*25.4+AI201</f>
        <v>44.449999999999996</v>
      </c>
      <c r="AZ201" s="21">
        <v>0</v>
      </c>
      <c r="BA201" s="21">
        <f>3.5*25.4</f>
        <v>88.899999999999991</v>
      </c>
      <c r="BB201" s="21">
        <f>AP201-AX201-AY201-AZ201</f>
        <v>317.5</v>
      </c>
      <c r="BC201" s="163" t="s">
        <v>4470</v>
      </c>
      <c r="BD201" s="163" t="s">
        <v>6209</v>
      </c>
      <c r="BE201" s="163" t="s">
        <v>6209</v>
      </c>
      <c r="BF201" s="163">
        <v>2</v>
      </c>
      <c r="BG201" s="163">
        <v>4</v>
      </c>
      <c r="BH201" s="202" t="s">
        <v>5792</v>
      </c>
      <c r="BI201" s="203" t="s">
        <v>5792</v>
      </c>
      <c r="BJ201" s="203" t="s">
        <v>5792</v>
      </c>
      <c r="BK201" s="203" t="s">
        <v>5792</v>
      </c>
      <c r="BL201" s="203" t="s">
        <v>5792</v>
      </c>
      <c r="BM201" s="203" t="s">
        <v>5792</v>
      </c>
      <c r="BN201" s="203" t="s">
        <v>5792</v>
      </c>
      <c r="BO201" s="203" t="s">
        <v>5792</v>
      </c>
      <c r="BP201" s="202" t="s">
        <v>5792</v>
      </c>
      <c r="BQ201" s="203" t="s">
        <v>5792</v>
      </c>
      <c r="BR201" s="203" t="s">
        <v>5792</v>
      </c>
      <c r="BS201" s="203" t="s">
        <v>5792</v>
      </c>
      <c r="BT201" s="203" t="s">
        <v>5792</v>
      </c>
      <c r="BU201" s="203" t="s">
        <v>5792</v>
      </c>
      <c r="BV201" s="218" t="s">
        <v>5792</v>
      </c>
      <c r="BW201" s="203" t="s">
        <v>5792</v>
      </c>
      <c r="BX201" s="203" t="s">
        <v>5792</v>
      </c>
      <c r="BY201" s="203" t="s">
        <v>5792</v>
      </c>
      <c r="BZ201" s="203" t="s">
        <v>5792</v>
      </c>
      <c r="CA201" s="203" t="s">
        <v>5792</v>
      </c>
      <c r="CB201" s="218" t="s">
        <v>5792</v>
      </c>
      <c r="CC201" s="163" t="s">
        <v>4536</v>
      </c>
      <c r="CD201" s="21">
        <v>345</v>
      </c>
      <c r="CE201" s="21">
        <v>413.68559999999997</v>
      </c>
      <c r="CF201" s="21">
        <v>450</v>
      </c>
      <c r="CG201" s="21">
        <v>586.05459999999994</v>
      </c>
      <c r="CH201" s="67">
        <v>200000</v>
      </c>
      <c r="CI201" s="306" t="s">
        <v>4536</v>
      </c>
      <c r="CJ201" s="163">
        <v>345</v>
      </c>
      <c r="CK201" s="21">
        <v>465.3963</v>
      </c>
      <c r="CL201" s="163">
        <v>450</v>
      </c>
      <c r="CM201" s="21">
        <v>579.15984000000003</v>
      </c>
      <c r="CN201" s="67">
        <v>200000</v>
      </c>
      <c r="CO201" s="163" t="s">
        <v>4536</v>
      </c>
      <c r="CP201" s="60">
        <v>345</v>
      </c>
      <c r="CQ201" s="21">
        <v>369.62808359999997</v>
      </c>
      <c r="CR201" s="60">
        <v>450</v>
      </c>
      <c r="CS201" s="21">
        <v>578.74615439999991</v>
      </c>
      <c r="CT201" s="61">
        <v>200000</v>
      </c>
      <c r="CU201" s="207" t="s">
        <v>5792</v>
      </c>
      <c r="CV201" s="208" t="s">
        <v>5792</v>
      </c>
      <c r="CW201" s="208" t="s">
        <v>5792</v>
      </c>
      <c r="CX201" s="209" t="s">
        <v>5792</v>
      </c>
      <c r="CY201" s="207" t="s">
        <v>5792</v>
      </c>
      <c r="CZ201" s="208" t="s">
        <v>5792</v>
      </c>
      <c r="DA201" s="209" t="s">
        <v>5792</v>
      </c>
      <c r="DB201" s="283" t="s">
        <v>5792</v>
      </c>
      <c r="DC201" s="163" t="s">
        <v>4422</v>
      </c>
      <c r="DD201" s="162">
        <v>640</v>
      </c>
      <c r="DE201" s="30">
        <v>730</v>
      </c>
      <c r="DF201" s="162">
        <v>800</v>
      </c>
      <c r="DG201" s="30">
        <v>940</v>
      </c>
      <c r="DH201" s="61">
        <v>200000</v>
      </c>
      <c r="DI201" s="41" t="s">
        <v>4770</v>
      </c>
      <c r="DJ201" s="305" t="s">
        <v>6055</v>
      </c>
      <c r="DK201" s="297" t="s">
        <v>4566</v>
      </c>
    </row>
    <row r="202" spans="1:115">
      <c r="A202" s="306">
        <v>197</v>
      </c>
      <c r="B202" s="326"/>
      <c r="C202" s="326"/>
      <c r="D202" s="346"/>
      <c r="E202" s="334"/>
      <c r="F202" s="326"/>
      <c r="G202" s="329"/>
      <c r="H202" s="326"/>
      <c r="I202" s="326"/>
      <c r="J202" s="314" t="s">
        <v>4538</v>
      </c>
      <c r="K202" s="306" t="s">
        <v>4535</v>
      </c>
      <c r="L202" s="163" t="s">
        <v>6060</v>
      </c>
      <c r="M202" s="306" t="s">
        <v>4509</v>
      </c>
      <c r="N202" s="163" t="s">
        <v>4703</v>
      </c>
      <c r="O202" s="18" t="s">
        <v>4507</v>
      </c>
      <c r="P202" s="163" t="s">
        <v>4420</v>
      </c>
      <c r="Q202" s="163" t="s">
        <v>4420</v>
      </c>
      <c r="R202" s="163" t="s">
        <v>6169</v>
      </c>
      <c r="S202" s="163">
        <v>6</v>
      </c>
      <c r="T202" s="163" t="s">
        <v>4420</v>
      </c>
      <c r="U202" s="163" t="s">
        <v>5792</v>
      </c>
      <c r="V202" s="163" t="s">
        <v>4559</v>
      </c>
      <c r="W202" s="18">
        <v>6</v>
      </c>
      <c r="X202" s="231">
        <v>0</v>
      </c>
      <c r="Y202" s="142">
        <v>0</v>
      </c>
      <c r="Z202" s="306" t="s">
        <v>4804</v>
      </c>
      <c r="AA202" s="21">
        <f t="shared" ref="AA202:AA207" si="113">12*25.4</f>
        <v>304.79999999999995</v>
      </c>
      <c r="AB202" s="21">
        <f t="shared" ref="AB202:AB207" si="114">6*25.4</f>
        <v>152.39999999999998</v>
      </c>
      <c r="AC202" s="21">
        <f t="shared" ref="AC202:AC207" si="115">3/8*25.4</f>
        <v>9.5249999999999986</v>
      </c>
      <c r="AD202" s="21">
        <f t="shared" ref="AD202:AD207" si="116">0.25*25.4</f>
        <v>6.35</v>
      </c>
      <c r="AE202" s="32">
        <v>2716</v>
      </c>
      <c r="AF202" s="306" t="s">
        <v>4749</v>
      </c>
      <c r="AG202" s="21">
        <f t="shared" si="108"/>
        <v>406.4</v>
      </c>
      <c r="AH202" s="21">
        <f t="shared" si="109"/>
        <v>152.39999999999998</v>
      </c>
      <c r="AI202" s="21">
        <f>0.25*25.4</f>
        <v>6.35</v>
      </c>
      <c r="AJ202" s="21">
        <f>0.25*25.4</f>
        <v>6.35</v>
      </c>
      <c r="AK202" s="21">
        <f t="shared" si="110"/>
        <v>1676.3999999999999</v>
      </c>
      <c r="AL202" s="21">
        <f t="shared" si="69"/>
        <v>109736597.1258291</v>
      </c>
      <c r="AM202" s="24">
        <f t="shared" si="70"/>
        <v>633206.3948749993</v>
      </c>
      <c r="AN202" s="21">
        <f t="shared" ref="AN202:AN207" si="117">3/8*25.4</f>
        <v>9.5249999999999986</v>
      </c>
      <c r="AO202" s="21">
        <f t="shared" si="111"/>
        <v>152.39999999999998</v>
      </c>
      <c r="AP202" s="21">
        <f t="shared" si="112"/>
        <v>406.4</v>
      </c>
      <c r="AQ202" s="163">
        <v>0</v>
      </c>
      <c r="AR202" s="163">
        <v>0</v>
      </c>
      <c r="AS202" s="306" t="s">
        <v>5807</v>
      </c>
      <c r="AT202" s="163" t="s">
        <v>4499</v>
      </c>
      <c r="AU202" s="21">
        <v>124.55</v>
      </c>
      <c r="AV202" s="21">
        <f>3/4*25.4</f>
        <v>19.049999999999997</v>
      </c>
      <c r="AW202" s="163">
        <v>241</v>
      </c>
      <c r="AX202" s="21">
        <f>1.5*25.4+AI202</f>
        <v>44.449999999999996</v>
      </c>
      <c r="AY202" s="21">
        <f>1.5*25.4+AI202</f>
        <v>44.449999999999996</v>
      </c>
      <c r="AZ202" s="21">
        <v>0</v>
      </c>
      <c r="BA202" s="21">
        <f>3.5*25.4</f>
        <v>88.899999999999991</v>
      </c>
      <c r="BB202" s="21">
        <f t="shared" ref="BB202:BB204" si="118">AP202-AX202-AY202-AZ202</f>
        <v>317.5</v>
      </c>
      <c r="BC202" s="163" t="s">
        <v>4470</v>
      </c>
      <c r="BD202" s="163" t="s">
        <v>6209</v>
      </c>
      <c r="BE202" s="163" t="s">
        <v>6209</v>
      </c>
      <c r="BF202" s="163">
        <v>2</v>
      </c>
      <c r="BG202" s="163">
        <v>4</v>
      </c>
      <c r="BH202" s="202" t="s">
        <v>5792</v>
      </c>
      <c r="BI202" s="203" t="s">
        <v>5792</v>
      </c>
      <c r="BJ202" s="203" t="s">
        <v>5792</v>
      </c>
      <c r="BK202" s="203" t="s">
        <v>5792</v>
      </c>
      <c r="BL202" s="203" t="s">
        <v>5792</v>
      </c>
      <c r="BM202" s="203" t="s">
        <v>5792</v>
      </c>
      <c r="BN202" s="203" t="s">
        <v>5792</v>
      </c>
      <c r="BO202" s="203" t="s">
        <v>5792</v>
      </c>
      <c r="BP202" s="202" t="s">
        <v>5792</v>
      </c>
      <c r="BQ202" s="203" t="s">
        <v>5792</v>
      </c>
      <c r="BR202" s="203" t="s">
        <v>5792</v>
      </c>
      <c r="BS202" s="203" t="s">
        <v>5792</v>
      </c>
      <c r="BT202" s="203" t="s">
        <v>5792</v>
      </c>
      <c r="BU202" s="203" t="s">
        <v>5792</v>
      </c>
      <c r="BV202" s="218" t="s">
        <v>5792</v>
      </c>
      <c r="BW202" s="203" t="s">
        <v>5792</v>
      </c>
      <c r="BX202" s="203" t="s">
        <v>5792</v>
      </c>
      <c r="BY202" s="203" t="s">
        <v>5792</v>
      </c>
      <c r="BZ202" s="203" t="s">
        <v>5792</v>
      </c>
      <c r="CA202" s="203" t="s">
        <v>5792</v>
      </c>
      <c r="CB202" s="218" t="s">
        <v>5792</v>
      </c>
      <c r="CC202" s="163" t="s">
        <v>4536</v>
      </c>
      <c r="CD202" s="21">
        <v>345</v>
      </c>
      <c r="CE202" s="21">
        <v>446.09097200000002</v>
      </c>
      <c r="CF202" s="21">
        <v>450</v>
      </c>
      <c r="CG202" s="21">
        <v>586.05459999999994</v>
      </c>
      <c r="CH202" s="67">
        <v>200000</v>
      </c>
      <c r="CI202" s="306" t="s">
        <v>4536</v>
      </c>
      <c r="CJ202" s="163">
        <v>345</v>
      </c>
      <c r="CK202" s="21">
        <v>461.94891999999999</v>
      </c>
      <c r="CL202" s="163">
        <v>450</v>
      </c>
      <c r="CM202" s="21">
        <v>579.15984000000003</v>
      </c>
      <c r="CN202" s="67">
        <v>200000</v>
      </c>
      <c r="CO202" s="163" t="s">
        <v>4536</v>
      </c>
      <c r="CP202" s="60">
        <v>345</v>
      </c>
      <c r="CQ202" s="21">
        <v>362.664376</v>
      </c>
      <c r="CR202" s="60">
        <v>450</v>
      </c>
      <c r="CS202" s="21">
        <v>579.15984000000003</v>
      </c>
      <c r="CT202" s="61">
        <v>200000</v>
      </c>
      <c r="CU202" s="207" t="s">
        <v>5792</v>
      </c>
      <c r="CV202" s="208" t="s">
        <v>5792</v>
      </c>
      <c r="CW202" s="208" t="s">
        <v>5792</v>
      </c>
      <c r="CX202" s="209" t="s">
        <v>5792</v>
      </c>
      <c r="CY202" s="207" t="s">
        <v>5792</v>
      </c>
      <c r="CZ202" s="208" t="s">
        <v>5792</v>
      </c>
      <c r="DA202" s="209" t="s">
        <v>5792</v>
      </c>
      <c r="DB202" s="283" t="s">
        <v>5792</v>
      </c>
      <c r="DC202" s="163" t="s">
        <v>4422</v>
      </c>
      <c r="DD202" s="163">
        <v>640</v>
      </c>
      <c r="DE202" s="32">
        <v>730</v>
      </c>
      <c r="DF202" s="163">
        <v>800</v>
      </c>
      <c r="DG202" s="32">
        <v>940</v>
      </c>
      <c r="DH202" s="61">
        <v>200000</v>
      </c>
      <c r="DI202" s="41" t="s">
        <v>4770</v>
      </c>
      <c r="DJ202" s="303" t="s">
        <v>6055</v>
      </c>
      <c r="DK202" s="297" t="s">
        <v>4566</v>
      </c>
    </row>
    <row r="203" spans="1:115">
      <c r="A203" s="306">
        <v>198</v>
      </c>
      <c r="B203" s="326"/>
      <c r="C203" s="326"/>
      <c r="D203" s="346"/>
      <c r="E203" s="334"/>
      <c r="F203" s="326"/>
      <c r="G203" s="329"/>
      <c r="H203" s="326"/>
      <c r="I203" s="326"/>
      <c r="J203" s="314" t="s">
        <v>4539</v>
      </c>
      <c r="K203" s="306" t="s">
        <v>4535</v>
      </c>
      <c r="L203" s="163" t="s">
        <v>6060</v>
      </c>
      <c r="M203" s="306" t="s">
        <v>4509</v>
      </c>
      <c r="N203" s="163" t="s">
        <v>4703</v>
      </c>
      <c r="O203" s="18" t="s">
        <v>4507</v>
      </c>
      <c r="P203" s="163" t="s">
        <v>4420</v>
      </c>
      <c r="Q203" s="163" t="s">
        <v>4420</v>
      </c>
      <c r="R203" s="163" t="s">
        <v>6169</v>
      </c>
      <c r="S203" s="163">
        <v>6</v>
      </c>
      <c r="T203" s="163" t="s">
        <v>4420</v>
      </c>
      <c r="U203" s="163" t="s">
        <v>5792</v>
      </c>
      <c r="V203" s="163" t="s">
        <v>4559</v>
      </c>
      <c r="W203" s="18">
        <v>6</v>
      </c>
      <c r="X203" s="231">
        <v>0</v>
      </c>
      <c r="Y203" s="142">
        <v>0</v>
      </c>
      <c r="Z203" s="306" t="s">
        <v>4804</v>
      </c>
      <c r="AA203" s="21">
        <f t="shared" si="113"/>
        <v>304.79999999999995</v>
      </c>
      <c r="AB203" s="21">
        <f t="shared" si="114"/>
        <v>152.39999999999998</v>
      </c>
      <c r="AC203" s="21">
        <f t="shared" si="115"/>
        <v>9.5249999999999986</v>
      </c>
      <c r="AD203" s="21">
        <f t="shared" si="116"/>
        <v>6.35</v>
      </c>
      <c r="AE203" s="32">
        <v>2716</v>
      </c>
      <c r="AF203" s="306" t="s">
        <v>4749</v>
      </c>
      <c r="AG203" s="21">
        <f t="shared" si="108"/>
        <v>406.4</v>
      </c>
      <c r="AH203" s="21">
        <f t="shared" si="109"/>
        <v>152.39999999999998</v>
      </c>
      <c r="AI203" s="21">
        <f t="shared" ref="AI203:AJ207" si="119">0.25*25.4</f>
        <v>6.35</v>
      </c>
      <c r="AJ203" s="21">
        <f t="shared" si="119"/>
        <v>6.35</v>
      </c>
      <c r="AK203" s="21">
        <f t="shared" si="110"/>
        <v>1676.3999999999999</v>
      </c>
      <c r="AL203" s="21">
        <f t="shared" si="69"/>
        <v>109736597.1258291</v>
      </c>
      <c r="AM203" s="24">
        <f t="shared" si="70"/>
        <v>633206.3948749993</v>
      </c>
      <c r="AN203" s="21">
        <f t="shared" si="117"/>
        <v>9.5249999999999986</v>
      </c>
      <c r="AO203" s="21">
        <f t="shared" si="111"/>
        <v>152.39999999999998</v>
      </c>
      <c r="AP203" s="21">
        <f t="shared" si="112"/>
        <v>406.4</v>
      </c>
      <c r="AQ203" s="163">
        <v>0</v>
      </c>
      <c r="AR203" s="163">
        <v>0</v>
      </c>
      <c r="AS203" s="306" t="s">
        <v>5807</v>
      </c>
      <c r="AT203" s="163" t="s">
        <v>4499</v>
      </c>
      <c r="AU203" s="21">
        <v>124.55</v>
      </c>
      <c r="AV203" s="21">
        <f>5/8*25.4</f>
        <v>15.875</v>
      </c>
      <c r="AW203" s="163">
        <v>165</v>
      </c>
      <c r="AX203" s="21">
        <f>1.375*25.4+AI203</f>
        <v>41.274999999999999</v>
      </c>
      <c r="AY203" s="21">
        <f>1.375*25.4+AI203</f>
        <v>41.274999999999999</v>
      </c>
      <c r="AZ203" s="21">
        <v>0</v>
      </c>
      <c r="BA203" s="21">
        <f>2.75*25.4</f>
        <v>69.849999999999994</v>
      </c>
      <c r="BB203" s="21">
        <f t="shared" si="118"/>
        <v>323.85000000000002</v>
      </c>
      <c r="BC203" s="163" t="s">
        <v>4470</v>
      </c>
      <c r="BD203" s="163" t="s">
        <v>6209</v>
      </c>
      <c r="BE203" s="163" t="s">
        <v>6209</v>
      </c>
      <c r="BF203" s="163">
        <v>2</v>
      </c>
      <c r="BG203" s="163">
        <v>4</v>
      </c>
      <c r="BH203" s="202" t="s">
        <v>5792</v>
      </c>
      <c r="BI203" s="203" t="s">
        <v>5792</v>
      </c>
      <c r="BJ203" s="203" t="s">
        <v>5792</v>
      </c>
      <c r="BK203" s="203" t="s">
        <v>5792</v>
      </c>
      <c r="BL203" s="203" t="s">
        <v>5792</v>
      </c>
      <c r="BM203" s="203" t="s">
        <v>5792</v>
      </c>
      <c r="BN203" s="203" t="s">
        <v>5792</v>
      </c>
      <c r="BO203" s="203" t="s">
        <v>5792</v>
      </c>
      <c r="BP203" s="202" t="s">
        <v>5792</v>
      </c>
      <c r="BQ203" s="203" t="s">
        <v>5792</v>
      </c>
      <c r="BR203" s="203" t="s">
        <v>5792</v>
      </c>
      <c r="BS203" s="203" t="s">
        <v>5792</v>
      </c>
      <c r="BT203" s="203" t="s">
        <v>5792</v>
      </c>
      <c r="BU203" s="203" t="s">
        <v>5792</v>
      </c>
      <c r="BV203" s="218" t="s">
        <v>5792</v>
      </c>
      <c r="BW203" s="203" t="s">
        <v>5792</v>
      </c>
      <c r="BX203" s="203" t="s">
        <v>5792</v>
      </c>
      <c r="BY203" s="203" t="s">
        <v>5792</v>
      </c>
      <c r="BZ203" s="203" t="s">
        <v>5792</v>
      </c>
      <c r="CA203" s="203" t="s">
        <v>5792</v>
      </c>
      <c r="CB203" s="218" t="s">
        <v>5792</v>
      </c>
      <c r="CC203" s="163" t="s">
        <v>4536</v>
      </c>
      <c r="CD203" s="21">
        <v>345</v>
      </c>
      <c r="CE203" s="21">
        <v>448.57308560000001</v>
      </c>
      <c r="CF203" s="21">
        <v>450</v>
      </c>
      <c r="CG203" s="21">
        <v>586.05459999999994</v>
      </c>
      <c r="CH203" s="67">
        <v>200000</v>
      </c>
      <c r="CI203" s="306" t="s">
        <v>4536</v>
      </c>
      <c r="CJ203" s="163">
        <v>345</v>
      </c>
      <c r="CK203" s="21">
        <v>461.94891999999999</v>
      </c>
      <c r="CL203" s="163">
        <v>450</v>
      </c>
      <c r="CM203" s="21">
        <v>579.15984000000003</v>
      </c>
      <c r="CN203" s="67">
        <v>200000</v>
      </c>
      <c r="CO203" s="163" t="s">
        <v>4536</v>
      </c>
      <c r="CP203" s="60">
        <v>345</v>
      </c>
      <c r="CQ203" s="21">
        <v>370.93808799999999</v>
      </c>
      <c r="CR203" s="60">
        <v>450</v>
      </c>
      <c r="CS203" s="21">
        <v>579.15984000000003</v>
      </c>
      <c r="CT203" s="61">
        <v>200000</v>
      </c>
      <c r="CU203" s="207" t="s">
        <v>5792</v>
      </c>
      <c r="CV203" s="208" t="s">
        <v>5792</v>
      </c>
      <c r="CW203" s="208" t="s">
        <v>5792</v>
      </c>
      <c r="CX203" s="209" t="s">
        <v>5792</v>
      </c>
      <c r="CY203" s="207" t="s">
        <v>5792</v>
      </c>
      <c r="CZ203" s="208" t="s">
        <v>5792</v>
      </c>
      <c r="DA203" s="209" t="s">
        <v>5792</v>
      </c>
      <c r="DB203" s="283" t="s">
        <v>5792</v>
      </c>
      <c r="DC203" s="163" t="s">
        <v>4422</v>
      </c>
      <c r="DD203" s="163">
        <v>640</v>
      </c>
      <c r="DE203" s="32">
        <v>730</v>
      </c>
      <c r="DF203" s="163">
        <v>800</v>
      </c>
      <c r="DG203" s="32">
        <v>940</v>
      </c>
      <c r="DH203" s="61">
        <v>200000</v>
      </c>
      <c r="DI203" s="41" t="s">
        <v>15</v>
      </c>
      <c r="DJ203" s="303" t="s">
        <v>6055</v>
      </c>
      <c r="DK203" s="297" t="s">
        <v>4566</v>
      </c>
    </row>
    <row r="204" spans="1:115">
      <c r="A204" s="306">
        <v>199</v>
      </c>
      <c r="B204" s="326"/>
      <c r="C204" s="326"/>
      <c r="D204" s="346"/>
      <c r="E204" s="334"/>
      <c r="F204" s="326"/>
      <c r="G204" s="329"/>
      <c r="H204" s="326"/>
      <c r="I204" s="326"/>
      <c r="J204" s="314" t="s">
        <v>4540</v>
      </c>
      <c r="K204" s="306" t="s">
        <v>4535</v>
      </c>
      <c r="L204" s="163" t="s">
        <v>6060</v>
      </c>
      <c r="M204" s="306" t="s">
        <v>4509</v>
      </c>
      <c r="N204" s="163" t="s">
        <v>4703</v>
      </c>
      <c r="O204" s="18" t="s">
        <v>4507</v>
      </c>
      <c r="P204" s="163" t="s">
        <v>4420</v>
      </c>
      <c r="Q204" s="163" t="s">
        <v>4420</v>
      </c>
      <c r="R204" s="163" t="s">
        <v>6169</v>
      </c>
      <c r="S204" s="163">
        <v>6</v>
      </c>
      <c r="T204" s="163" t="s">
        <v>4420</v>
      </c>
      <c r="U204" s="163" t="s">
        <v>5792</v>
      </c>
      <c r="V204" s="163" t="s">
        <v>4559</v>
      </c>
      <c r="W204" s="18">
        <v>6</v>
      </c>
      <c r="X204" s="231">
        <v>0</v>
      </c>
      <c r="Y204" s="142">
        <v>0</v>
      </c>
      <c r="Z204" s="306" t="s">
        <v>4804</v>
      </c>
      <c r="AA204" s="21">
        <f t="shared" si="113"/>
        <v>304.79999999999995</v>
      </c>
      <c r="AB204" s="21">
        <f t="shared" si="114"/>
        <v>152.39999999999998</v>
      </c>
      <c r="AC204" s="21">
        <f t="shared" si="115"/>
        <v>9.5249999999999986</v>
      </c>
      <c r="AD204" s="21">
        <f t="shared" si="116"/>
        <v>6.35</v>
      </c>
      <c r="AE204" s="32">
        <v>2716</v>
      </c>
      <c r="AF204" s="306" t="s">
        <v>4749</v>
      </c>
      <c r="AG204" s="21">
        <f t="shared" si="108"/>
        <v>406.4</v>
      </c>
      <c r="AH204" s="21">
        <f t="shared" si="109"/>
        <v>152.39999999999998</v>
      </c>
      <c r="AI204" s="21">
        <f t="shared" si="119"/>
        <v>6.35</v>
      </c>
      <c r="AJ204" s="21">
        <f t="shared" si="119"/>
        <v>6.35</v>
      </c>
      <c r="AK204" s="21">
        <f t="shared" si="110"/>
        <v>1676.3999999999999</v>
      </c>
      <c r="AL204" s="21">
        <f t="shared" si="69"/>
        <v>109736597.1258291</v>
      </c>
      <c r="AM204" s="24">
        <f t="shared" si="70"/>
        <v>633206.3948749993</v>
      </c>
      <c r="AN204" s="21">
        <f t="shared" si="117"/>
        <v>9.5249999999999986</v>
      </c>
      <c r="AO204" s="21">
        <f t="shared" si="111"/>
        <v>152.39999999999998</v>
      </c>
      <c r="AP204" s="21">
        <f t="shared" si="112"/>
        <v>406.4</v>
      </c>
      <c r="AQ204" s="163">
        <v>0</v>
      </c>
      <c r="AR204" s="163">
        <v>0</v>
      </c>
      <c r="AS204" s="306" t="s">
        <v>5807</v>
      </c>
      <c r="AT204" s="163" t="s">
        <v>4499</v>
      </c>
      <c r="AU204" s="21">
        <v>124.55</v>
      </c>
      <c r="AV204" s="21">
        <f>5/8*25.4</f>
        <v>15.875</v>
      </c>
      <c r="AW204" s="163">
        <v>165</v>
      </c>
      <c r="AX204" s="21">
        <f>1.375*25.4+AI204</f>
        <v>41.274999999999999</v>
      </c>
      <c r="AY204" s="21">
        <f>1.375*25.4+AI204</f>
        <v>41.274999999999999</v>
      </c>
      <c r="AZ204" s="21">
        <v>0</v>
      </c>
      <c r="BA204" s="21">
        <f>2.75*25.4</f>
        <v>69.849999999999994</v>
      </c>
      <c r="BB204" s="21">
        <f t="shared" si="118"/>
        <v>323.85000000000002</v>
      </c>
      <c r="BC204" s="163" t="s">
        <v>4470</v>
      </c>
      <c r="BD204" s="163" t="s">
        <v>6209</v>
      </c>
      <c r="BE204" s="163" t="s">
        <v>6209</v>
      </c>
      <c r="BF204" s="163">
        <v>2</v>
      </c>
      <c r="BG204" s="163">
        <v>4</v>
      </c>
      <c r="BH204" s="202" t="s">
        <v>5792</v>
      </c>
      <c r="BI204" s="203" t="s">
        <v>5792</v>
      </c>
      <c r="BJ204" s="203" t="s">
        <v>5792</v>
      </c>
      <c r="BK204" s="203" t="s">
        <v>5792</v>
      </c>
      <c r="BL204" s="203" t="s">
        <v>5792</v>
      </c>
      <c r="BM204" s="203" t="s">
        <v>5792</v>
      </c>
      <c r="BN204" s="203" t="s">
        <v>5792</v>
      </c>
      <c r="BO204" s="203" t="s">
        <v>5792</v>
      </c>
      <c r="BP204" s="202" t="s">
        <v>5792</v>
      </c>
      <c r="BQ204" s="203" t="s">
        <v>5792</v>
      </c>
      <c r="BR204" s="203" t="s">
        <v>5792</v>
      </c>
      <c r="BS204" s="203" t="s">
        <v>5792</v>
      </c>
      <c r="BT204" s="203" t="s">
        <v>5792</v>
      </c>
      <c r="BU204" s="203" t="s">
        <v>5792</v>
      </c>
      <c r="BV204" s="218" t="s">
        <v>5792</v>
      </c>
      <c r="BW204" s="203" t="s">
        <v>5792</v>
      </c>
      <c r="BX204" s="203" t="s">
        <v>5792</v>
      </c>
      <c r="BY204" s="203" t="s">
        <v>5792</v>
      </c>
      <c r="BZ204" s="203" t="s">
        <v>5792</v>
      </c>
      <c r="CA204" s="203" t="s">
        <v>5792</v>
      </c>
      <c r="CB204" s="218" t="s">
        <v>5792</v>
      </c>
      <c r="CC204" s="163" t="s">
        <v>4536</v>
      </c>
      <c r="CD204" s="21">
        <v>345</v>
      </c>
      <c r="CE204" s="21">
        <v>448.57308560000001</v>
      </c>
      <c r="CF204" s="21">
        <v>450</v>
      </c>
      <c r="CG204" s="21">
        <v>586.05459999999994</v>
      </c>
      <c r="CH204" s="67">
        <v>200000</v>
      </c>
      <c r="CI204" s="306" t="s">
        <v>4536</v>
      </c>
      <c r="CJ204" s="163">
        <v>345</v>
      </c>
      <c r="CK204" s="21">
        <v>461.94891999999999</v>
      </c>
      <c r="CL204" s="163">
        <v>450</v>
      </c>
      <c r="CM204" s="21">
        <v>579.15984000000003</v>
      </c>
      <c r="CN204" s="67">
        <v>200000</v>
      </c>
      <c r="CO204" s="163" t="s">
        <v>4536</v>
      </c>
      <c r="CP204" s="60">
        <v>345</v>
      </c>
      <c r="CQ204" s="21">
        <v>368.86966000000001</v>
      </c>
      <c r="CR204" s="60">
        <v>450</v>
      </c>
      <c r="CS204" s="21">
        <v>579.15984000000003</v>
      </c>
      <c r="CT204" s="61">
        <v>200000</v>
      </c>
      <c r="CU204" s="207" t="s">
        <v>5792</v>
      </c>
      <c r="CV204" s="208" t="s">
        <v>5792</v>
      </c>
      <c r="CW204" s="208" t="s">
        <v>5792</v>
      </c>
      <c r="CX204" s="209" t="s">
        <v>5792</v>
      </c>
      <c r="CY204" s="207" t="s">
        <v>5792</v>
      </c>
      <c r="CZ204" s="208" t="s">
        <v>5792</v>
      </c>
      <c r="DA204" s="209" t="s">
        <v>5792</v>
      </c>
      <c r="DB204" s="283" t="s">
        <v>5792</v>
      </c>
      <c r="DC204" s="163" t="s">
        <v>4422</v>
      </c>
      <c r="DD204" s="163">
        <v>640</v>
      </c>
      <c r="DE204" s="32">
        <v>730</v>
      </c>
      <c r="DF204" s="163">
        <v>800</v>
      </c>
      <c r="DG204" s="32">
        <v>940</v>
      </c>
      <c r="DH204" s="61">
        <v>200000</v>
      </c>
      <c r="DI204" s="41" t="s">
        <v>15</v>
      </c>
      <c r="DJ204" s="303" t="s">
        <v>6055</v>
      </c>
      <c r="DK204" s="297" t="s">
        <v>4566</v>
      </c>
    </row>
    <row r="205" spans="1:115">
      <c r="A205" s="306">
        <v>200</v>
      </c>
      <c r="B205" s="326"/>
      <c r="C205" s="326"/>
      <c r="D205" s="346"/>
      <c r="E205" s="334"/>
      <c r="F205" s="326"/>
      <c r="G205" s="329"/>
      <c r="H205" s="326"/>
      <c r="I205" s="326"/>
      <c r="J205" s="314" t="s">
        <v>4543</v>
      </c>
      <c r="K205" s="306" t="s">
        <v>4535</v>
      </c>
      <c r="L205" s="163" t="s">
        <v>6060</v>
      </c>
      <c r="M205" s="306" t="s">
        <v>4509</v>
      </c>
      <c r="N205" s="163" t="s">
        <v>4703</v>
      </c>
      <c r="O205" s="18" t="s">
        <v>4507</v>
      </c>
      <c r="P205" s="163" t="s">
        <v>4420</v>
      </c>
      <c r="Q205" s="163" t="s">
        <v>4420</v>
      </c>
      <c r="R205" s="163" t="s">
        <v>6169</v>
      </c>
      <c r="S205" s="163">
        <v>6</v>
      </c>
      <c r="T205" s="163" t="s">
        <v>4420</v>
      </c>
      <c r="U205" s="163" t="s">
        <v>5792</v>
      </c>
      <c r="V205" s="163" t="s">
        <v>4559</v>
      </c>
      <c r="W205" s="18">
        <v>6</v>
      </c>
      <c r="X205" s="231">
        <v>0</v>
      </c>
      <c r="Y205" s="142">
        <v>0</v>
      </c>
      <c r="Z205" s="306" t="s">
        <v>4804</v>
      </c>
      <c r="AA205" s="21">
        <f t="shared" si="113"/>
        <v>304.79999999999995</v>
      </c>
      <c r="AB205" s="21">
        <f t="shared" si="114"/>
        <v>152.39999999999998</v>
      </c>
      <c r="AC205" s="21">
        <f t="shared" si="115"/>
        <v>9.5249999999999986</v>
      </c>
      <c r="AD205" s="21">
        <f t="shared" si="116"/>
        <v>6.35</v>
      </c>
      <c r="AE205" s="32">
        <v>2716</v>
      </c>
      <c r="AF205" s="306" t="s">
        <v>4749</v>
      </c>
      <c r="AG205" s="21">
        <f t="shared" si="108"/>
        <v>406.4</v>
      </c>
      <c r="AH205" s="21">
        <f t="shared" si="109"/>
        <v>152.39999999999998</v>
      </c>
      <c r="AI205" s="21">
        <f t="shared" si="119"/>
        <v>6.35</v>
      </c>
      <c r="AJ205" s="21">
        <f t="shared" si="119"/>
        <v>6.35</v>
      </c>
      <c r="AK205" s="21">
        <f t="shared" si="110"/>
        <v>1676.3999999999999</v>
      </c>
      <c r="AL205" s="21">
        <f t="shared" si="69"/>
        <v>109736597.1258291</v>
      </c>
      <c r="AM205" s="24">
        <f t="shared" si="70"/>
        <v>633206.3948749993</v>
      </c>
      <c r="AN205" s="21">
        <f t="shared" si="117"/>
        <v>9.5249999999999986</v>
      </c>
      <c r="AO205" s="21">
        <f t="shared" si="111"/>
        <v>152.39999999999998</v>
      </c>
      <c r="AP205" s="21">
        <f t="shared" si="112"/>
        <v>406.4</v>
      </c>
      <c r="AQ205" s="163">
        <v>0</v>
      </c>
      <c r="AR205" s="163">
        <v>0</v>
      </c>
      <c r="AS205" s="306" t="s">
        <v>5807</v>
      </c>
      <c r="AT205" s="163" t="s">
        <v>4499</v>
      </c>
      <c r="AU205" s="21">
        <v>124.55</v>
      </c>
      <c r="AV205" s="21">
        <f>3/4*25.4</f>
        <v>19.049999999999997</v>
      </c>
      <c r="AW205" s="163">
        <v>241</v>
      </c>
      <c r="AX205" s="21">
        <f>1.5*25.4+AI205</f>
        <v>44.449999999999996</v>
      </c>
      <c r="AY205" s="21">
        <f>1.5*25.4+AI205</f>
        <v>44.449999999999996</v>
      </c>
      <c r="AZ205" s="21">
        <f>3*25.4</f>
        <v>76.199999999999989</v>
      </c>
      <c r="BA205" s="21">
        <f>3.5*25.4</f>
        <v>88.899999999999991</v>
      </c>
      <c r="BB205" s="21">
        <f>AP205-AX205-AY205-2*AZ205</f>
        <v>165.10000000000002</v>
      </c>
      <c r="BC205" s="163" t="s">
        <v>4420</v>
      </c>
      <c r="BD205" s="163" t="s">
        <v>4465</v>
      </c>
      <c r="BE205" s="163" t="s">
        <v>4465</v>
      </c>
      <c r="BF205" s="163">
        <v>4</v>
      </c>
      <c r="BG205" s="163">
        <v>8</v>
      </c>
      <c r="BH205" s="202" t="s">
        <v>5792</v>
      </c>
      <c r="BI205" s="203" t="s">
        <v>5792</v>
      </c>
      <c r="BJ205" s="203" t="s">
        <v>5792</v>
      </c>
      <c r="BK205" s="203" t="s">
        <v>5792</v>
      </c>
      <c r="BL205" s="203" t="s">
        <v>5792</v>
      </c>
      <c r="BM205" s="203" t="s">
        <v>5792</v>
      </c>
      <c r="BN205" s="203" t="s">
        <v>5792</v>
      </c>
      <c r="BO205" s="203" t="s">
        <v>5792</v>
      </c>
      <c r="BP205" s="202" t="s">
        <v>5792</v>
      </c>
      <c r="BQ205" s="203" t="s">
        <v>5792</v>
      </c>
      <c r="BR205" s="203" t="s">
        <v>5792</v>
      </c>
      <c r="BS205" s="203" t="s">
        <v>5792</v>
      </c>
      <c r="BT205" s="203" t="s">
        <v>5792</v>
      </c>
      <c r="BU205" s="203" t="s">
        <v>5792</v>
      </c>
      <c r="BV205" s="218" t="s">
        <v>5792</v>
      </c>
      <c r="BW205" s="203" t="s">
        <v>5792</v>
      </c>
      <c r="BX205" s="203" t="s">
        <v>5792</v>
      </c>
      <c r="BY205" s="203" t="s">
        <v>5792</v>
      </c>
      <c r="BZ205" s="203" t="s">
        <v>5792</v>
      </c>
      <c r="CA205" s="203" t="s">
        <v>5792</v>
      </c>
      <c r="CB205" s="218" t="s">
        <v>5792</v>
      </c>
      <c r="CC205" s="163" t="s">
        <v>4536</v>
      </c>
      <c r="CD205" s="21">
        <v>345</v>
      </c>
      <c r="CE205" s="21">
        <v>441.16121859999998</v>
      </c>
      <c r="CF205" s="21">
        <v>450</v>
      </c>
      <c r="CG205" s="21">
        <v>579.15984000000003</v>
      </c>
      <c r="CH205" s="67">
        <v>200000</v>
      </c>
      <c r="CI205" s="306" t="s">
        <v>4536</v>
      </c>
      <c r="CJ205" s="163">
        <v>345</v>
      </c>
      <c r="CK205" s="21">
        <v>466.5339353999999</v>
      </c>
      <c r="CL205" s="163">
        <v>450</v>
      </c>
      <c r="CM205" s="21">
        <v>582.60721999999998</v>
      </c>
      <c r="CN205" s="67">
        <v>200000</v>
      </c>
      <c r="CO205" s="163" t="s">
        <v>4536</v>
      </c>
      <c r="CP205" s="60">
        <v>345</v>
      </c>
      <c r="CQ205" s="21">
        <v>363.35385200000002</v>
      </c>
      <c r="CR205" s="60">
        <v>450</v>
      </c>
      <c r="CS205" s="21">
        <v>570.19665199999997</v>
      </c>
      <c r="CT205" s="61">
        <v>200000</v>
      </c>
      <c r="CU205" s="207" t="s">
        <v>5792</v>
      </c>
      <c r="CV205" s="208" t="s">
        <v>5792</v>
      </c>
      <c r="CW205" s="208" t="s">
        <v>5792</v>
      </c>
      <c r="CX205" s="209" t="s">
        <v>5792</v>
      </c>
      <c r="CY205" s="207" t="s">
        <v>5792</v>
      </c>
      <c r="CZ205" s="208" t="s">
        <v>5792</v>
      </c>
      <c r="DA205" s="209" t="s">
        <v>5792</v>
      </c>
      <c r="DB205" s="283" t="s">
        <v>5792</v>
      </c>
      <c r="DC205" s="163" t="s">
        <v>4422</v>
      </c>
      <c r="DD205" s="163">
        <v>640</v>
      </c>
      <c r="DE205" s="32">
        <v>730</v>
      </c>
      <c r="DF205" s="163">
        <v>800</v>
      </c>
      <c r="DG205" s="32">
        <v>940</v>
      </c>
      <c r="DH205" s="61">
        <v>200000</v>
      </c>
      <c r="DI205" s="41" t="s">
        <v>4796</v>
      </c>
      <c r="DJ205" s="303" t="s">
        <v>6055</v>
      </c>
      <c r="DK205" s="297" t="s">
        <v>4566</v>
      </c>
    </row>
    <row r="206" spans="1:115">
      <c r="A206" s="306">
        <v>201</v>
      </c>
      <c r="B206" s="326"/>
      <c r="C206" s="326"/>
      <c r="D206" s="346"/>
      <c r="E206" s="334"/>
      <c r="F206" s="326"/>
      <c r="G206" s="329"/>
      <c r="H206" s="326"/>
      <c r="I206" s="326"/>
      <c r="J206" s="314" t="s">
        <v>4541</v>
      </c>
      <c r="K206" s="306" t="s">
        <v>4535</v>
      </c>
      <c r="L206" s="163" t="s">
        <v>6060</v>
      </c>
      <c r="M206" s="306" t="s">
        <v>4509</v>
      </c>
      <c r="N206" s="163" t="s">
        <v>4703</v>
      </c>
      <c r="O206" s="18" t="s">
        <v>4507</v>
      </c>
      <c r="P206" s="163" t="s">
        <v>4420</v>
      </c>
      <c r="Q206" s="163" t="s">
        <v>4420</v>
      </c>
      <c r="R206" s="163" t="s">
        <v>6169</v>
      </c>
      <c r="S206" s="163">
        <v>6</v>
      </c>
      <c r="T206" s="163" t="s">
        <v>4420</v>
      </c>
      <c r="U206" s="163" t="s">
        <v>5792</v>
      </c>
      <c r="V206" s="163" t="s">
        <v>4559</v>
      </c>
      <c r="W206" s="18">
        <v>6</v>
      </c>
      <c r="X206" s="231">
        <v>0</v>
      </c>
      <c r="Y206" s="142">
        <v>0</v>
      </c>
      <c r="Z206" s="306" t="s">
        <v>4804</v>
      </c>
      <c r="AA206" s="21">
        <f t="shared" si="113"/>
        <v>304.79999999999995</v>
      </c>
      <c r="AB206" s="21">
        <f t="shared" si="114"/>
        <v>152.39999999999998</v>
      </c>
      <c r="AC206" s="21">
        <f t="shared" si="115"/>
        <v>9.5249999999999986</v>
      </c>
      <c r="AD206" s="21">
        <f t="shared" si="116"/>
        <v>6.35</v>
      </c>
      <c r="AE206" s="32">
        <v>2716</v>
      </c>
      <c r="AF206" s="306" t="s">
        <v>4749</v>
      </c>
      <c r="AG206" s="21">
        <f t="shared" si="108"/>
        <v>406.4</v>
      </c>
      <c r="AH206" s="21">
        <f t="shared" si="109"/>
        <v>152.39999999999998</v>
      </c>
      <c r="AI206" s="21">
        <f t="shared" si="119"/>
        <v>6.35</v>
      </c>
      <c r="AJ206" s="21">
        <f t="shared" si="119"/>
        <v>6.35</v>
      </c>
      <c r="AK206" s="21">
        <f t="shared" si="110"/>
        <v>1676.3999999999999</v>
      </c>
      <c r="AL206" s="21">
        <f t="shared" si="69"/>
        <v>109736597.1258291</v>
      </c>
      <c r="AM206" s="24">
        <f t="shared" si="70"/>
        <v>633206.3948749993</v>
      </c>
      <c r="AN206" s="21">
        <f t="shared" si="117"/>
        <v>9.5249999999999986</v>
      </c>
      <c r="AO206" s="21">
        <f t="shared" si="111"/>
        <v>152.39999999999998</v>
      </c>
      <c r="AP206" s="21">
        <f t="shared" si="112"/>
        <v>406.4</v>
      </c>
      <c r="AQ206" s="163">
        <v>0</v>
      </c>
      <c r="AR206" s="163">
        <v>0</v>
      </c>
      <c r="AS206" s="306" t="s">
        <v>5807</v>
      </c>
      <c r="AT206" s="163" t="s">
        <v>4499</v>
      </c>
      <c r="AU206" s="21">
        <v>124.55</v>
      </c>
      <c r="AV206" s="21">
        <f>5/8*25.4</f>
        <v>15.875</v>
      </c>
      <c r="AW206" s="163">
        <v>165</v>
      </c>
      <c r="AX206" s="21">
        <f>1.375*25.4+AI206</f>
        <v>41.274999999999999</v>
      </c>
      <c r="AY206" s="21">
        <f>1.375*25.4+AI206</f>
        <v>41.274999999999999</v>
      </c>
      <c r="AZ206" s="21">
        <f>3*25.4</f>
        <v>76.199999999999989</v>
      </c>
      <c r="BA206" s="21">
        <f>2.75*25.4</f>
        <v>69.849999999999994</v>
      </c>
      <c r="BB206" s="21">
        <f t="shared" ref="BB206:BB207" si="120">AP206-AX206-AY206-2*AZ206</f>
        <v>171.45000000000005</v>
      </c>
      <c r="BC206" s="163" t="s">
        <v>4420</v>
      </c>
      <c r="BD206" s="163" t="s">
        <v>4465</v>
      </c>
      <c r="BE206" s="163" t="s">
        <v>4465</v>
      </c>
      <c r="BF206" s="163">
        <v>4</v>
      </c>
      <c r="BG206" s="163">
        <v>8</v>
      </c>
      <c r="BH206" s="202" t="s">
        <v>5792</v>
      </c>
      <c r="BI206" s="203" t="s">
        <v>5792</v>
      </c>
      <c r="BJ206" s="203" t="s">
        <v>5792</v>
      </c>
      <c r="BK206" s="203" t="s">
        <v>5792</v>
      </c>
      <c r="BL206" s="203" t="s">
        <v>5792</v>
      </c>
      <c r="BM206" s="203" t="s">
        <v>5792</v>
      </c>
      <c r="BN206" s="203" t="s">
        <v>5792</v>
      </c>
      <c r="BO206" s="203" t="s">
        <v>5792</v>
      </c>
      <c r="BP206" s="202" t="s">
        <v>5792</v>
      </c>
      <c r="BQ206" s="203" t="s">
        <v>5792</v>
      </c>
      <c r="BR206" s="203" t="s">
        <v>5792</v>
      </c>
      <c r="BS206" s="203" t="s">
        <v>5792</v>
      </c>
      <c r="BT206" s="203" t="s">
        <v>5792</v>
      </c>
      <c r="BU206" s="203" t="s">
        <v>5792</v>
      </c>
      <c r="BV206" s="218" t="s">
        <v>5792</v>
      </c>
      <c r="BW206" s="203" t="s">
        <v>5792</v>
      </c>
      <c r="BX206" s="203" t="s">
        <v>5792</v>
      </c>
      <c r="BY206" s="203" t="s">
        <v>5792</v>
      </c>
      <c r="BZ206" s="203" t="s">
        <v>5792</v>
      </c>
      <c r="CA206" s="203" t="s">
        <v>5792</v>
      </c>
      <c r="CB206" s="218" t="s">
        <v>5792</v>
      </c>
      <c r="CC206" s="163" t="s">
        <v>4536</v>
      </c>
      <c r="CD206" s="21">
        <v>345</v>
      </c>
      <c r="CE206" s="21">
        <v>444.71202</v>
      </c>
      <c r="CF206" s="21">
        <v>450</v>
      </c>
      <c r="CG206" s="21">
        <v>586.05459999999994</v>
      </c>
      <c r="CH206" s="67">
        <v>200000</v>
      </c>
      <c r="CI206" s="306" t="s">
        <v>4536</v>
      </c>
      <c r="CJ206" s="163">
        <v>345</v>
      </c>
      <c r="CK206" s="21">
        <v>465.3963</v>
      </c>
      <c r="CL206" s="163">
        <v>450</v>
      </c>
      <c r="CM206" s="21">
        <v>582.60721999999998</v>
      </c>
      <c r="CN206" s="67">
        <v>200000</v>
      </c>
      <c r="CO206" s="163" t="s">
        <v>4536</v>
      </c>
      <c r="CP206" s="60">
        <v>345</v>
      </c>
      <c r="CQ206" s="21">
        <v>365.2154372</v>
      </c>
      <c r="CR206" s="60">
        <v>450</v>
      </c>
      <c r="CS206" s="21">
        <v>571.575604</v>
      </c>
      <c r="CT206" s="61">
        <v>200000</v>
      </c>
      <c r="CU206" s="207" t="s">
        <v>5792</v>
      </c>
      <c r="CV206" s="208" t="s">
        <v>5792</v>
      </c>
      <c r="CW206" s="208" t="s">
        <v>5792</v>
      </c>
      <c r="CX206" s="209" t="s">
        <v>5792</v>
      </c>
      <c r="CY206" s="207" t="s">
        <v>5792</v>
      </c>
      <c r="CZ206" s="208" t="s">
        <v>5792</v>
      </c>
      <c r="DA206" s="209" t="s">
        <v>5792</v>
      </c>
      <c r="DB206" s="283" t="s">
        <v>5792</v>
      </c>
      <c r="DC206" s="163" t="s">
        <v>4422</v>
      </c>
      <c r="DD206" s="163">
        <v>640</v>
      </c>
      <c r="DE206" s="32">
        <v>730</v>
      </c>
      <c r="DF206" s="163">
        <v>800</v>
      </c>
      <c r="DG206" s="32">
        <v>940</v>
      </c>
      <c r="DH206" s="61">
        <v>200000</v>
      </c>
      <c r="DI206" s="41" t="s">
        <v>15</v>
      </c>
      <c r="DJ206" s="303" t="s">
        <v>6055</v>
      </c>
      <c r="DK206" s="297" t="s">
        <v>4566</v>
      </c>
    </row>
    <row r="207" spans="1:115" ht="15.6" customHeight="1" thickBot="1">
      <c r="A207" s="143">
        <v>202</v>
      </c>
      <c r="B207" s="327"/>
      <c r="C207" s="327"/>
      <c r="D207" s="347"/>
      <c r="E207" s="335"/>
      <c r="F207" s="327"/>
      <c r="G207" s="330"/>
      <c r="H207" s="327"/>
      <c r="I207" s="327"/>
      <c r="J207" s="315" t="s">
        <v>4542</v>
      </c>
      <c r="K207" s="143" t="s">
        <v>4535</v>
      </c>
      <c r="L207" s="164" t="s">
        <v>6060</v>
      </c>
      <c r="M207" s="143" t="s">
        <v>4509</v>
      </c>
      <c r="N207" s="164" t="s">
        <v>4703</v>
      </c>
      <c r="O207" s="14" t="s">
        <v>4507</v>
      </c>
      <c r="P207" s="164" t="s">
        <v>4420</v>
      </c>
      <c r="Q207" s="164" t="s">
        <v>4420</v>
      </c>
      <c r="R207" s="164" t="s">
        <v>6169</v>
      </c>
      <c r="S207" s="164">
        <v>6</v>
      </c>
      <c r="T207" s="164" t="s">
        <v>4420</v>
      </c>
      <c r="U207" s="164" t="s">
        <v>5792</v>
      </c>
      <c r="V207" s="164" t="s">
        <v>4559</v>
      </c>
      <c r="W207" s="14">
        <v>6</v>
      </c>
      <c r="X207" s="231">
        <v>0</v>
      </c>
      <c r="Y207" s="142">
        <v>0</v>
      </c>
      <c r="Z207" s="143" t="s">
        <v>4804</v>
      </c>
      <c r="AA207" s="23">
        <f t="shared" si="113"/>
        <v>304.79999999999995</v>
      </c>
      <c r="AB207" s="23">
        <f t="shared" si="114"/>
        <v>152.39999999999998</v>
      </c>
      <c r="AC207" s="23">
        <f t="shared" si="115"/>
        <v>9.5249999999999986</v>
      </c>
      <c r="AD207" s="23">
        <f t="shared" si="116"/>
        <v>6.35</v>
      </c>
      <c r="AE207" s="34">
        <v>2716</v>
      </c>
      <c r="AF207" s="306" t="s">
        <v>4749</v>
      </c>
      <c r="AG207" s="21">
        <f t="shared" si="108"/>
        <v>406.4</v>
      </c>
      <c r="AH207" s="21">
        <f t="shared" si="109"/>
        <v>152.39999999999998</v>
      </c>
      <c r="AI207" s="21">
        <f t="shared" si="119"/>
        <v>6.35</v>
      </c>
      <c r="AJ207" s="21">
        <f t="shared" si="119"/>
        <v>6.35</v>
      </c>
      <c r="AK207" s="21">
        <f t="shared" si="110"/>
        <v>1676.3999999999999</v>
      </c>
      <c r="AL207" s="21">
        <f t="shared" si="69"/>
        <v>109736597.1258291</v>
      </c>
      <c r="AM207" s="24">
        <f t="shared" si="70"/>
        <v>633206.3948749993</v>
      </c>
      <c r="AN207" s="21">
        <f t="shared" si="117"/>
        <v>9.5249999999999986</v>
      </c>
      <c r="AO207" s="21">
        <f t="shared" si="111"/>
        <v>152.39999999999998</v>
      </c>
      <c r="AP207" s="21">
        <f t="shared" si="112"/>
        <v>406.4</v>
      </c>
      <c r="AQ207" s="163">
        <v>0</v>
      </c>
      <c r="AR207" s="163">
        <v>0</v>
      </c>
      <c r="AS207" s="306" t="s">
        <v>5807</v>
      </c>
      <c r="AT207" s="163" t="s">
        <v>4499</v>
      </c>
      <c r="AU207" s="21">
        <v>124.55</v>
      </c>
      <c r="AV207" s="21">
        <f>5/8*25.4</f>
        <v>15.875</v>
      </c>
      <c r="AW207" s="163">
        <v>165</v>
      </c>
      <c r="AX207" s="21">
        <f>1.375*25.4+AI207</f>
        <v>41.274999999999999</v>
      </c>
      <c r="AY207" s="21">
        <f>1.375*25.4+AI207</f>
        <v>41.274999999999999</v>
      </c>
      <c r="AZ207" s="21">
        <f>3*25.4</f>
        <v>76.199999999999989</v>
      </c>
      <c r="BA207" s="21">
        <f>2.75*25.4</f>
        <v>69.849999999999994</v>
      </c>
      <c r="BB207" s="21">
        <f t="shared" si="120"/>
        <v>171.45000000000005</v>
      </c>
      <c r="BC207" s="163" t="s">
        <v>4420</v>
      </c>
      <c r="BD207" s="163" t="s">
        <v>4465</v>
      </c>
      <c r="BE207" s="163" t="s">
        <v>4465</v>
      </c>
      <c r="BF207" s="163">
        <v>4</v>
      </c>
      <c r="BG207" s="163">
        <v>8</v>
      </c>
      <c r="BH207" s="202" t="s">
        <v>5792</v>
      </c>
      <c r="BI207" s="203" t="s">
        <v>5792</v>
      </c>
      <c r="BJ207" s="203" t="s">
        <v>5792</v>
      </c>
      <c r="BK207" s="203" t="s">
        <v>5792</v>
      </c>
      <c r="BL207" s="203" t="s">
        <v>5792</v>
      </c>
      <c r="BM207" s="203" t="s">
        <v>5792</v>
      </c>
      <c r="BN207" s="203" t="s">
        <v>5792</v>
      </c>
      <c r="BO207" s="203" t="s">
        <v>5792</v>
      </c>
      <c r="BP207" s="202" t="s">
        <v>5792</v>
      </c>
      <c r="BQ207" s="203" t="s">
        <v>5792</v>
      </c>
      <c r="BR207" s="203" t="s">
        <v>5792</v>
      </c>
      <c r="BS207" s="203" t="s">
        <v>5792</v>
      </c>
      <c r="BT207" s="203" t="s">
        <v>5792</v>
      </c>
      <c r="BU207" s="203" t="s">
        <v>5792</v>
      </c>
      <c r="BV207" s="218" t="s">
        <v>5792</v>
      </c>
      <c r="BW207" s="203" t="s">
        <v>5792</v>
      </c>
      <c r="BX207" s="203" t="s">
        <v>5792</v>
      </c>
      <c r="BY207" s="203" t="s">
        <v>5792</v>
      </c>
      <c r="BZ207" s="203" t="s">
        <v>5792</v>
      </c>
      <c r="CA207" s="203" t="s">
        <v>5792</v>
      </c>
      <c r="CB207" s="218" t="s">
        <v>5792</v>
      </c>
      <c r="CC207" s="163" t="s">
        <v>4536</v>
      </c>
      <c r="CD207" s="21">
        <v>345</v>
      </c>
      <c r="CE207" s="21">
        <v>444.71202</v>
      </c>
      <c r="CF207" s="21">
        <v>450</v>
      </c>
      <c r="CG207" s="21">
        <v>586.05459999999994</v>
      </c>
      <c r="CH207" s="67">
        <v>200000</v>
      </c>
      <c r="CI207" s="306" t="s">
        <v>4536</v>
      </c>
      <c r="CJ207" s="163">
        <v>345</v>
      </c>
      <c r="CK207" s="21">
        <v>465.3963</v>
      </c>
      <c r="CL207" s="163">
        <v>450</v>
      </c>
      <c r="CM207" s="21">
        <v>582.60721999999998</v>
      </c>
      <c r="CN207" s="67">
        <v>200000</v>
      </c>
      <c r="CO207" s="163" t="s">
        <v>4536</v>
      </c>
      <c r="CP207" s="60">
        <v>345</v>
      </c>
      <c r="CQ207" s="21">
        <v>365.42228</v>
      </c>
      <c r="CR207" s="60">
        <v>450</v>
      </c>
      <c r="CS207" s="21">
        <v>572.26508000000001</v>
      </c>
      <c r="CT207" s="61">
        <v>200000</v>
      </c>
      <c r="CU207" s="207" t="s">
        <v>5792</v>
      </c>
      <c r="CV207" s="208" t="s">
        <v>5792</v>
      </c>
      <c r="CW207" s="208" t="s">
        <v>5792</v>
      </c>
      <c r="CX207" s="209" t="s">
        <v>5792</v>
      </c>
      <c r="CY207" s="207" t="s">
        <v>5792</v>
      </c>
      <c r="CZ207" s="208" t="s">
        <v>5792</v>
      </c>
      <c r="DA207" s="209" t="s">
        <v>5792</v>
      </c>
      <c r="DB207" s="283" t="s">
        <v>5792</v>
      </c>
      <c r="DC207" s="163" t="s">
        <v>4422</v>
      </c>
      <c r="DD207" s="163">
        <v>640</v>
      </c>
      <c r="DE207" s="32">
        <v>730</v>
      </c>
      <c r="DF207" s="163">
        <v>800</v>
      </c>
      <c r="DG207" s="32">
        <v>940</v>
      </c>
      <c r="DH207" s="61">
        <v>200000</v>
      </c>
      <c r="DI207" s="41" t="s">
        <v>15</v>
      </c>
      <c r="DJ207" s="303" t="s">
        <v>6055</v>
      </c>
      <c r="DK207" s="297" t="s">
        <v>4566</v>
      </c>
    </row>
    <row r="208" spans="1:115" ht="15.6" customHeight="1">
      <c r="A208" s="306">
        <v>203</v>
      </c>
      <c r="B208" s="328">
        <v>30</v>
      </c>
      <c r="C208" s="328">
        <v>1999</v>
      </c>
      <c r="D208" s="342" t="s">
        <v>4676</v>
      </c>
      <c r="E208" s="342" t="s">
        <v>4854</v>
      </c>
      <c r="F208" s="325">
        <v>17</v>
      </c>
      <c r="G208" s="336" t="s">
        <v>5909</v>
      </c>
      <c r="H208" s="336" t="s">
        <v>5902</v>
      </c>
      <c r="I208" s="336" t="s">
        <v>6242</v>
      </c>
      <c r="J208" s="320" t="s">
        <v>4397</v>
      </c>
      <c r="K208" s="306" t="s">
        <v>4535</v>
      </c>
      <c r="L208" s="163" t="s">
        <v>6062</v>
      </c>
      <c r="M208" s="306" t="s">
        <v>4509</v>
      </c>
      <c r="N208" s="163" t="s">
        <v>4703</v>
      </c>
      <c r="O208" s="18" t="s">
        <v>4507</v>
      </c>
      <c r="P208" s="163" t="s">
        <v>4420</v>
      </c>
      <c r="Q208" s="163" t="s">
        <v>4420</v>
      </c>
      <c r="R208" s="163" t="s">
        <v>4420</v>
      </c>
      <c r="S208" s="163" t="s">
        <v>5792</v>
      </c>
      <c r="T208" s="163" t="s">
        <v>4420</v>
      </c>
      <c r="U208" s="163" t="s">
        <v>5792</v>
      </c>
      <c r="V208" s="163" t="s">
        <v>6050</v>
      </c>
      <c r="W208" s="18">
        <v>6</v>
      </c>
      <c r="X208" s="232">
        <v>0</v>
      </c>
      <c r="Y208" s="155">
        <v>80</v>
      </c>
      <c r="Z208" s="306" t="s">
        <v>4647</v>
      </c>
      <c r="AA208" s="16">
        <f>INDEX('[2]Cross-Section Database'!$C$2:$V$2928,MATCH(Z208,'[2]Cross-Section Database'!$B$2:$B$2928,0),3)</f>
        <v>200</v>
      </c>
      <c r="AB208" s="16">
        <f>INDEX('[2]Cross-Section Database'!$C$2:$V$2928,MATCH(Z208,'[2]Cross-Section Database'!$B$2:$B$2928,0),4)</f>
        <v>200</v>
      </c>
      <c r="AC208" s="16">
        <f>INDEX('[2]Cross-Section Database'!$C$2:$V$2928,MATCH(Z208,'[2]Cross-Section Database'!$B$2:$B$2928,0),6)</f>
        <v>8</v>
      </c>
      <c r="AD208" s="16">
        <f>INDEX('[2]Cross-Section Database'!$C$2:$V$2928,MATCH(Z208,'[2]Cross-Section Database'!$B$2:$B$2928,0),5)</f>
        <v>8</v>
      </c>
      <c r="AE208" s="163">
        <v>1700</v>
      </c>
      <c r="AF208" s="305" t="s">
        <v>6322</v>
      </c>
      <c r="AG208" s="16">
        <f>INDEX('[2]Cross-Section Database'!$C$2:$V$2928,MATCH(AF208,'[2]Cross-Section Database'!$B$2:$B$2928,0),3)</f>
        <v>449.8</v>
      </c>
      <c r="AH208" s="16">
        <f>INDEX('[2]Cross-Section Database'!$C$2:$V$2928,MATCH(AF208,'[2]Cross-Section Database'!$B$2:$B$2928,0),4)</f>
        <v>152.4</v>
      </c>
      <c r="AI208" s="16">
        <f>INDEX('[2]Cross-Section Database'!$C$2:$V$2928,MATCH(AF208,'[2]Cross-Section Database'!$B$2:$B$2928,0),6)</f>
        <v>10.9</v>
      </c>
      <c r="AJ208" s="16">
        <f>INDEX('[2]Cross-Section Database'!$C$2:$V$2928,MATCH(AF208,'[2]Cross-Section Database'!$B$2:$B$2928,0),5)</f>
        <v>7.6</v>
      </c>
      <c r="AK208" s="16">
        <v>1007</v>
      </c>
      <c r="AL208" s="16">
        <f>INDEX('[2]Cross-Section Database'!$C$2:$V$3928,MATCH(AF208,'[2]Cross-Section Database'!$B$2:$B$3928,0),11)</f>
        <v>213700000</v>
      </c>
      <c r="AM208" s="26">
        <f>INDEX('[2]Cross-Section Database'!$C$2:$V$3928,MATCH(AF208,'[2]Cross-Section Database'!$B$2:$B$3928,0),12)</f>
        <v>1096000</v>
      </c>
      <c r="AN208" s="16">
        <v>10</v>
      </c>
      <c r="AO208" s="16">
        <v>160</v>
      </c>
      <c r="AP208" s="16">
        <v>450</v>
      </c>
      <c r="AQ208" s="16">
        <f t="shared" ref="AQ208:AQ249" si="121">(AP208-AG208)-AR208</f>
        <v>9.9999999999994316E-2</v>
      </c>
      <c r="AR208" s="16">
        <f t="shared" ref="AR208:AR270" si="122">(AP208-AG208)/2</f>
        <v>9.9999999999994316E-2</v>
      </c>
      <c r="AS208" s="305" t="s">
        <v>5807</v>
      </c>
      <c r="AT208" s="162" t="s">
        <v>4706</v>
      </c>
      <c r="AU208" s="16">
        <f t="shared" ref="AU208:AU224" si="123" xml:space="preserve"> 160/AV208/0.25</f>
        <v>32</v>
      </c>
      <c r="AV208" s="16">
        <v>20</v>
      </c>
      <c r="AW208" s="162">
        <f t="shared" ref="AW208:AW254" si="124">IF(AV208=24,353,IF(AV208=22,303,IF(AV208=20,245,IF(AV208=16,157,0))))</f>
        <v>245</v>
      </c>
      <c r="AX208" s="16">
        <v>60</v>
      </c>
      <c r="AY208" s="162">
        <v>90</v>
      </c>
      <c r="AZ208" s="16">
        <v>100</v>
      </c>
      <c r="BA208" s="16">
        <v>100</v>
      </c>
      <c r="BB208" s="16">
        <f>AP208-AX208-AY208-2*AZ208</f>
        <v>100</v>
      </c>
      <c r="BC208" s="162" t="s">
        <v>4420</v>
      </c>
      <c r="BD208" s="162" t="s">
        <v>4465</v>
      </c>
      <c r="BE208" s="162" t="s">
        <v>4465</v>
      </c>
      <c r="BF208" s="162">
        <v>4</v>
      </c>
      <c r="BG208" s="17">
        <v>8</v>
      </c>
      <c r="BH208" s="200" t="s">
        <v>5792</v>
      </c>
      <c r="BI208" s="201" t="s">
        <v>5792</v>
      </c>
      <c r="BJ208" s="201" t="s">
        <v>5792</v>
      </c>
      <c r="BK208" s="201" t="s">
        <v>5792</v>
      </c>
      <c r="BL208" s="201" t="s">
        <v>5792</v>
      </c>
      <c r="BM208" s="201" t="s">
        <v>5792</v>
      </c>
      <c r="BN208" s="201" t="s">
        <v>5792</v>
      </c>
      <c r="BO208" s="201" t="s">
        <v>5792</v>
      </c>
      <c r="BP208" s="200" t="s">
        <v>5792</v>
      </c>
      <c r="BQ208" s="201" t="s">
        <v>5792</v>
      </c>
      <c r="BR208" s="201" t="s">
        <v>5792</v>
      </c>
      <c r="BS208" s="201" t="s">
        <v>5792</v>
      </c>
      <c r="BT208" s="201" t="s">
        <v>5792</v>
      </c>
      <c r="BU208" s="201" t="s">
        <v>5792</v>
      </c>
      <c r="BV208" s="219" t="s">
        <v>5792</v>
      </c>
      <c r="BW208" s="201" t="s">
        <v>5792</v>
      </c>
      <c r="BX208" s="201" t="s">
        <v>5792</v>
      </c>
      <c r="BY208" s="201" t="s">
        <v>5792</v>
      </c>
      <c r="BZ208" s="201" t="s">
        <v>5792</v>
      </c>
      <c r="CA208" s="201" t="s">
        <v>5792</v>
      </c>
      <c r="CB208" s="219" t="s">
        <v>5792</v>
      </c>
      <c r="CC208" s="305" t="s">
        <v>6282</v>
      </c>
      <c r="CD208" s="162">
        <v>275</v>
      </c>
      <c r="CE208" s="16">
        <v>318</v>
      </c>
      <c r="CF208" s="162">
        <v>410</v>
      </c>
      <c r="CG208" s="16">
        <v>466</v>
      </c>
      <c r="CH208" s="96">
        <v>201000</v>
      </c>
      <c r="CI208" s="305" t="s">
        <v>6282</v>
      </c>
      <c r="CJ208" s="162">
        <v>275</v>
      </c>
      <c r="CK208" s="72">
        <v>318</v>
      </c>
      <c r="CL208" s="65">
        <v>430</v>
      </c>
      <c r="CM208" s="65">
        <v>466</v>
      </c>
      <c r="CN208" s="96">
        <v>201000</v>
      </c>
      <c r="CO208" s="305" t="s">
        <v>6282</v>
      </c>
      <c r="CP208" s="65">
        <v>275</v>
      </c>
      <c r="CQ208" s="30">
        <v>360</v>
      </c>
      <c r="CR208" s="65">
        <v>410</v>
      </c>
      <c r="CS208" s="30">
        <v>530</v>
      </c>
      <c r="CT208" s="66">
        <v>200000</v>
      </c>
      <c r="CU208" s="204" t="s">
        <v>5792</v>
      </c>
      <c r="CV208" s="205" t="s">
        <v>5792</v>
      </c>
      <c r="CW208" s="205" t="s">
        <v>5792</v>
      </c>
      <c r="CX208" s="206" t="s">
        <v>5792</v>
      </c>
      <c r="CY208" s="204" t="s">
        <v>5792</v>
      </c>
      <c r="CZ208" s="205" t="s">
        <v>5792</v>
      </c>
      <c r="DA208" s="206" t="s">
        <v>5792</v>
      </c>
      <c r="DB208" s="282" t="s">
        <v>5792</v>
      </c>
      <c r="DC208" s="162">
        <v>8.8000000000000007</v>
      </c>
      <c r="DD208" s="162">
        <v>640</v>
      </c>
      <c r="DE208" s="30">
        <v>730</v>
      </c>
      <c r="DF208" s="162">
        <v>800</v>
      </c>
      <c r="DG208" s="30">
        <v>940</v>
      </c>
      <c r="DH208" s="66">
        <v>200000</v>
      </c>
      <c r="DI208" s="43" t="s">
        <v>5840</v>
      </c>
      <c r="DJ208" s="305" t="s">
        <v>4435</v>
      </c>
      <c r="DK208" s="296" t="s">
        <v>4566</v>
      </c>
    </row>
    <row r="209" spans="1:115">
      <c r="A209" s="306">
        <v>204</v>
      </c>
      <c r="B209" s="329"/>
      <c r="C209" s="329"/>
      <c r="D209" s="343"/>
      <c r="E209" s="343"/>
      <c r="F209" s="326"/>
      <c r="G209" s="337"/>
      <c r="H209" s="337"/>
      <c r="I209" s="337"/>
      <c r="J209" s="320" t="s">
        <v>4399</v>
      </c>
      <c r="K209" s="306" t="s">
        <v>4535</v>
      </c>
      <c r="L209" s="163" t="s">
        <v>6062</v>
      </c>
      <c r="M209" s="306" t="s">
        <v>4509</v>
      </c>
      <c r="N209" s="163" t="s">
        <v>4703</v>
      </c>
      <c r="O209" s="18" t="s">
        <v>4507</v>
      </c>
      <c r="P209" s="163" t="s">
        <v>4420</v>
      </c>
      <c r="Q209" s="163" t="s">
        <v>4420</v>
      </c>
      <c r="R209" s="163" t="s">
        <v>4420</v>
      </c>
      <c r="S209" s="163" t="s">
        <v>5792</v>
      </c>
      <c r="T209" s="163" t="s">
        <v>4420</v>
      </c>
      <c r="U209" s="163" t="s">
        <v>5792</v>
      </c>
      <c r="V209" s="163" t="s">
        <v>6050</v>
      </c>
      <c r="W209" s="18">
        <v>6</v>
      </c>
      <c r="X209" s="231">
        <v>0</v>
      </c>
      <c r="Y209" s="142">
        <v>80</v>
      </c>
      <c r="Z209" s="306" t="s">
        <v>4647</v>
      </c>
      <c r="AA209" s="21">
        <f>INDEX('[2]Cross-Section Database'!$C$2:$V$2928,MATCH(Z209,'[2]Cross-Section Database'!$B$2:$B$2928,0),3)</f>
        <v>200</v>
      </c>
      <c r="AB209" s="21">
        <f>INDEX('[2]Cross-Section Database'!$C$2:$V$2928,MATCH(Z209,'[2]Cross-Section Database'!$B$2:$B$2928,0),4)</f>
        <v>200</v>
      </c>
      <c r="AC209" s="21">
        <f>INDEX('[2]Cross-Section Database'!$C$2:$V$2928,MATCH(Z209,'[2]Cross-Section Database'!$B$2:$B$2928,0),6)</f>
        <v>8</v>
      </c>
      <c r="AD209" s="21">
        <f>INDEX('[2]Cross-Section Database'!$C$2:$V$2928,MATCH(Z209,'[2]Cross-Section Database'!$B$2:$B$2928,0),5)</f>
        <v>8</v>
      </c>
      <c r="AE209" s="163">
        <v>1700</v>
      </c>
      <c r="AF209" s="306" t="s">
        <v>4222</v>
      </c>
      <c r="AG209" s="21">
        <f>INDEX('[2]Cross-Section Database'!$C$2:$V$2928,MATCH(AF209,'[2]Cross-Section Database'!$B$2:$B$2928,0),3)</f>
        <v>351.4</v>
      </c>
      <c r="AH209" s="21">
        <f>INDEX('[2]Cross-Section Database'!$C$2:$V$2928,MATCH(AF209,'[2]Cross-Section Database'!$B$2:$B$2928,0),4)</f>
        <v>171.1</v>
      </c>
      <c r="AI209" s="21">
        <f>INDEX('[2]Cross-Section Database'!$C$2:$V$2928,MATCH(AF209,'[2]Cross-Section Database'!$B$2:$B$2928,0),6)</f>
        <v>9.6999999999999993</v>
      </c>
      <c r="AJ209" s="21">
        <f>INDEX('[2]Cross-Section Database'!$C$2:$V$2928,MATCH(AF209,'[2]Cross-Section Database'!$B$2:$B$2928,0),5)</f>
        <v>7</v>
      </c>
      <c r="AK209" s="21">
        <v>1010</v>
      </c>
      <c r="AL209" s="21">
        <f>INDEX('[2]Cross-Section Database'!$C$2:$V$3928,MATCH(AF209,'[2]Cross-Section Database'!$B$2:$B$3928,0),11)</f>
        <v>120700000</v>
      </c>
      <c r="AM209" s="24">
        <f>INDEX('[2]Cross-Section Database'!$C$2:$V$3928,MATCH(AF209,'[2]Cross-Section Database'!$B$2:$B$3928,0),12)</f>
        <v>774600</v>
      </c>
      <c r="AN209" s="21">
        <v>10</v>
      </c>
      <c r="AO209" s="21">
        <v>160</v>
      </c>
      <c r="AP209" s="21">
        <v>350</v>
      </c>
      <c r="AQ209" s="21">
        <v>0</v>
      </c>
      <c r="AR209" s="21">
        <v>0</v>
      </c>
      <c r="AS209" s="306" t="s">
        <v>5807</v>
      </c>
      <c r="AT209" s="163" t="s">
        <v>4706</v>
      </c>
      <c r="AU209" s="21">
        <f t="shared" si="123"/>
        <v>32</v>
      </c>
      <c r="AV209" s="21">
        <v>20</v>
      </c>
      <c r="AW209" s="163">
        <f t="shared" si="124"/>
        <v>245</v>
      </c>
      <c r="AX209" s="21">
        <v>60</v>
      </c>
      <c r="AY209" s="163">
        <v>90</v>
      </c>
      <c r="AZ209" s="21">
        <v>100</v>
      </c>
      <c r="BA209" s="21">
        <v>100</v>
      </c>
      <c r="BB209" s="21">
        <f t="shared" ref="BB209:BB259" si="125">AP209-AX209-AY209-AZ209</f>
        <v>100</v>
      </c>
      <c r="BC209" s="163" t="s">
        <v>4420</v>
      </c>
      <c r="BD209" s="163" t="s">
        <v>4465</v>
      </c>
      <c r="BE209" s="163" t="s">
        <v>6209</v>
      </c>
      <c r="BF209" s="163">
        <v>4</v>
      </c>
      <c r="BG209" s="18">
        <v>6</v>
      </c>
      <c r="BH209" s="202" t="s">
        <v>5792</v>
      </c>
      <c r="BI209" s="203" t="s">
        <v>5792</v>
      </c>
      <c r="BJ209" s="203" t="s">
        <v>5792</v>
      </c>
      <c r="BK209" s="203" t="s">
        <v>5792</v>
      </c>
      <c r="BL209" s="203" t="s">
        <v>5792</v>
      </c>
      <c r="BM209" s="203" t="s">
        <v>5792</v>
      </c>
      <c r="BN209" s="203" t="s">
        <v>5792</v>
      </c>
      <c r="BO209" s="203" t="s">
        <v>5792</v>
      </c>
      <c r="BP209" s="202" t="s">
        <v>5792</v>
      </c>
      <c r="BQ209" s="203" t="s">
        <v>5792</v>
      </c>
      <c r="BR209" s="203" t="s">
        <v>5792</v>
      </c>
      <c r="BS209" s="203" t="s">
        <v>5792</v>
      </c>
      <c r="BT209" s="203" t="s">
        <v>5792</v>
      </c>
      <c r="BU209" s="203" t="s">
        <v>5792</v>
      </c>
      <c r="BV209" s="218" t="s">
        <v>5792</v>
      </c>
      <c r="BW209" s="203" t="s">
        <v>5792</v>
      </c>
      <c r="BX209" s="203" t="s">
        <v>5792</v>
      </c>
      <c r="BY209" s="203" t="s">
        <v>5792</v>
      </c>
      <c r="BZ209" s="203" t="s">
        <v>5792</v>
      </c>
      <c r="CA209" s="203" t="s">
        <v>5792</v>
      </c>
      <c r="CB209" s="218" t="s">
        <v>5792</v>
      </c>
      <c r="CC209" s="306" t="s">
        <v>6282</v>
      </c>
      <c r="CD209" s="163">
        <v>275</v>
      </c>
      <c r="CE209" s="21">
        <v>318</v>
      </c>
      <c r="CF209" s="163">
        <v>410</v>
      </c>
      <c r="CG209" s="21">
        <v>466</v>
      </c>
      <c r="CH209" s="141">
        <v>201000</v>
      </c>
      <c r="CI209" s="306" t="s">
        <v>4450</v>
      </c>
      <c r="CJ209" s="163">
        <v>275</v>
      </c>
      <c r="CK209" s="47">
        <v>318</v>
      </c>
      <c r="CL209" s="60">
        <v>430</v>
      </c>
      <c r="CM209" s="47">
        <v>466</v>
      </c>
      <c r="CN209" s="141">
        <v>201000</v>
      </c>
      <c r="CO209" s="306" t="s">
        <v>6282</v>
      </c>
      <c r="CP209" s="60">
        <v>275</v>
      </c>
      <c r="CQ209" s="32">
        <v>360</v>
      </c>
      <c r="CR209" s="60">
        <v>410</v>
      </c>
      <c r="CS209" s="32">
        <v>530</v>
      </c>
      <c r="CT209" s="67">
        <v>200000</v>
      </c>
      <c r="CU209" s="207" t="s">
        <v>5792</v>
      </c>
      <c r="CV209" s="208" t="s">
        <v>5792</v>
      </c>
      <c r="CW209" s="208" t="s">
        <v>5792</v>
      </c>
      <c r="CX209" s="209" t="s">
        <v>5792</v>
      </c>
      <c r="CY209" s="207" t="s">
        <v>5792</v>
      </c>
      <c r="CZ209" s="208" t="s">
        <v>5792</v>
      </c>
      <c r="DA209" s="209" t="s">
        <v>5792</v>
      </c>
      <c r="DB209" s="283" t="s">
        <v>5792</v>
      </c>
      <c r="DC209" s="163">
        <v>8.8000000000000007</v>
      </c>
      <c r="DD209" s="163">
        <v>640</v>
      </c>
      <c r="DE209" s="32">
        <v>730</v>
      </c>
      <c r="DF209" s="163">
        <v>800</v>
      </c>
      <c r="DG209" s="32">
        <v>940</v>
      </c>
      <c r="DH209" s="67">
        <v>200000</v>
      </c>
      <c r="DI209" s="41" t="s">
        <v>4765</v>
      </c>
      <c r="DJ209" s="306" t="s">
        <v>4435</v>
      </c>
      <c r="DK209" s="297" t="s">
        <v>4566</v>
      </c>
    </row>
    <row r="210" spans="1:115">
      <c r="A210" s="306">
        <v>205</v>
      </c>
      <c r="B210" s="329"/>
      <c r="C210" s="329"/>
      <c r="D210" s="343"/>
      <c r="E210" s="343"/>
      <c r="F210" s="326"/>
      <c r="G210" s="337"/>
      <c r="H210" s="337"/>
      <c r="I210" s="337"/>
      <c r="J210" s="320" t="s">
        <v>4400</v>
      </c>
      <c r="K210" s="306" t="s">
        <v>4535</v>
      </c>
      <c r="L210" s="163" t="s">
        <v>6062</v>
      </c>
      <c r="M210" s="306" t="s">
        <v>4509</v>
      </c>
      <c r="N210" s="163" t="s">
        <v>4703</v>
      </c>
      <c r="O210" s="18" t="s">
        <v>4507</v>
      </c>
      <c r="P210" s="163" t="s">
        <v>4420</v>
      </c>
      <c r="Q210" s="163" t="s">
        <v>4420</v>
      </c>
      <c r="R210" s="163" t="s">
        <v>4420</v>
      </c>
      <c r="S210" s="163" t="s">
        <v>5792</v>
      </c>
      <c r="T210" s="163" t="s">
        <v>4420</v>
      </c>
      <c r="U210" s="163" t="s">
        <v>5792</v>
      </c>
      <c r="V210" s="163" t="s">
        <v>6050</v>
      </c>
      <c r="W210" s="18">
        <v>6</v>
      </c>
      <c r="X210" s="231">
        <v>0</v>
      </c>
      <c r="Y210" s="142">
        <v>80</v>
      </c>
      <c r="Z210" s="306" t="s">
        <v>4647</v>
      </c>
      <c r="AA210" s="21">
        <f>INDEX('[2]Cross-Section Database'!$C$2:$V$2928,MATCH(Z210,'[2]Cross-Section Database'!$B$2:$B$2928,0),3)</f>
        <v>200</v>
      </c>
      <c r="AB210" s="21">
        <f>INDEX('[2]Cross-Section Database'!$C$2:$V$2928,MATCH(Z210,'[2]Cross-Section Database'!$B$2:$B$2928,0),4)</f>
        <v>200</v>
      </c>
      <c r="AC210" s="21">
        <f>INDEX('[2]Cross-Section Database'!$C$2:$V$2928,MATCH(Z210,'[2]Cross-Section Database'!$B$2:$B$2928,0),6)</f>
        <v>8</v>
      </c>
      <c r="AD210" s="21">
        <f>INDEX('[2]Cross-Section Database'!$C$2:$V$2928,MATCH(Z210,'[2]Cross-Section Database'!$B$2:$B$2928,0),5)</f>
        <v>8</v>
      </c>
      <c r="AE210" s="163">
        <v>1700</v>
      </c>
      <c r="AF210" s="306" t="s">
        <v>4222</v>
      </c>
      <c r="AG210" s="21">
        <f>INDEX('[2]Cross-Section Database'!$C$2:$V$2928,MATCH(AF210,'[2]Cross-Section Database'!$B$2:$B$2928,0),3)</f>
        <v>351.4</v>
      </c>
      <c r="AH210" s="21">
        <f>INDEX('[2]Cross-Section Database'!$C$2:$V$2928,MATCH(AF210,'[2]Cross-Section Database'!$B$2:$B$2928,0),4)</f>
        <v>171.1</v>
      </c>
      <c r="AI210" s="21">
        <f>INDEX('[2]Cross-Section Database'!$C$2:$V$2928,MATCH(AF210,'[2]Cross-Section Database'!$B$2:$B$2928,0),6)</f>
        <v>9.6999999999999993</v>
      </c>
      <c r="AJ210" s="21">
        <f>INDEX('[2]Cross-Section Database'!$C$2:$V$2928,MATCH(AF210,'[2]Cross-Section Database'!$B$2:$B$2928,0),5)</f>
        <v>7</v>
      </c>
      <c r="AK210" s="21">
        <v>1015</v>
      </c>
      <c r="AL210" s="21">
        <f>INDEX('[2]Cross-Section Database'!$C$2:$V$3928,MATCH(AF210,'[2]Cross-Section Database'!$B$2:$B$3928,0),11)</f>
        <v>120700000</v>
      </c>
      <c r="AM210" s="24">
        <f>INDEX('[2]Cross-Section Database'!$C$2:$V$3928,MATCH(AF210,'[2]Cross-Section Database'!$B$2:$B$3928,0),12)</f>
        <v>774600</v>
      </c>
      <c r="AN210" s="21">
        <v>10</v>
      </c>
      <c r="AO210" s="21">
        <v>160</v>
      </c>
      <c r="AP210" s="21">
        <v>350</v>
      </c>
      <c r="AQ210" s="21">
        <v>0</v>
      </c>
      <c r="AR210" s="21">
        <v>0</v>
      </c>
      <c r="AS210" s="306" t="s">
        <v>5807</v>
      </c>
      <c r="AT210" s="163" t="s">
        <v>4706</v>
      </c>
      <c r="AU210" s="21">
        <f t="shared" si="123"/>
        <v>32</v>
      </c>
      <c r="AV210" s="21">
        <v>20</v>
      </c>
      <c r="AW210" s="163">
        <f t="shared" si="124"/>
        <v>245</v>
      </c>
      <c r="AX210" s="21">
        <v>60</v>
      </c>
      <c r="AY210" s="163">
        <v>90</v>
      </c>
      <c r="AZ210" s="21">
        <v>100</v>
      </c>
      <c r="BA210" s="21">
        <v>80</v>
      </c>
      <c r="BB210" s="21">
        <f t="shared" si="125"/>
        <v>100</v>
      </c>
      <c r="BC210" s="163" t="s">
        <v>4420</v>
      </c>
      <c r="BD210" s="163" t="s">
        <v>4465</v>
      </c>
      <c r="BE210" s="163" t="s">
        <v>6209</v>
      </c>
      <c r="BF210" s="163">
        <v>4</v>
      </c>
      <c r="BG210" s="18">
        <v>6</v>
      </c>
      <c r="BH210" s="202" t="s">
        <v>5792</v>
      </c>
      <c r="BI210" s="203" t="s">
        <v>5792</v>
      </c>
      <c r="BJ210" s="203" t="s">
        <v>5792</v>
      </c>
      <c r="BK210" s="203" t="s">
        <v>5792</v>
      </c>
      <c r="BL210" s="203" t="s">
        <v>5792</v>
      </c>
      <c r="BM210" s="203" t="s">
        <v>5792</v>
      </c>
      <c r="BN210" s="203" t="s">
        <v>5792</v>
      </c>
      <c r="BO210" s="203" t="s">
        <v>5792</v>
      </c>
      <c r="BP210" s="202" t="s">
        <v>5792</v>
      </c>
      <c r="BQ210" s="203" t="s">
        <v>5792</v>
      </c>
      <c r="BR210" s="203" t="s">
        <v>5792</v>
      </c>
      <c r="BS210" s="203" t="s">
        <v>5792</v>
      </c>
      <c r="BT210" s="203" t="s">
        <v>5792</v>
      </c>
      <c r="BU210" s="203" t="s">
        <v>5792</v>
      </c>
      <c r="BV210" s="218" t="s">
        <v>5792</v>
      </c>
      <c r="BW210" s="203" t="s">
        <v>5792</v>
      </c>
      <c r="BX210" s="203" t="s">
        <v>5792</v>
      </c>
      <c r="BY210" s="203" t="s">
        <v>5792</v>
      </c>
      <c r="BZ210" s="203" t="s">
        <v>5792</v>
      </c>
      <c r="CA210" s="203" t="s">
        <v>5792</v>
      </c>
      <c r="CB210" s="218" t="s">
        <v>5792</v>
      </c>
      <c r="CC210" s="306" t="s">
        <v>6282</v>
      </c>
      <c r="CD210" s="163">
        <v>275</v>
      </c>
      <c r="CE210" s="21">
        <v>318</v>
      </c>
      <c r="CF210" s="163">
        <v>410</v>
      </c>
      <c r="CG210" s="21">
        <v>466</v>
      </c>
      <c r="CH210" s="141">
        <v>201000</v>
      </c>
      <c r="CI210" s="306" t="s">
        <v>4450</v>
      </c>
      <c r="CJ210" s="163">
        <v>275</v>
      </c>
      <c r="CK210" s="47">
        <v>318</v>
      </c>
      <c r="CL210" s="60">
        <v>430</v>
      </c>
      <c r="CM210" s="47">
        <v>466</v>
      </c>
      <c r="CN210" s="141">
        <v>201000</v>
      </c>
      <c r="CO210" s="306" t="s">
        <v>6282</v>
      </c>
      <c r="CP210" s="60">
        <v>275</v>
      </c>
      <c r="CQ210" s="32">
        <v>360</v>
      </c>
      <c r="CR210" s="60">
        <v>410</v>
      </c>
      <c r="CS210" s="32">
        <v>530</v>
      </c>
      <c r="CT210" s="67">
        <v>200000</v>
      </c>
      <c r="CU210" s="207" t="s">
        <v>5792</v>
      </c>
      <c r="CV210" s="208" t="s">
        <v>5792</v>
      </c>
      <c r="CW210" s="208" t="s">
        <v>5792</v>
      </c>
      <c r="CX210" s="209" t="s">
        <v>5792</v>
      </c>
      <c r="CY210" s="207" t="s">
        <v>5792</v>
      </c>
      <c r="CZ210" s="208" t="s">
        <v>5792</v>
      </c>
      <c r="DA210" s="209" t="s">
        <v>5792</v>
      </c>
      <c r="DB210" s="283" t="s">
        <v>5792</v>
      </c>
      <c r="DC210" s="163">
        <v>8.8000000000000007</v>
      </c>
      <c r="DD210" s="163">
        <v>640</v>
      </c>
      <c r="DE210" s="32">
        <v>730</v>
      </c>
      <c r="DF210" s="163">
        <v>800</v>
      </c>
      <c r="DG210" s="32">
        <v>940</v>
      </c>
      <c r="DH210" s="67">
        <v>200000</v>
      </c>
      <c r="DI210" s="41" t="s">
        <v>4765</v>
      </c>
      <c r="DJ210" s="306" t="s">
        <v>4435</v>
      </c>
      <c r="DK210" s="297" t="s">
        <v>4566</v>
      </c>
    </row>
    <row r="211" spans="1:115">
      <c r="A211" s="306">
        <v>206</v>
      </c>
      <c r="B211" s="329"/>
      <c r="C211" s="329"/>
      <c r="D211" s="343"/>
      <c r="E211" s="343"/>
      <c r="F211" s="326"/>
      <c r="G211" s="337"/>
      <c r="H211" s="337"/>
      <c r="I211" s="337"/>
      <c r="J211" s="320" t="s">
        <v>4401</v>
      </c>
      <c r="K211" s="306" t="s">
        <v>4535</v>
      </c>
      <c r="L211" s="163" t="s">
        <v>6062</v>
      </c>
      <c r="M211" s="306" t="s">
        <v>4509</v>
      </c>
      <c r="N211" s="163" t="s">
        <v>4703</v>
      </c>
      <c r="O211" s="18" t="s">
        <v>4507</v>
      </c>
      <c r="P211" s="163" t="s">
        <v>4420</v>
      </c>
      <c r="Q211" s="163" t="s">
        <v>4420</v>
      </c>
      <c r="R211" s="163" t="s">
        <v>4420</v>
      </c>
      <c r="S211" s="163" t="s">
        <v>5792</v>
      </c>
      <c r="T211" s="163" t="s">
        <v>4420</v>
      </c>
      <c r="U211" s="163" t="s">
        <v>5792</v>
      </c>
      <c r="V211" s="163" t="s">
        <v>6050</v>
      </c>
      <c r="W211" s="18">
        <v>6</v>
      </c>
      <c r="X211" s="231">
        <v>0</v>
      </c>
      <c r="Y211" s="142">
        <v>80</v>
      </c>
      <c r="Z211" s="306" t="s">
        <v>4647</v>
      </c>
      <c r="AA211" s="21">
        <f>INDEX('[2]Cross-Section Database'!$C$2:$V$2928,MATCH(Z211,'[2]Cross-Section Database'!$B$2:$B$2928,0),3)</f>
        <v>200</v>
      </c>
      <c r="AB211" s="21">
        <f>INDEX('[2]Cross-Section Database'!$C$2:$V$2928,MATCH(Z211,'[2]Cross-Section Database'!$B$2:$B$2928,0),4)</f>
        <v>200</v>
      </c>
      <c r="AC211" s="21">
        <f>INDEX('[2]Cross-Section Database'!$C$2:$V$2928,MATCH(Z211,'[2]Cross-Section Database'!$B$2:$B$2928,0),6)</f>
        <v>8</v>
      </c>
      <c r="AD211" s="21">
        <f>INDEX('[2]Cross-Section Database'!$C$2:$V$2928,MATCH(Z211,'[2]Cross-Section Database'!$B$2:$B$2928,0),5)</f>
        <v>8</v>
      </c>
      <c r="AE211" s="163">
        <v>1700</v>
      </c>
      <c r="AF211" s="306" t="s">
        <v>4222</v>
      </c>
      <c r="AG211" s="21">
        <f>INDEX('[2]Cross-Section Database'!$C$2:$V$2928,MATCH(AF211,'[2]Cross-Section Database'!$B$2:$B$2928,0),3)</f>
        <v>351.4</v>
      </c>
      <c r="AH211" s="21">
        <f>INDEX('[2]Cross-Section Database'!$C$2:$V$2928,MATCH(AF211,'[2]Cross-Section Database'!$B$2:$B$2928,0),4)</f>
        <v>171.1</v>
      </c>
      <c r="AI211" s="21">
        <f>INDEX('[2]Cross-Section Database'!$C$2:$V$2928,MATCH(AF211,'[2]Cross-Section Database'!$B$2:$B$2928,0),6)</f>
        <v>9.6999999999999993</v>
      </c>
      <c r="AJ211" s="21">
        <f>INDEX('[2]Cross-Section Database'!$C$2:$V$2928,MATCH(AF211,'[2]Cross-Section Database'!$B$2:$B$2928,0),5)</f>
        <v>7</v>
      </c>
      <c r="AK211" s="21">
        <v>1008</v>
      </c>
      <c r="AL211" s="21">
        <f>INDEX('[2]Cross-Section Database'!$C$2:$V$3928,MATCH(AF211,'[2]Cross-Section Database'!$B$2:$B$3928,0),11)</f>
        <v>120700000</v>
      </c>
      <c r="AM211" s="24">
        <f>INDEX('[2]Cross-Section Database'!$C$2:$V$3928,MATCH(AF211,'[2]Cross-Section Database'!$B$2:$B$3928,0),12)</f>
        <v>774600</v>
      </c>
      <c r="AN211" s="21">
        <v>10</v>
      </c>
      <c r="AO211" s="21">
        <v>180</v>
      </c>
      <c r="AP211" s="21">
        <v>350</v>
      </c>
      <c r="AQ211" s="21">
        <v>0</v>
      </c>
      <c r="AR211" s="21">
        <v>0</v>
      </c>
      <c r="AS211" s="306" t="s">
        <v>5807</v>
      </c>
      <c r="AT211" s="163" t="s">
        <v>4706</v>
      </c>
      <c r="AU211" s="21">
        <f t="shared" si="123"/>
        <v>32</v>
      </c>
      <c r="AV211" s="21">
        <v>20</v>
      </c>
      <c r="AW211" s="163">
        <f t="shared" si="124"/>
        <v>245</v>
      </c>
      <c r="AX211" s="21">
        <v>60</v>
      </c>
      <c r="AY211" s="163">
        <v>90</v>
      </c>
      <c r="AZ211" s="21">
        <v>100</v>
      </c>
      <c r="BA211" s="21">
        <v>120</v>
      </c>
      <c r="BB211" s="21">
        <f t="shared" si="125"/>
        <v>100</v>
      </c>
      <c r="BC211" s="163" t="s">
        <v>4420</v>
      </c>
      <c r="BD211" s="163" t="s">
        <v>4465</v>
      </c>
      <c r="BE211" s="163" t="s">
        <v>6209</v>
      </c>
      <c r="BF211" s="163">
        <v>4</v>
      </c>
      <c r="BG211" s="18">
        <v>6</v>
      </c>
      <c r="BH211" s="202" t="s">
        <v>5792</v>
      </c>
      <c r="BI211" s="203" t="s">
        <v>5792</v>
      </c>
      <c r="BJ211" s="203" t="s">
        <v>5792</v>
      </c>
      <c r="BK211" s="203" t="s">
        <v>5792</v>
      </c>
      <c r="BL211" s="203" t="s">
        <v>5792</v>
      </c>
      <c r="BM211" s="203" t="s">
        <v>5792</v>
      </c>
      <c r="BN211" s="203" t="s">
        <v>5792</v>
      </c>
      <c r="BO211" s="203" t="s">
        <v>5792</v>
      </c>
      <c r="BP211" s="202" t="s">
        <v>5792</v>
      </c>
      <c r="BQ211" s="203" t="s">
        <v>5792</v>
      </c>
      <c r="BR211" s="203" t="s">
        <v>5792</v>
      </c>
      <c r="BS211" s="203" t="s">
        <v>5792</v>
      </c>
      <c r="BT211" s="203" t="s">
        <v>5792</v>
      </c>
      <c r="BU211" s="203" t="s">
        <v>5792</v>
      </c>
      <c r="BV211" s="218" t="s">
        <v>5792</v>
      </c>
      <c r="BW211" s="203" t="s">
        <v>5792</v>
      </c>
      <c r="BX211" s="203" t="s">
        <v>5792</v>
      </c>
      <c r="BY211" s="203" t="s">
        <v>5792</v>
      </c>
      <c r="BZ211" s="203" t="s">
        <v>5792</v>
      </c>
      <c r="CA211" s="203" t="s">
        <v>5792</v>
      </c>
      <c r="CB211" s="218" t="s">
        <v>5792</v>
      </c>
      <c r="CC211" s="306" t="s">
        <v>6282</v>
      </c>
      <c r="CD211" s="163">
        <v>275</v>
      </c>
      <c r="CE211" s="21">
        <v>318</v>
      </c>
      <c r="CF211" s="163">
        <v>410</v>
      </c>
      <c r="CG211" s="21">
        <v>466</v>
      </c>
      <c r="CH211" s="141">
        <v>201000</v>
      </c>
      <c r="CI211" s="306" t="s">
        <v>4450</v>
      </c>
      <c r="CJ211" s="163">
        <v>275</v>
      </c>
      <c r="CK211" s="47">
        <v>318</v>
      </c>
      <c r="CL211" s="60">
        <v>430</v>
      </c>
      <c r="CM211" s="47">
        <v>466</v>
      </c>
      <c r="CN211" s="141">
        <v>201000</v>
      </c>
      <c r="CO211" s="306" t="s">
        <v>6282</v>
      </c>
      <c r="CP211" s="60">
        <v>275</v>
      </c>
      <c r="CQ211" s="32">
        <v>360</v>
      </c>
      <c r="CR211" s="60">
        <v>410</v>
      </c>
      <c r="CS211" s="32">
        <v>530</v>
      </c>
      <c r="CT211" s="67">
        <v>200000</v>
      </c>
      <c r="CU211" s="207" t="s">
        <v>5792</v>
      </c>
      <c r="CV211" s="208" t="s">
        <v>5792</v>
      </c>
      <c r="CW211" s="208" t="s">
        <v>5792</v>
      </c>
      <c r="CX211" s="209" t="s">
        <v>5792</v>
      </c>
      <c r="CY211" s="207" t="s">
        <v>5792</v>
      </c>
      <c r="CZ211" s="208" t="s">
        <v>5792</v>
      </c>
      <c r="DA211" s="209" t="s">
        <v>5792</v>
      </c>
      <c r="DB211" s="283" t="s">
        <v>5792</v>
      </c>
      <c r="DC211" s="163">
        <v>8.8000000000000007</v>
      </c>
      <c r="DD211" s="163">
        <v>640</v>
      </c>
      <c r="DE211" s="32">
        <v>730</v>
      </c>
      <c r="DF211" s="163">
        <v>800</v>
      </c>
      <c r="DG211" s="32">
        <v>940</v>
      </c>
      <c r="DH211" s="67">
        <v>200000</v>
      </c>
      <c r="DI211" s="41" t="s">
        <v>5841</v>
      </c>
      <c r="DJ211" s="306" t="s">
        <v>4435</v>
      </c>
      <c r="DK211" s="297" t="s">
        <v>4566</v>
      </c>
    </row>
    <row r="212" spans="1:115">
      <c r="A212" s="306">
        <v>207</v>
      </c>
      <c r="B212" s="329"/>
      <c r="C212" s="329"/>
      <c r="D212" s="343"/>
      <c r="E212" s="343"/>
      <c r="F212" s="326"/>
      <c r="G212" s="337"/>
      <c r="H212" s="337"/>
      <c r="I212" s="337"/>
      <c r="J212" s="320" t="s">
        <v>4402</v>
      </c>
      <c r="K212" s="306" t="s">
        <v>4535</v>
      </c>
      <c r="L212" s="163" t="s">
        <v>6062</v>
      </c>
      <c r="M212" s="306" t="s">
        <v>4509</v>
      </c>
      <c r="N212" s="163" t="s">
        <v>4703</v>
      </c>
      <c r="O212" s="18" t="s">
        <v>4507</v>
      </c>
      <c r="P212" s="163" t="s">
        <v>4420</v>
      </c>
      <c r="Q212" s="163" t="s">
        <v>4420</v>
      </c>
      <c r="R212" s="163" t="s">
        <v>4420</v>
      </c>
      <c r="S212" s="163" t="s">
        <v>5792</v>
      </c>
      <c r="T212" s="163" t="s">
        <v>4420</v>
      </c>
      <c r="U212" s="163" t="s">
        <v>5792</v>
      </c>
      <c r="V212" s="163" t="s">
        <v>6050</v>
      </c>
      <c r="W212" s="18">
        <v>6</v>
      </c>
      <c r="X212" s="231">
        <v>0</v>
      </c>
      <c r="Y212" s="142">
        <v>80</v>
      </c>
      <c r="Z212" s="306" t="s">
        <v>4729</v>
      </c>
      <c r="AA212" s="21">
        <f>INDEX('[2]Cross-Section Database'!$C$2:$V$2928,MATCH(Z212,'[2]Cross-Section Database'!$B$2:$B$2928,0),3)</f>
        <v>200</v>
      </c>
      <c r="AB212" s="21">
        <f>INDEX('[2]Cross-Section Database'!$C$2:$V$2928,MATCH(Z212,'[2]Cross-Section Database'!$B$2:$B$2928,0),4)</f>
        <v>200</v>
      </c>
      <c r="AC212" s="21">
        <f>INDEX('[2]Cross-Section Database'!$C$2:$V$2928,MATCH(Z212,'[2]Cross-Section Database'!$B$2:$B$2928,0),6)</f>
        <v>6.3</v>
      </c>
      <c r="AD212" s="21">
        <f>INDEX('[2]Cross-Section Database'!$C$2:$V$2928,MATCH(Z212,'[2]Cross-Section Database'!$B$2:$B$2928,0),5)</f>
        <v>6.3</v>
      </c>
      <c r="AE212" s="163">
        <v>1700</v>
      </c>
      <c r="AF212" s="306" t="s">
        <v>4222</v>
      </c>
      <c r="AG212" s="21">
        <f>INDEX('[2]Cross-Section Database'!$C$2:$V$2928,MATCH(AF212,'[2]Cross-Section Database'!$B$2:$B$2928,0),3)</f>
        <v>351.4</v>
      </c>
      <c r="AH212" s="21">
        <f>INDEX('[2]Cross-Section Database'!$C$2:$V$2928,MATCH(AF212,'[2]Cross-Section Database'!$B$2:$B$2928,0),4)</f>
        <v>171.1</v>
      </c>
      <c r="AI212" s="21">
        <f>INDEX('[2]Cross-Section Database'!$C$2:$V$2928,MATCH(AF212,'[2]Cross-Section Database'!$B$2:$B$2928,0),6)</f>
        <v>9.6999999999999993</v>
      </c>
      <c r="AJ212" s="21">
        <f>INDEX('[2]Cross-Section Database'!$C$2:$V$2928,MATCH(AF212,'[2]Cross-Section Database'!$B$2:$B$2928,0),5)</f>
        <v>7</v>
      </c>
      <c r="AK212" s="21">
        <v>1009</v>
      </c>
      <c r="AL212" s="21">
        <f>INDEX('[2]Cross-Section Database'!$C$2:$V$3928,MATCH(AF212,'[2]Cross-Section Database'!$B$2:$B$3928,0),11)</f>
        <v>120700000</v>
      </c>
      <c r="AM212" s="18">
        <f>INDEX('[2]Cross-Section Database'!$C$2:$V$3928,MATCH(AF212,'[2]Cross-Section Database'!$B$2:$B$3928,0),12)</f>
        <v>774600</v>
      </c>
      <c r="AN212" s="21">
        <v>10</v>
      </c>
      <c r="AO212" s="21">
        <v>160</v>
      </c>
      <c r="AP212" s="21">
        <v>350</v>
      </c>
      <c r="AQ212" s="21">
        <v>0</v>
      </c>
      <c r="AR212" s="21">
        <v>0</v>
      </c>
      <c r="AS212" s="306" t="s">
        <v>5807</v>
      </c>
      <c r="AT212" s="163" t="s">
        <v>4706</v>
      </c>
      <c r="AU212" s="21">
        <f t="shared" si="123"/>
        <v>32</v>
      </c>
      <c r="AV212" s="21">
        <v>20</v>
      </c>
      <c r="AW212" s="163">
        <f t="shared" si="124"/>
        <v>245</v>
      </c>
      <c r="AX212" s="21">
        <v>60</v>
      </c>
      <c r="AY212" s="163">
        <v>90</v>
      </c>
      <c r="AZ212" s="21">
        <v>100</v>
      </c>
      <c r="BA212" s="21">
        <v>100</v>
      </c>
      <c r="BB212" s="21">
        <f t="shared" si="125"/>
        <v>100</v>
      </c>
      <c r="BC212" s="163" t="s">
        <v>4420</v>
      </c>
      <c r="BD212" s="163" t="s">
        <v>4465</v>
      </c>
      <c r="BE212" s="163" t="s">
        <v>6209</v>
      </c>
      <c r="BF212" s="163">
        <v>4</v>
      </c>
      <c r="BG212" s="18">
        <v>6</v>
      </c>
      <c r="BH212" s="202" t="s">
        <v>5792</v>
      </c>
      <c r="BI212" s="203" t="s">
        <v>5792</v>
      </c>
      <c r="BJ212" s="203" t="s">
        <v>5792</v>
      </c>
      <c r="BK212" s="203" t="s">
        <v>5792</v>
      </c>
      <c r="BL212" s="203" t="s">
        <v>5792</v>
      </c>
      <c r="BM212" s="203" t="s">
        <v>5792</v>
      </c>
      <c r="BN212" s="203" t="s">
        <v>5792</v>
      </c>
      <c r="BO212" s="203" t="s">
        <v>5792</v>
      </c>
      <c r="BP212" s="202" t="s">
        <v>5792</v>
      </c>
      <c r="BQ212" s="203" t="s">
        <v>5792</v>
      </c>
      <c r="BR212" s="203" t="s">
        <v>5792</v>
      </c>
      <c r="BS212" s="203" t="s">
        <v>5792</v>
      </c>
      <c r="BT212" s="203" t="s">
        <v>5792</v>
      </c>
      <c r="BU212" s="203" t="s">
        <v>5792</v>
      </c>
      <c r="BV212" s="218" t="s">
        <v>5792</v>
      </c>
      <c r="BW212" s="203" t="s">
        <v>5792</v>
      </c>
      <c r="BX212" s="203" t="s">
        <v>5792</v>
      </c>
      <c r="BY212" s="203" t="s">
        <v>5792</v>
      </c>
      <c r="BZ212" s="203" t="s">
        <v>5792</v>
      </c>
      <c r="CA212" s="203" t="s">
        <v>5792</v>
      </c>
      <c r="CB212" s="218" t="s">
        <v>5792</v>
      </c>
      <c r="CC212" s="306" t="s">
        <v>6282</v>
      </c>
      <c r="CD212" s="163">
        <v>275</v>
      </c>
      <c r="CE212" s="21">
        <v>336</v>
      </c>
      <c r="CF212" s="163">
        <v>410</v>
      </c>
      <c r="CG212" s="21">
        <v>479</v>
      </c>
      <c r="CH212" s="141">
        <v>205000</v>
      </c>
      <c r="CI212" s="306" t="s">
        <v>4450</v>
      </c>
      <c r="CJ212" s="163">
        <v>275</v>
      </c>
      <c r="CK212" s="47">
        <v>336</v>
      </c>
      <c r="CL212" s="60">
        <v>430</v>
      </c>
      <c r="CM212" s="47">
        <v>479</v>
      </c>
      <c r="CN212" s="141">
        <v>205000</v>
      </c>
      <c r="CO212" s="306" t="s">
        <v>6282</v>
      </c>
      <c r="CP212" s="60">
        <v>275</v>
      </c>
      <c r="CQ212" s="32">
        <v>360</v>
      </c>
      <c r="CR212" s="60">
        <v>410</v>
      </c>
      <c r="CS212" s="32">
        <v>530</v>
      </c>
      <c r="CT212" s="67">
        <v>200000</v>
      </c>
      <c r="CU212" s="207" t="s">
        <v>5792</v>
      </c>
      <c r="CV212" s="208" t="s">
        <v>5792</v>
      </c>
      <c r="CW212" s="208" t="s">
        <v>5792</v>
      </c>
      <c r="CX212" s="209" t="s">
        <v>5792</v>
      </c>
      <c r="CY212" s="207" t="s">
        <v>5792</v>
      </c>
      <c r="CZ212" s="208" t="s">
        <v>5792</v>
      </c>
      <c r="DA212" s="209" t="s">
        <v>5792</v>
      </c>
      <c r="DB212" s="283" t="s">
        <v>5792</v>
      </c>
      <c r="DC212" s="163">
        <v>8.8000000000000007</v>
      </c>
      <c r="DD212" s="163">
        <v>640</v>
      </c>
      <c r="DE212" s="32">
        <v>730</v>
      </c>
      <c r="DF212" s="163">
        <v>800</v>
      </c>
      <c r="DG212" s="32">
        <v>940</v>
      </c>
      <c r="DH212" s="67">
        <v>200000</v>
      </c>
      <c r="DI212" s="41" t="s">
        <v>4765</v>
      </c>
      <c r="DJ212" s="306" t="s">
        <v>4435</v>
      </c>
      <c r="DK212" s="297" t="s">
        <v>4566</v>
      </c>
    </row>
    <row r="213" spans="1:115">
      <c r="A213" s="306">
        <v>208</v>
      </c>
      <c r="B213" s="329"/>
      <c r="C213" s="329"/>
      <c r="D213" s="343"/>
      <c r="E213" s="343"/>
      <c r="F213" s="326"/>
      <c r="G213" s="337"/>
      <c r="H213" s="337"/>
      <c r="I213" s="337"/>
      <c r="J213" s="320" t="s">
        <v>4403</v>
      </c>
      <c r="K213" s="306" t="s">
        <v>4535</v>
      </c>
      <c r="L213" s="163" t="s">
        <v>6062</v>
      </c>
      <c r="M213" s="306" t="s">
        <v>4509</v>
      </c>
      <c r="N213" s="163" t="s">
        <v>4703</v>
      </c>
      <c r="O213" s="18" t="s">
        <v>4507</v>
      </c>
      <c r="P213" s="163" t="s">
        <v>4420</v>
      </c>
      <c r="Q213" s="163" t="s">
        <v>4420</v>
      </c>
      <c r="R213" s="163" t="s">
        <v>4420</v>
      </c>
      <c r="S213" s="163" t="s">
        <v>5792</v>
      </c>
      <c r="T213" s="163" t="s">
        <v>4420</v>
      </c>
      <c r="U213" s="163" t="s">
        <v>5792</v>
      </c>
      <c r="V213" s="163" t="s">
        <v>6050</v>
      </c>
      <c r="W213" s="18">
        <v>6</v>
      </c>
      <c r="X213" s="231">
        <v>0</v>
      </c>
      <c r="Y213" s="142">
        <v>80</v>
      </c>
      <c r="Z213" s="306" t="s">
        <v>4730</v>
      </c>
      <c r="AA213" s="21">
        <f>INDEX('[2]Cross-Section Database'!$C$2:$V$2928,MATCH(Z213,'[2]Cross-Section Database'!$B$2:$B$2928,0),3)</f>
        <v>200</v>
      </c>
      <c r="AB213" s="21">
        <f>INDEX('[2]Cross-Section Database'!$C$2:$V$2928,MATCH(Z213,'[2]Cross-Section Database'!$B$2:$B$2928,0),4)</f>
        <v>200</v>
      </c>
      <c r="AC213" s="21">
        <f>INDEX('[2]Cross-Section Database'!$C$2:$V$2928,MATCH(Z213,'[2]Cross-Section Database'!$B$2:$B$2928,0),6)</f>
        <v>12.5</v>
      </c>
      <c r="AD213" s="21">
        <f>INDEX('[2]Cross-Section Database'!$C$2:$V$2928,MATCH(Z213,'[2]Cross-Section Database'!$B$2:$B$2928,0),5)</f>
        <v>12.5</v>
      </c>
      <c r="AE213" s="163">
        <v>1700</v>
      </c>
      <c r="AF213" s="306" t="s">
        <v>4222</v>
      </c>
      <c r="AG213" s="21">
        <f>INDEX('[2]Cross-Section Database'!$C$2:$V$2928,MATCH(AF213,'[2]Cross-Section Database'!$B$2:$B$2928,0),3)</f>
        <v>351.4</v>
      </c>
      <c r="AH213" s="21">
        <f>INDEX('[2]Cross-Section Database'!$C$2:$V$2928,MATCH(AF213,'[2]Cross-Section Database'!$B$2:$B$2928,0),4)</f>
        <v>171.1</v>
      </c>
      <c r="AI213" s="21">
        <f>INDEX('[2]Cross-Section Database'!$C$2:$V$2928,MATCH(AF213,'[2]Cross-Section Database'!$B$2:$B$2928,0),6)</f>
        <v>9.6999999999999993</v>
      </c>
      <c r="AJ213" s="21">
        <f>INDEX('[2]Cross-Section Database'!$C$2:$V$2928,MATCH(AF213,'[2]Cross-Section Database'!$B$2:$B$2928,0),5)</f>
        <v>7</v>
      </c>
      <c r="AK213" s="21">
        <v>1323</v>
      </c>
      <c r="AL213" s="21">
        <f>INDEX('[2]Cross-Section Database'!$C$2:$V$3928,MATCH(AF213,'[2]Cross-Section Database'!$B$2:$B$3928,0),11)</f>
        <v>120700000</v>
      </c>
      <c r="AM213" s="18">
        <f>INDEX('[2]Cross-Section Database'!$C$2:$V$3928,MATCH(AF213,'[2]Cross-Section Database'!$B$2:$B$3928,0),12)</f>
        <v>774600</v>
      </c>
      <c r="AN213" s="21">
        <v>15</v>
      </c>
      <c r="AO213" s="21">
        <v>160</v>
      </c>
      <c r="AP213" s="21">
        <v>350</v>
      </c>
      <c r="AQ213" s="21">
        <v>0</v>
      </c>
      <c r="AR213" s="21">
        <v>0</v>
      </c>
      <c r="AS213" s="306" t="s">
        <v>5807</v>
      </c>
      <c r="AT213" s="163" t="s">
        <v>4706</v>
      </c>
      <c r="AU213" s="21">
        <f t="shared" si="123"/>
        <v>32</v>
      </c>
      <c r="AV213" s="21">
        <v>20</v>
      </c>
      <c r="AW213" s="163">
        <f t="shared" si="124"/>
        <v>245</v>
      </c>
      <c r="AX213" s="21">
        <v>60</v>
      </c>
      <c r="AY213" s="163">
        <v>90</v>
      </c>
      <c r="AZ213" s="21">
        <v>100</v>
      </c>
      <c r="BA213" s="21">
        <v>100</v>
      </c>
      <c r="BB213" s="21">
        <f t="shared" si="125"/>
        <v>100</v>
      </c>
      <c r="BC213" s="163" t="s">
        <v>4420</v>
      </c>
      <c r="BD213" s="163" t="s">
        <v>4465</v>
      </c>
      <c r="BE213" s="163" t="s">
        <v>6209</v>
      </c>
      <c r="BF213" s="163">
        <v>4</v>
      </c>
      <c r="BG213" s="18">
        <v>6</v>
      </c>
      <c r="BH213" s="202" t="s">
        <v>5792</v>
      </c>
      <c r="BI213" s="203" t="s">
        <v>5792</v>
      </c>
      <c r="BJ213" s="203" t="s">
        <v>5792</v>
      </c>
      <c r="BK213" s="203" t="s">
        <v>5792</v>
      </c>
      <c r="BL213" s="203" t="s">
        <v>5792</v>
      </c>
      <c r="BM213" s="203" t="s">
        <v>5792</v>
      </c>
      <c r="BN213" s="203" t="s">
        <v>5792</v>
      </c>
      <c r="BO213" s="203" t="s">
        <v>5792</v>
      </c>
      <c r="BP213" s="202" t="s">
        <v>5792</v>
      </c>
      <c r="BQ213" s="203" t="s">
        <v>5792</v>
      </c>
      <c r="BR213" s="203" t="s">
        <v>5792</v>
      </c>
      <c r="BS213" s="203" t="s">
        <v>5792</v>
      </c>
      <c r="BT213" s="203" t="s">
        <v>5792</v>
      </c>
      <c r="BU213" s="203" t="s">
        <v>5792</v>
      </c>
      <c r="BV213" s="218" t="s">
        <v>5792</v>
      </c>
      <c r="BW213" s="203" t="s">
        <v>5792</v>
      </c>
      <c r="BX213" s="203" t="s">
        <v>5792</v>
      </c>
      <c r="BY213" s="203" t="s">
        <v>5792</v>
      </c>
      <c r="BZ213" s="203" t="s">
        <v>5792</v>
      </c>
      <c r="CA213" s="203" t="s">
        <v>5792</v>
      </c>
      <c r="CB213" s="218" t="s">
        <v>5792</v>
      </c>
      <c r="CC213" s="306" t="s">
        <v>6282</v>
      </c>
      <c r="CD213" s="163">
        <v>275</v>
      </c>
      <c r="CE213" s="21">
        <v>307</v>
      </c>
      <c r="CF213" s="163">
        <v>410</v>
      </c>
      <c r="CG213" s="21">
        <v>452</v>
      </c>
      <c r="CH213" s="141">
        <v>207000</v>
      </c>
      <c r="CI213" s="306" t="s">
        <v>4450</v>
      </c>
      <c r="CJ213" s="163">
        <v>275</v>
      </c>
      <c r="CK213" s="47">
        <v>307</v>
      </c>
      <c r="CL213" s="60">
        <v>430</v>
      </c>
      <c r="CM213" s="47">
        <v>452</v>
      </c>
      <c r="CN213" s="141">
        <v>207000</v>
      </c>
      <c r="CO213" s="306" t="s">
        <v>6282</v>
      </c>
      <c r="CP213" s="60">
        <v>275</v>
      </c>
      <c r="CQ213" s="32">
        <v>360</v>
      </c>
      <c r="CR213" s="60">
        <v>410</v>
      </c>
      <c r="CS213" s="32">
        <v>530</v>
      </c>
      <c r="CT213" s="67">
        <v>200000</v>
      </c>
      <c r="CU213" s="207" t="s">
        <v>5792</v>
      </c>
      <c r="CV213" s="208" t="s">
        <v>5792</v>
      </c>
      <c r="CW213" s="208" t="s">
        <v>5792</v>
      </c>
      <c r="CX213" s="209" t="s">
        <v>5792</v>
      </c>
      <c r="CY213" s="207" t="s">
        <v>5792</v>
      </c>
      <c r="CZ213" s="208" t="s">
        <v>5792</v>
      </c>
      <c r="DA213" s="209" t="s">
        <v>5792</v>
      </c>
      <c r="DB213" s="283" t="s">
        <v>5792</v>
      </c>
      <c r="DC213" s="163">
        <v>8.8000000000000007</v>
      </c>
      <c r="DD213" s="163">
        <v>640</v>
      </c>
      <c r="DE213" s="32">
        <v>730</v>
      </c>
      <c r="DF213" s="163">
        <v>800</v>
      </c>
      <c r="DG213" s="32">
        <v>940</v>
      </c>
      <c r="DH213" s="67">
        <v>200000</v>
      </c>
      <c r="DI213" s="41" t="s">
        <v>5842</v>
      </c>
      <c r="DJ213" s="306" t="s">
        <v>4435</v>
      </c>
      <c r="DK213" s="297" t="s">
        <v>4566</v>
      </c>
    </row>
    <row r="214" spans="1:115">
      <c r="A214" s="306">
        <v>209</v>
      </c>
      <c r="B214" s="329"/>
      <c r="C214" s="329"/>
      <c r="D214" s="343"/>
      <c r="E214" s="343"/>
      <c r="F214" s="326"/>
      <c r="G214" s="337"/>
      <c r="H214" s="337"/>
      <c r="I214" s="337"/>
      <c r="J214" s="320" t="s">
        <v>4405</v>
      </c>
      <c r="K214" s="306" t="s">
        <v>4535</v>
      </c>
      <c r="L214" s="163" t="s">
        <v>6062</v>
      </c>
      <c r="M214" s="306" t="s">
        <v>4509</v>
      </c>
      <c r="N214" s="163" t="s">
        <v>4703</v>
      </c>
      <c r="O214" s="18" t="s">
        <v>4507</v>
      </c>
      <c r="P214" s="163" t="s">
        <v>4420</v>
      </c>
      <c r="Q214" s="163" t="s">
        <v>4420</v>
      </c>
      <c r="R214" s="163" t="s">
        <v>4420</v>
      </c>
      <c r="S214" s="163" t="s">
        <v>5792</v>
      </c>
      <c r="T214" s="163" t="s">
        <v>4420</v>
      </c>
      <c r="U214" s="163" t="s">
        <v>5792</v>
      </c>
      <c r="V214" s="163" t="s">
        <v>6050</v>
      </c>
      <c r="W214" s="18">
        <v>6</v>
      </c>
      <c r="X214" s="231">
        <v>0</v>
      </c>
      <c r="Y214" s="142">
        <v>80</v>
      </c>
      <c r="Z214" s="306" t="s">
        <v>4647</v>
      </c>
      <c r="AA214" s="21">
        <f>INDEX('[2]Cross-Section Database'!$C$2:$V$2928,MATCH(Z214,'[2]Cross-Section Database'!$B$2:$B$2928,0),3)</f>
        <v>200</v>
      </c>
      <c r="AB214" s="21">
        <f>INDEX('[2]Cross-Section Database'!$C$2:$V$2928,MATCH(Z214,'[2]Cross-Section Database'!$B$2:$B$2928,0),4)</f>
        <v>200</v>
      </c>
      <c r="AC214" s="21">
        <f>INDEX('[2]Cross-Section Database'!$C$2:$V$2928,MATCH(Z214,'[2]Cross-Section Database'!$B$2:$B$2928,0),6)</f>
        <v>8</v>
      </c>
      <c r="AD214" s="21">
        <f>INDEX('[2]Cross-Section Database'!$C$2:$V$2928,MATCH(Z214,'[2]Cross-Section Database'!$B$2:$B$2928,0),5)</f>
        <v>8</v>
      </c>
      <c r="AE214" s="163">
        <v>1700</v>
      </c>
      <c r="AF214" s="306" t="s">
        <v>4208</v>
      </c>
      <c r="AG214" s="21">
        <f>INDEX('[2]Cross-Section Database'!$C$2:$V$2928,MATCH(AF214,'[2]Cross-Section Database'!$B$2:$B$2928,0),3)</f>
        <v>251.4</v>
      </c>
      <c r="AH214" s="21">
        <f>INDEX('[2]Cross-Section Database'!$C$2:$V$2928,MATCH(AF214,'[2]Cross-Section Database'!$B$2:$B$2928,0),4)</f>
        <v>146.1</v>
      </c>
      <c r="AI214" s="21">
        <f>INDEX('[2]Cross-Section Database'!$C$2:$V$2928,MATCH(AF214,'[2]Cross-Section Database'!$B$2:$B$2928,0),6)</f>
        <v>8.6</v>
      </c>
      <c r="AJ214" s="21">
        <f>INDEX('[2]Cross-Section Database'!$C$2:$V$2928,MATCH(AF214,'[2]Cross-Section Database'!$B$2:$B$2928,0),5)</f>
        <v>6</v>
      </c>
      <c r="AK214" s="21">
        <v>1008</v>
      </c>
      <c r="AL214" s="21">
        <f>INDEX('[2]Cross-Section Database'!$C$2:$V$3928,MATCH(AF214,'[2]Cross-Section Database'!$B$2:$B$3928,0),11)</f>
        <v>44130000</v>
      </c>
      <c r="AM214" s="18">
        <f>INDEX('[2]Cross-Section Database'!$C$2:$V$3928,MATCH(AF214,'[2]Cross-Section Database'!$B$2:$B$3928,0),12)</f>
        <v>393100</v>
      </c>
      <c r="AN214" s="21">
        <v>10</v>
      </c>
      <c r="AO214" s="21">
        <v>160</v>
      </c>
      <c r="AP214" s="21">
        <v>250</v>
      </c>
      <c r="AQ214" s="21">
        <v>0</v>
      </c>
      <c r="AR214" s="21">
        <v>0</v>
      </c>
      <c r="AS214" s="306" t="s">
        <v>5807</v>
      </c>
      <c r="AT214" s="163" t="s">
        <v>4706</v>
      </c>
      <c r="AU214" s="21">
        <f t="shared" si="123"/>
        <v>32</v>
      </c>
      <c r="AV214" s="21">
        <v>20</v>
      </c>
      <c r="AW214" s="163">
        <f t="shared" si="124"/>
        <v>245</v>
      </c>
      <c r="AX214" s="21">
        <v>60</v>
      </c>
      <c r="AY214" s="163">
        <v>90</v>
      </c>
      <c r="AZ214" s="21">
        <v>0</v>
      </c>
      <c r="BA214" s="21">
        <v>100</v>
      </c>
      <c r="BB214" s="21">
        <f t="shared" si="125"/>
        <v>100</v>
      </c>
      <c r="BC214" s="163" t="s">
        <v>4470</v>
      </c>
      <c r="BD214" s="163" t="s">
        <v>6209</v>
      </c>
      <c r="BE214" s="163" t="s">
        <v>6209</v>
      </c>
      <c r="BF214" s="163">
        <v>2</v>
      </c>
      <c r="BG214" s="18">
        <v>4</v>
      </c>
      <c r="BH214" s="202" t="s">
        <v>5792</v>
      </c>
      <c r="BI214" s="203" t="s">
        <v>5792</v>
      </c>
      <c r="BJ214" s="203" t="s">
        <v>5792</v>
      </c>
      <c r="BK214" s="203" t="s">
        <v>5792</v>
      </c>
      <c r="BL214" s="203" t="s">
        <v>5792</v>
      </c>
      <c r="BM214" s="203" t="s">
        <v>5792</v>
      </c>
      <c r="BN214" s="203" t="s">
        <v>5792</v>
      </c>
      <c r="BO214" s="203" t="s">
        <v>5792</v>
      </c>
      <c r="BP214" s="202" t="s">
        <v>5792</v>
      </c>
      <c r="BQ214" s="203" t="s">
        <v>5792</v>
      </c>
      <c r="BR214" s="203" t="s">
        <v>5792</v>
      </c>
      <c r="BS214" s="203" t="s">
        <v>5792</v>
      </c>
      <c r="BT214" s="203" t="s">
        <v>5792</v>
      </c>
      <c r="BU214" s="203" t="s">
        <v>5792</v>
      </c>
      <c r="BV214" s="218" t="s">
        <v>5792</v>
      </c>
      <c r="BW214" s="203" t="s">
        <v>5792</v>
      </c>
      <c r="BX214" s="203" t="s">
        <v>5792</v>
      </c>
      <c r="BY214" s="203" t="s">
        <v>5792</v>
      </c>
      <c r="BZ214" s="203" t="s">
        <v>5792</v>
      </c>
      <c r="CA214" s="203" t="s">
        <v>5792</v>
      </c>
      <c r="CB214" s="218" t="s">
        <v>5792</v>
      </c>
      <c r="CC214" s="306" t="s">
        <v>6282</v>
      </c>
      <c r="CD214" s="163">
        <v>275</v>
      </c>
      <c r="CE214" s="21">
        <v>318</v>
      </c>
      <c r="CF214" s="163">
        <v>410</v>
      </c>
      <c r="CG214" s="21">
        <v>466</v>
      </c>
      <c r="CH214" s="141">
        <v>201000</v>
      </c>
      <c r="CI214" s="306" t="s">
        <v>4450</v>
      </c>
      <c r="CJ214" s="163">
        <v>275</v>
      </c>
      <c r="CK214" s="47">
        <v>318</v>
      </c>
      <c r="CL214" s="60">
        <v>430</v>
      </c>
      <c r="CM214" s="47">
        <v>466</v>
      </c>
      <c r="CN214" s="141">
        <v>201000</v>
      </c>
      <c r="CO214" s="306" t="s">
        <v>6282</v>
      </c>
      <c r="CP214" s="60">
        <v>275</v>
      </c>
      <c r="CQ214" s="32">
        <v>360</v>
      </c>
      <c r="CR214" s="60">
        <v>410</v>
      </c>
      <c r="CS214" s="32">
        <v>530</v>
      </c>
      <c r="CT214" s="67">
        <v>200000</v>
      </c>
      <c r="CU214" s="207" t="s">
        <v>5792</v>
      </c>
      <c r="CV214" s="208" t="s">
        <v>5792</v>
      </c>
      <c r="CW214" s="208" t="s">
        <v>5792</v>
      </c>
      <c r="CX214" s="209" t="s">
        <v>5792</v>
      </c>
      <c r="CY214" s="207" t="s">
        <v>5792</v>
      </c>
      <c r="CZ214" s="208" t="s">
        <v>5792</v>
      </c>
      <c r="DA214" s="209" t="s">
        <v>5792</v>
      </c>
      <c r="DB214" s="283" t="s">
        <v>5792</v>
      </c>
      <c r="DC214" s="163">
        <v>8.8000000000000007</v>
      </c>
      <c r="DD214" s="163">
        <v>640</v>
      </c>
      <c r="DE214" s="32">
        <v>730</v>
      </c>
      <c r="DF214" s="163">
        <v>800</v>
      </c>
      <c r="DG214" s="32">
        <v>940</v>
      </c>
      <c r="DH214" s="67">
        <v>200000</v>
      </c>
      <c r="DI214" s="41" t="s">
        <v>5842</v>
      </c>
      <c r="DJ214" s="306" t="s">
        <v>4435</v>
      </c>
      <c r="DK214" s="297" t="s">
        <v>4566</v>
      </c>
    </row>
    <row r="215" spans="1:115">
      <c r="A215" s="306">
        <v>210</v>
      </c>
      <c r="B215" s="329"/>
      <c r="C215" s="329"/>
      <c r="D215" s="343"/>
      <c r="E215" s="343"/>
      <c r="F215" s="326"/>
      <c r="G215" s="337"/>
      <c r="H215" s="337"/>
      <c r="I215" s="337"/>
      <c r="J215" s="320" t="s">
        <v>4406</v>
      </c>
      <c r="K215" s="306" t="s">
        <v>6314</v>
      </c>
      <c r="L215" s="163" t="s">
        <v>5792</v>
      </c>
      <c r="M215" s="306" t="s">
        <v>4509</v>
      </c>
      <c r="N215" s="163" t="s">
        <v>4703</v>
      </c>
      <c r="O215" s="18" t="s">
        <v>4507</v>
      </c>
      <c r="P215" s="163" t="s">
        <v>4420</v>
      </c>
      <c r="Q215" s="163" t="s">
        <v>4420</v>
      </c>
      <c r="R215" s="163" t="s">
        <v>4420</v>
      </c>
      <c r="S215" s="163" t="s">
        <v>5792</v>
      </c>
      <c r="T215" s="163" t="s">
        <v>4420</v>
      </c>
      <c r="U215" s="163" t="s">
        <v>5792</v>
      </c>
      <c r="V215" s="163" t="s">
        <v>6050</v>
      </c>
      <c r="W215" s="18">
        <v>6</v>
      </c>
      <c r="X215" s="231">
        <v>0</v>
      </c>
      <c r="Y215" s="142">
        <v>506</v>
      </c>
      <c r="Z215" s="306" t="s">
        <v>4729</v>
      </c>
      <c r="AA215" s="21">
        <f>INDEX('[2]Cross-Section Database'!$C$2:$V$2928,MATCH(Z215,'[2]Cross-Section Database'!$B$2:$B$2928,0),3)</f>
        <v>200</v>
      </c>
      <c r="AB215" s="21">
        <f>INDEX('[2]Cross-Section Database'!$C$2:$V$2928,MATCH(Z215,'[2]Cross-Section Database'!$B$2:$B$2928,0),4)</f>
        <v>200</v>
      </c>
      <c r="AC215" s="21">
        <f>INDEX('[2]Cross-Section Database'!$C$2:$V$2928,MATCH(Z215,'[2]Cross-Section Database'!$B$2:$B$2928,0),6)</f>
        <v>6.3</v>
      </c>
      <c r="AD215" s="21">
        <f>INDEX('[2]Cross-Section Database'!$C$2:$V$2928,MATCH(Z215,'[2]Cross-Section Database'!$B$2:$B$2928,0),5)</f>
        <v>6.3</v>
      </c>
      <c r="AE215" s="163">
        <v>1700</v>
      </c>
      <c r="AF215" s="306" t="s">
        <v>4222</v>
      </c>
      <c r="AG215" s="21">
        <f>INDEX('[2]Cross-Section Database'!$C$2:$V$2928,MATCH(AF215,'[2]Cross-Section Database'!$B$2:$B$2928,0),3)</f>
        <v>351.4</v>
      </c>
      <c r="AH215" s="21">
        <f>INDEX('[2]Cross-Section Database'!$C$2:$V$2928,MATCH(AF215,'[2]Cross-Section Database'!$B$2:$B$2928,0),4)</f>
        <v>171.1</v>
      </c>
      <c r="AI215" s="21">
        <f>INDEX('[2]Cross-Section Database'!$C$2:$V$2928,MATCH(AF215,'[2]Cross-Section Database'!$B$2:$B$2928,0),6)</f>
        <v>9.6999999999999993</v>
      </c>
      <c r="AJ215" s="21">
        <f>INDEX('[2]Cross-Section Database'!$C$2:$V$2928,MATCH(AF215,'[2]Cross-Section Database'!$B$2:$B$2928,0),5)</f>
        <v>7</v>
      </c>
      <c r="AK215" s="21">
        <v>1318</v>
      </c>
      <c r="AL215" s="21">
        <f>INDEX('[2]Cross-Section Database'!$C$2:$V$3928,MATCH(AF215,'[2]Cross-Section Database'!$B$2:$B$3928,0),11)</f>
        <v>120700000</v>
      </c>
      <c r="AM215" s="18">
        <f>INDEX('[2]Cross-Section Database'!$C$2:$V$3928,MATCH(AF215,'[2]Cross-Section Database'!$B$2:$B$3928,0),12)</f>
        <v>774600</v>
      </c>
      <c r="AN215" s="21">
        <v>10</v>
      </c>
      <c r="AO215" s="21">
        <v>160</v>
      </c>
      <c r="AP215" s="21">
        <v>350</v>
      </c>
      <c r="AQ215" s="21">
        <v>0</v>
      </c>
      <c r="AR215" s="21">
        <v>0</v>
      </c>
      <c r="AS215" s="306" t="s">
        <v>5807</v>
      </c>
      <c r="AT215" s="163" t="s">
        <v>4706</v>
      </c>
      <c r="AU215" s="21">
        <f t="shared" si="123"/>
        <v>32</v>
      </c>
      <c r="AV215" s="21">
        <v>20</v>
      </c>
      <c r="AW215" s="163">
        <f t="shared" si="124"/>
        <v>245</v>
      </c>
      <c r="AX215" s="21">
        <v>60</v>
      </c>
      <c r="AY215" s="163">
        <v>90</v>
      </c>
      <c r="AZ215" s="21">
        <v>100</v>
      </c>
      <c r="BA215" s="21">
        <v>100</v>
      </c>
      <c r="BB215" s="21">
        <f t="shared" si="125"/>
        <v>100</v>
      </c>
      <c r="BC215" s="163" t="s">
        <v>4420</v>
      </c>
      <c r="BD215" s="163" t="s">
        <v>4465</v>
      </c>
      <c r="BE215" s="163" t="s">
        <v>6209</v>
      </c>
      <c r="BF215" s="163">
        <v>4</v>
      </c>
      <c r="BG215" s="18">
        <v>6</v>
      </c>
      <c r="BH215" s="202" t="s">
        <v>5792</v>
      </c>
      <c r="BI215" s="203" t="s">
        <v>5792</v>
      </c>
      <c r="BJ215" s="203" t="s">
        <v>5792</v>
      </c>
      <c r="BK215" s="203" t="s">
        <v>5792</v>
      </c>
      <c r="BL215" s="203" t="s">
        <v>5792</v>
      </c>
      <c r="BM215" s="203" t="s">
        <v>5792</v>
      </c>
      <c r="BN215" s="203" t="s">
        <v>5792</v>
      </c>
      <c r="BO215" s="203" t="s">
        <v>5792</v>
      </c>
      <c r="BP215" s="202" t="s">
        <v>5792</v>
      </c>
      <c r="BQ215" s="203" t="s">
        <v>5792</v>
      </c>
      <c r="BR215" s="203" t="s">
        <v>5792</v>
      </c>
      <c r="BS215" s="203" t="s">
        <v>5792</v>
      </c>
      <c r="BT215" s="203" t="s">
        <v>5792</v>
      </c>
      <c r="BU215" s="203" t="s">
        <v>5792</v>
      </c>
      <c r="BV215" s="218" t="s">
        <v>5792</v>
      </c>
      <c r="BW215" s="203" t="s">
        <v>5792</v>
      </c>
      <c r="BX215" s="203" t="s">
        <v>5792</v>
      </c>
      <c r="BY215" s="203" t="s">
        <v>5792</v>
      </c>
      <c r="BZ215" s="203" t="s">
        <v>5792</v>
      </c>
      <c r="CA215" s="203" t="s">
        <v>5792</v>
      </c>
      <c r="CB215" s="218" t="s">
        <v>5792</v>
      </c>
      <c r="CC215" s="306" t="s">
        <v>6282</v>
      </c>
      <c r="CD215" s="163">
        <v>275</v>
      </c>
      <c r="CE215" s="21">
        <v>336</v>
      </c>
      <c r="CF215" s="163">
        <v>410</v>
      </c>
      <c r="CG215" s="21">
        <v>479</v>
      </c>
      <c r="CH215" s="141">
        <v>205000</v>
      </c>
      <c r="CI215" s="306" t="s">
        <v>4450</v>
      </c>
      <c r="CJ215" s="163">
        <v>275</v>
      </c>
      <c r="CK215" s="47">
        <v>336</v>
      </c>
      <c r="CL215" s="60">
        <v>430</v>
      </c>
      <c r="CM215" s="47">
        <v>479</v>
      </c>
      <c r="CN215" s="141">
        <v>205000</v>
      </c>
      <c r="CO215" s="306" t="s">
        <v>6282</v>
      </c>
      <c r="CP215" s="60">
        <v>275</v>
      </c>
      <c r="CQ215" s="32">
        <v>360</v>
      </c>
      <c r="CR215" s="60">
        <v>410</v>
      </c>
      <c r="CS215" s="32">
        <v>530</v>
      </c>
      <c r="CT215" s="67">
        <v>200000</v>
      </c>
      <c r="CU215" s="207" t="s">
        <v>5792</v>
      </c>
      <c r="CV215" s="208" t="s">
        <v>5792</v>
      </c>
      <c r="CW215" s="208" t="s">
        <v>5792</v>
      </c>
      <c r="CX215" s="209" t="s">
        <v>5792</v>
      </c>
      <c r="CY215" s="207" t="s">
        <v>5792</v>
      </c>
      <c r="CZ215" s="208" t="s">
        <v>5792</v>
      </c>
      <c r="DA215" s="209" t="s">
        <v>5792</v>
      </c>
      <c r="DB215" s="283" t="s">
        <v>5792</v>
      </c>
      <c r="DC215" s="163">
        <v>8.8000000000000007</v>
      </c>
      <c r="DD215" s="163">
        <v>640</v>
      </c>
      <c r="DE215" s="32">
        <v>730</v>
      </c>
      <c r="DF215" s="163">
        <v>800</v>
      </c>
      <c r="DG215" s="32">
        <v>940</v>
      </c>
      <c r="DH215" s="67">
        <v>200000</v>
      </c>
      <c r="DI215" s="41" t="s">
        <v>4765</v>
      </c>
      <c r="DJ215" s="306" t="s">
        <v>4435</v>
      </c>
      <c r="DK215" s="297" t="s">
        <v>4566</v>
      </c>
    </row>
    <row r="216" spans="1:115">
      <c r="A216" s="306">
        <v>211</v>
      </c>
      <c r="B216" s="329"/>
      <c r="C216" s="329"/>
      <c r="D216" s="343"/>
      <c r="E216" s="343"/>
      <c r="F216" s="326"/>
      <c r="G216" s="337"/>
      <c r="H216" s="337"/>
      <c r="I216" s="337"/>
      <c r="J216" s="320" t="s">
        <v>4407</v>
      </c>
      <c r="K216" s="306" t="s">
        <v>6314</v>
      </c>
      <c r="L216" s="163" t="s">
        <v>5792</v>
      </c>
      <c r="M216" s="306" t="s">
        <v>4509</v>
      </c>
      <c r="N216" s="163" t="s">
        <v>4703</v>
      </c>
      <c r="O216" s="18" t="s">
        <v>4507</v>
      </c>
      <c r="P216" s="163" t="s">
        <v>4420</v>
      </c>
      <c r="Q216" s="163" t="s">
        <v>4420</v>
      </c>
      <c r="R216" s="163" t="s">
        <v>4420</v>
      </c>
      <c r="S216" s="163" t="s">
        <v>5792</v>
      </c>
      <c r="T216" s="163" t="s">
        <v>4420</v>
      </c>
      <c r="U216" s="163" t="s">
        <v>5792</v>
      </c>
      <c r="V216" s="163" t="s">
        <v>6050</v>
      </c>
      <c r="W216" s="18">
        <v>6</v>
      </c>
      <c r="X216" s="231">
        <v>0</v>
      </c>
      <c r="Y216" s="142">
        <v>906</v>
      </c>
      <c r="Z216" s="306" t="s">
        <v>4729</v>
      </c>
      <c r="AA216" s="21">
        <f>INDEX('[2]Cross-Section Database'!$C$2:$V$2928,MATCH(Z216,'[2]Cross-Section Database'!$B$2:$B$2928,0),3)</f>
        <v>200</v>
      </c>
      <c r="AB216" s="21">
        <f>INDEX('[2]Cross-Section Database'!$C$2:$V$2928,MATCH(Z216,'[2]Cross-Section Database'!$B$2:$B$2928,0),4)</f>
        <v>200</v>
      </c>
      <c r="AC216" s="21">
        <f>INDEX('[2]Cross-Section Database'!$C$2:$V$2928,MATCH(Z216,'[2]Cross-Section Database'!$B$2:$B$2928,0),6)</f>
        <v>6.3</v>
      </c>
      <c r="AD216" s="21">
        <f>INDEX('[2]Cross-Section Database'!$C$2:$V$2928,MATCH(Z216,'[2]Cross-Section Database'!$B$2:$B$2928,0),5)</f>
        <v>6.3</v>
      </c>
      <c r="AE216" s="163">
        <v>1700</v>
      </c>
      <c r="AF216" s="306" t="s">
        <v>4222</v>
      </c>
      <c r="AG216" s="21">
        <f>INDEX('[2]Cross-Section Database'!$C$2:$V$2928,MATCH(AF216,'[2]Cross-Section Database'!$B$2:$B$2928,0),3)</f>
        <v>351.4</v>
      </c>
      <c r="AH216" s="21">
        <f>INDEX('[2]Cross-Section Database'!$C$2:$V$2928,MATCH(AF216,'[2]Cross-Section Database'!$B$2:$B$2928,0),4)</f>
        <v>171.1</v>
      </c>
      <c r="AI216" s="21">
        <f>INDEX('[2]Cross-Section Database'!$C$2:$V$2928,MATCH(AF216,'[2]Cross-Section Database'!$B$2:$B$2928,0),6)</f>
        <v>9.6999999999999993</v>
      </c>
      <c r="AJ216" s="21">
        <f>INDEX('[2]Cross-Section Database'!$C$2:$V$2928,MATCH(AF216,'[2]Cross-Section Database'!$B$2:$B$2928,0),5)</f>
        <v>7</v>
      </c>
      <c r="AK216" s="21">
        <v>1318</v>
      </c>
      <c r="AL216" s="21">
        <f>INDEX('[2]Cross-Section Database'!$C$2:$V$3928,MATCH(AF216,'[2]Cross-Section Database'!$B$2:$B$3928,0),11)</f>
        <v>120700000</v>
      </c>
      <c r="AM216" s="18">
        <f>INDEX('[2]Cross-Section Database'!$C$2:$V$3928,MATCH(AF216,'[2]Cross-Section Database'!$B$2:$B$3928,0),12)</f>
        <v>774600</v>
      </c>
      <c r="AN216" s="21">
        <v>10</v>
      </c>
      <c r="AO216" s="21">
        <v>160</v>
      </c>
      <c r="AP216" s="21">
        <v>350</v>
      </c>
      <c r="AQ216" s="21">
        <v>0</v>
      </c>
      <c r="AR216" s="21">
        <v>0</v>
      </c>
      <c r="AS216" s="306" t="s">
        <v>5807</v>
      </c>
      <c r="AT216" s="163" t="s">
        <v>4706</v>
      </c>
      <c r="AU216" s="21">
        <f t="shared" si="123"/>
        <v>32</v>
      </c>
      <c r="AV216" s="21">
        <v>20</v>
      </c>
      <c r="AW216" s="163">
        <f t="shared" si="124"/>
        <v>245</v>
      </c>
      <c r="AX216" s="21">
        <v>60</v>
      </c>
      <c r="AY216" s="163">
        <v>90</v>
      </c>
      <c r="AZ216" s="21">
        <v>100</v>
      </c>
      <c r="BA216" s="21">
        <v>100</v>
      </c>
      <c r="BB216" s="21">
        <f t="shared" si="125"/>
        <v>100</v>
      </c>
      <c r="BC216" s="163" t="s">
        <v>4420</v>
      </c>
      <c r="BD216" s="163" t="s">
        <v>4465</v>
      </c>
      <c r="BE216" s="163" t="s">
        <v>6209</v>
      </c>
      <c r="BF216" s="163">
        <v>4</v>
      </c>
      <c r="BG216" s="18">
        <v>6</v>
      </c>
      <c r="BH216" s="202" t="s">
        <v>5792</v>
      </c>
      <c r="BI216" s="203" t="s">
        <v>5792</v>
      </c>
      <c r="BJ216" s="203" t="s">
        <v>5792</v>
      </c>
      <c r="BK216" s="203" t="s">
        <v>5792</v>
      </c>
      <c r="BL216" s="203" t="s">
        <v>5792</v>
      </c>
      <c r="BM216" s="203" t="s">
        <v>5792</v>
      </c>
      <c r="BN216" s="203" t="s">
        <v>5792</v>
      </c>
      <c r="BO216" s="203" t="s">
        <v>5792</v>
      </c>
      <c r="BP216" s="202" t="s">
        <v>5792</v>
      </c>
      <c r="BQ216" s="203" t="s">
        <v>5792</v>
      </c>
      <c r="BR216" s="203" t="s">
        <v>5792</v>
      </c>
      <c r="BS216" s="203" t="s">
        <v>5792</v>
      </c>
      <c r="BT216" s="203" t="s">
        <v>5792</v>
      </c>
      <c r="BU216" s="203" t="s">
        <v>5792</v>
      </c>
      <c r="BV216" s="218" t="s">
        <v>5792</v>
      </c>
      <c r="BW216" s="203" t="s">
        <v>5792</v>
      </c>
      <c r="BX216" s="203" t="s">
        <v>5792</v>
      </c>
      <c r="BY216" s="203" t="s">
        <v>5792</v>
      </c>
      <c r="BZ216" s="203" t="s">
        <v>5792</v>
      </c>
      <c r="CA216" s="203" t="s">
        <v>5792</v>
      </c>
      <c r="CB216" s="218" t="s">
        <v>5792</v>
      </c>
      <c r="CC216" s="306" t="s">
        <v>6282</v>
      </c>
      <c r="CD216" s="163">
        <v>275</v>
      </c>
      <c r="CE216" s="21">
        <v>336</v>
      </c>
      <c r="CF216" s="163">
        <v>410</v>
      </c>
      <c r="CG216" s="21">
        <v>479</v>
      </c>
      <c r="CH216" s="141">
        <v>205000</v>
      </c>
      <c r="CI216" s="306" t="s">
        <v>4450</v>
      </c>
      <c r="CJ216" s="163">
        <v>275</v>
      </c>
      <c r="CK216" s="47">
        <v>336</v>
      </c>
      <c r="CL216" s="60">
        <v>430</v>
      </c>
      <c r="CM216" s="47">
        <v>479</v>
      </c>
      <c r="CN216" s="141">
        <v>205000</v>
      </c>
      <c r="CO216" s="306" t="s">
        <v>6282</v>
      </c>
      <c r="CP216" s="60">
        <v>275</v>
      </c>
      <c r="CQ216" s="32">
        <v>360</v>
      </c>
      <c r="CR216" s="60">
        <v>410</v>
      </c>
      <c r="CS216" s="32">
        <v>530</v>
      </c>
      <c r="CT216" s="67">
        <v>200000</v>
      </c>
      <c r="CU216" s="207" t="s">
        <v>5792</v>
      </c>
      <c r="CV216" s="208" t="s">
        <v>5792</v>
      </c>
      <c r="CW216" s="208" t="s">
        <v>5792</v>
      </c>
      <c r="CX216" s="209" t="s">
        <v>5792</v>
      </c>
      <c r="CY216" s="207" t="s">
        <v>5792</v>
      </c>
      <c r="CZ216" s="208" t="s">
        <v>5792</v>
      </c>
      <c r="DA216" s="209" t="s">
        <v>5792</v>
      </c>
      <c r="DB216" s="283" t="s">
        <v>5792</v>
      </c>
      <c r="DC216" s="163">
        <v>8.8000000000000007</v>
      </c>
      <c r="DD216" s="163">
        <v>640</v>
      </c>
      <c r="DE216" s="32">
        <v>730</v>
      </c>
      <c r="DF216" s="163">
        <v>800</v>
      </c>
      <c r="DG216" s="32">
        <v>940</v>
      </c>
      <c r="DH216" s="67">
        <v>200000</v>
      </c>
      <c r="DI216" s="41" t="s">
        <v>4765</v>
      </c>
      <c r="DJ216" s="306" t="s">
        <v>4435</v>
      </c>
      <c r="DK216" s="297" t="s">
        <v>4566</v>
      </c>
    </row>
    <row r="217" spans="1:115">
      <c r="A217" s="306">
        <v>212</v>
      </c>
      <c r="B217" s="329"/>
      <c r="C217" s="329"/>
      <c r="D217" s="343"/>
      <c r="E217" s="343"/>
      <c r="F217" s="326"/>
      <c r="G217" s="337"/>
      <c r="H217" s="337"/>
      <c r="I217" s="337"/>
      <c r="J217" s="320" t="s">
        <v>4408</v>
      </c>
      <c r="K217" s="306" t="s">
        <v>6314</v>
      </c>
      <c r="L217" s="163" t="s">
        <v>5792</v>
      </c>
      <c r="M217" s="306" t="s">
        <v>4509</v>
      </c>
      <c r="N217" s="163" t="s">
        <v>4703</v>
      </c>
      <c r="O217" s="18" t="s">
        <v>4507</v>
      </c>
      <c r="P217" s="163" t="s">
        <v>4420</v>
      </c>
      <c r="Q217" s="163" t="s">
        <v>4420</v>
      </c>
      <c r="R217" s="163" t="s">
        <v>4420</v>
      </c>
      <c r="S217" s="163" t="s">
        <v>5792</v>
      </c>
      <c r="T217" s="163" t="s">
        <v>4420</v>
      </c>
      <c r="U217" s="163" t="s">
        <v>5792</v>
      </c>
      <c r="V217" s="163" t="s">
        <v>6050</v>
      </c>
      <c r="W217" s="18">
        <v>6</v>
      </c>
      <c r="X217" s="231">
        <v>0</v>
      </c>
      <c r="Y217" s="142">
        <v>702</v>
      </c>
      <c r="Z217" s="306" t="s">
        <v>4729</v>
      </c>
      <c r="AA217" s="21">
        <f>INDEX('[2]Cross-Section Database'!$C$2:$V$2928,MATCH(Z217,'[2]Cross-Section Database'!$B$2:$B$2928,0),3)</f>
        <v>200</v>
      </c>
      <c r="AB217" s="21">
        <f>INDEX('[2]Cross-Section Database'!$C$2:$V$2928,MATCH(Z217,'[2]Cross-Section Database'!$B$2:$B$2928,0),4)</f>
        <v>200</v>
      </c>
      <c r="AC217" s="21">
        <f>INDEX('[2]Cross-Section Database'!$C$2:$V$2928,MATCH(Z217,'[2]Cross-Section Database'!$B$2:$B$2928,0),6)</f>
        <v>6.3</v>
      </c>
      <c r="AD217" s="21">
        <f>INDEX('[2]Cross-Section Database'!$C$2:$V$2928,MATCH(Z217,'[2]Cross-Section Database'!$B$2:$B$2928,0),5)</f>
        <v>6.3</v>
      </c>
      <c r="AE217" s="163">
        <v>1700</v>
      </c>
      <c r="AF217" s="306" t="s">
        <v>4222</v>
      </c>
      <c r="AG217" s="21">
        <f>INDEX('[2]Cross-Section Database'!$C$2:$V$2928,MATCH(AF217,'[2]Cross-Section Database'!$B$2:$B$2928,0),3)</f>
        <v>351.4</v>
      </c>
      <c r="AH217" s="21">
        <f>INDEX('[2]Cross-Section Database'!$C$2:$V$2928,MATCH(AF217,'[2]Cross-Section Database'!$B$2:$B$2928,0),4)</f>
        <v>171.1</v>
      </c>
      <c r="AI217" s="21">
        <f>INDEX('[2]Cross-Section Database'!$C$2:$V$2928,MATCH(AF217,'[2]Cross-Section Database'!$B$2:$B$2928,0),6)</f>
        <v>9.6999999999999993</v>
      </c>
      <c r="AJ217" s="21">
        <f>INDEX('[2]Cross-Section Database'!$C$2:$V$2928,MATCH(AF217,'[2]Cross-Section Database'!$B$2:$B$2928,0),5)</f>
        <v>7</v>
      </c>
      <c r="AK217" s="21">
        <v>1314</v>
      </c>
      <c r="AL217" s="21">
        <f>INDEX('[2]Cross-Section Database'!$C$2:$V$3928,MATCH(AF217,'[2]Cross-Section Database'!$B$2:$B$3928,0),11)</f>
        <v>120700000</v>
      </c>
      <c r="AM217" s="18">
        <f>INDEX('[2]Cross-Section Database'!$C$2:$V$3928,MATCH(AF217,'[2]Cross-Section Database'!$B$2:$B$3928,0),12)</f>
        <v>774600</v>
      </c>
      <c r="AN217" s="21">
        <v>10</v>
      </c>
      <c r="AO217" s="21">
        <v>160</v>
      </c>
      <c r="AP217" s="21">
        <v>350</v>
      </c>
      <c r="AQ217" s="21">
        <v>0</v>
      </c>
      <c r="AR217" s="21">
        <v>0</v>
      </c>
      <c r="AS217" s="306" t="s">
        <v>5807</v>
      </c>
      <c r="AT217" s="163" t="s">
        <v>4706</v>
      </c>
      <c r="AU217" s="21">
        <f t="shared" si="123"/>
        <v>32</v>
      </c>
      <c r="AV217" s="21">
        <v>20</v>
      </c>
      <c r="AW217" s="163">
        <f t="shared" si="124"/>
        <v>245</v>
      </c>
      <c r="AX217" s="21">
        <v>60</v>
      </c>
      <c r="AY217" s="163">
        <v>90</v>
      </c>
      <c r="AZ217" s="21">
        <v>100</v>
      </c>
      <c r="BA217" s="21">
        <v>100</v>
      </c>
      <c r="BB217" s="21">
        <f t="shared" si="125"/>
        <v>100</v>
      </c>
      <c r="BC217" s="163" t="s">
        <v>4420</v>
      </c>
      <c r="BD217" s="163" t="s">
        <v>4465</v>
      </c>
      <c r="BE217" s="163" t="s">
        <v>6209</v>
      </c>
      <c r="BF217" s="163">
        <v>4</v>
      </c>
      <c r="BG217" s="18">
        <v>6</v>
      </c>
      <c r="BH217" s="202" t="s">
        <v>5792</v>
      </c>
      <c r="BI217" s="203" t="s">
        <v>5792</v>
      </c>
      <c r="BJ217" s="203" t="s">
        <v>5792</v>
      </c>
      <c r="BK217" s="203" t="s">
        <v>5792</v>
      </c>
      <c r="BL217" s="203" t="s">
        <v>5792</v>
      </c>
      <c r="BM217" s="203" t="s">
        <v>5792</v>
      </c>
      <c r="BN217" s="203" t="s">
        <v>5792</v>
      </c>
      <c r="BO217" s="203" t="s">
        <v>5792</v>
      </c>
      <c r="BP217" s="202" t="s">
        <v>5792</v>
      </c>
      <c r="BQ217" s="203" t="s">
        <v>5792</v>
      </c>
      <c r="BR217" s="203" t="s">
        <v>5792</v>
      </c>
      <c r="BS217" s="203" t="s">
        <v>5792</v>
      </c>
      <c r="BT217" s="203" t="s">
        <v>5792</v>
      </c>
      <c r="BU217" s="203" t="s">
        <v>5792</v>
      </c>
      <c r="BV217" s="218" t="s">
        <v>5792</v>
      </c>
      <c r="BW217" s="203" t="s">
        <v>5792</v>
      </c>
      <c r="BX217" s="203" t="s">
        <v>5792</v>
      </c>
      <c r="BY217" s="203" t="s">
        <v>5792</v>
      </c>
      <c r="BZ217" s="203" t="s">
        <v>5792</v>
      </c>
      <c r="CA217" s="203" t="s">
        <v>5792</v>
      </c>
      <c r="CB217" s="218" t="s">
        <v>5792</v>
      </c>
      <c r="CC217" s="306" t="s">
        <v>6282</v>
      </c>
      <c r="CD217" s="163">
        <v>275</v>
      </c>
      <c r="CE217" s="21">
        <v>336</v>
      </c>
      <c r="CF217" s="163">
        <v>410</v>
      </c>
      <c r="CG217" s="21">
        <v>479</v>
      </c>
      <c r="CH217" s="141">
        <v>205000</v>
      </c>
      <c r="CI217" s="306" t="s">
        <v>4450</v>
      </c>
      <c r="CJ217" s="163">
        <v>275</v>
      </c>
      <c r="CK217" s="47">
        <v>336</v>
      </c>
      <c r="CL217" s="60">
        <v>430</v>
      </c>
      <c r="CM217" s="47">
        <v>479</v>
      </c>
      <c r="CN217" s="141">
        <v>205000</v>
      </c>
      <c r="CO217" s="306" t="s">
        <v>6282</v>
      </c>
      <c r="CP217" s="60">
        <v>275</v>
      </c>
      <c r="CQ217" s="32">
        <v>360</v>
      </c>
      <c r="CR217" s="60">
        <v>410</v>
      </c>
      <c r="CS217" s="32">
        <v>530</v>
      </c>
      <c r="CT217" s="67">
        <v>200000</v>
      </c>
      <c r="CU217" s="207" t="s">
        <v>5792</v>
      </c>
      <c r="CV217" s="208" t="s">
        <v>5792</v>
      </c>
      <c r="CW217" s="208" t="s">
        <v>5792</v>
      </c>
      <c r="CX217" s="209" t="s">
        <v>5792</v>
      </c>
      <c r="CY217" s="207" t="s">
        <v>5792</v>
      </c>
      <c r="CZ217" s="208" t="s">
        <v>5792</v>
      </c>
      <c r="DA217" s="209" t="s">
        <v>5792</v>
      </c>
      <c r="DB217" s="283" t="s">
        <v>5792</v>
      </c>
      <c r="DC217" s="163">
        <v>8.8000000000000007</v>
      </c>
      <c r="DD217" s="163">
        <v>640</v>
      </c>
      <c r="DE217" s="32">
        <v>730</v>
      </c>
      <c r="DF217" s="163">
        <v>800</v>
      </c>
      <c r="DG217" s="32">
        <v>940</v>
      </c>
      <c r="DH217" s="67">
        <v>200000</v>
      </c>
      <c r="DI217" s="41" t="s">
        <v>4765</v>
      </c>
      <c r="DJ217" s="306" t="s">
        <v>4435</v>
      </c>
      <c r="DK217" s="297" t="s">
        <v>4566</v>
      </c>
    </row>
    <row r="218" spans="1:115">
      <c r="A218" s="306">
        <v>213</v>
      </c>
      <c r="B218" s="329"/>
      <c r="C218" s="329"/>
      <c r="D218" s="343"/>
      <c r="E218" s="343"/>
      <c r="F218" s="326"/>
      <c r="G218" s="337"/>
      <c r="H218" s="337"/>
      <c r="I218" s="337"/>
      <c r="J218" s="320" t="s">
        <v>4413</v>
      </c>
      <c r="K218" s="306" t="s">
        <v>4535</v>
      </c>
      <c r="L218" s="163" t="s">
        <v>6059</v>
      </c>
      <c r="M218" s="306" t="s">
        <v>4509</v>
      </c>
      <c r="N218" s="163" t="s">
        <v>4703</v>
      </c>
      <c r="O218" s="18" t="s">
        <v>4507</v>
      </c>
      <c r="P218" s="163" t="s">
        <v>4420</v>
      </c>
      <c r="Q218" s="163" t="s">
        <v>4420</v>
      </c>
      <c r="R218" s="163" t="s">
        <v>4420</v>
      </c>
      <c r="S218" s="163" t="s">
        <v>5792</v>
      </c>
      <c r="T218" s="163" t="s">
        <v>4420</v>
      </c>
      <c r="U218" s="163" t="s">
        <v>5792</v>
      </c>
      <c r="V218" s="163" t="s">
        <v>6050</v>
      </c>
      <c r="W218" s="18">
        <v>6</v>
      </c>
      <c r="X218" s="231">
        <v>0</v>
      </c>
      <c r="Y218" s="142">
        <v>80</v>
      </c>
      <c r="Z218" s="306" t="s">
        <v>4647</v>
      </c>
      <c r="AA218" s="21">
        <f>INDEX('[2]Cross-Section Database'!$C$2:$V$2928,MATCH(Z218,'[2]Cross-Section Database'!$B$2:$B$2928,0),3)</f>
        <v>200</v>
      </c>
      <c r="AB218" s="21">
        <f>INDEX('[2]Cross-Section Database'!$C$2:$V$2928,MATCH(Z218,'[2]Cross-Section Database'!$B$2:$B$2928,0),4)</f>
        <v>200</v>
      </c>
      <c r="AC218" s="21">
        <f>INDEX('[2]Cross-Section Database'!$C$2:$V$2928,MATCH(Z218,'[2]Cross-Section Database'!$B$2:$B$2928,0),6)</f>
        <v>8</v>
      </c>
      <c r="AD218" s="21">
        <f>INDEX('[2]Cross-Section Database'!$C$2:$V$2928,MATCH(Z218,'[2]Cross-Section Database'!$B$2:$B$2928,0),5)</f>
        <v>8</v>
      </c>
      <c r="AE218" s="163">
        <v>1700</v>
      </c>
      <c r="AF218" s="306" t="s">
        <v>4222</v>
      </c>
      <c r="AG218" s="21">
        <f>INDEX('[2]Cross-Section Database'!$C$2:$V$2928,MATCH(AF218,'[2]Cross-Section Database'!$B$2:$B$2928,0),3)</f>
        <v>351.4</v>
      </c>
      <c r="AH218" s="21">
        <f>INDEX('[2]Cross-Section Database'!$C$2:$V$2928,MATCH(AF218,'[2]Cross-Section Database'!$B$2:$B$2928,0),4)</f>
        <v>171.1</v>
      </c>
      <c r="AI218" s="21">
        <f>INDEX('[2]Cross-Section Database'!$C$2:$V$2928,MATCH(AF218,'[2]Cross-Section Database'!$B$2:$B$2928,0),6)</f>
        <v>9.6999999999999993</v>
      </c>
      <c r="AJ218" s="21">
        <f>INDEX('[2]Cross-Section Database'!$C$2:$V$2928,MATCH(AF218,'[2]Cross-Section Database'!$B$2:$B$2928,0),5)</f>
        <v>7</v>
      </c>
      <c r="AK218" s="21">
        <v>1005</v>
      </c>
      <c r="AL218" s="21">
        <f>INDEX('[2]Cross-Section Database'!$C$2:$V$3928,MATCH(AF218,'[2]Cross-Section Database'!$B$2:$B$3928,0),11)</f>
        <v>120700000</v>
      </c>
      <c r="AM218" s="18">
        <f>INDEX('[2]Cross-Section Database'!$C$2:$V$3928,MATCH(AF218,'[2]Cross-Section Database'!$B$2:$B$3928,0),12)</f>
        <v>774600</v>
      </c>
      <c r="AN218" s="21">
        <v>15</v>
      </c>
      <c r="AO218" s="21">
        <v>160</v>
      </c>
      <c r="AP218" s="21">
        <v>350</v>
      </c>
      <c r="AQ218" s="21">
        <v>0</v>
      </c>
      <c r="AR218" s="21">
        <v>0</v>
      </c>
      <c r="AS218" s="306" t="s">
        <v>5807</v>
      </c>
      <c r="AT218" s="163" t="s">
        <v>4706</v>
      </c>
      <c r="AU218" s="21">
        <f t="shared" si="123"/>
        <v>32</v>
      </c>
      <c r="AV218" s="21">
        <v>20</v>
      </c>
      <c r="AW218" s="163">
        <f t="shared" si="124"/>
        <v>245</v>
      </c>
      <c r="AX218" s="21">
        <v>60</v>
      </c>
      <c r="AY218" s="163">
        <v>90</v>
      </c>
      <c r="AZ218" s="21">
        <v>100</v>
      </c>
      <c r="BA218" s="21">
        <v>100</v>
      </c>
      <c r="BB218" s="21">
        <f t="shared" si="125"/>
        <v>100</v>
      </c>
      <c r="BC218" s="163" t="s">
        <v>4420</v>
      </c>
      <c r="BD218" s="163" t="s">
        <v>4465</v>
      </c>
      <c r="BE218" s="163" t="s">
        <v>6209</v>
      </c>
      <c r="BF218" s="163">
        <v>4</v>
      </c>
      <c r="BG218" s="18">
        <v>6</v>
      </c>
      <c r="BH218" s="202" t="s">
        <v>5792</v>
      </c>
      <c r="BI218" s="203" t="s">
        <v>5792</v>
      </c>
      <c r="BJ218" s="203" t="s">
        <v>5792</v>
      </c>
      <c r="BK218" s="203" t="s">
        <v>5792</v>
      </c>
      <c r="BL218" s="203" t="s">
        <v>5792</v>
      </c>
      <c r="BM218" s="203" t="s">
        <v>5792</v>
      </c>
      <c r="BN218" s="203" t="s">
        <v>5792</v>
      </c>
      <c r="BO218" s="203" t="s">
        <v>5792</v>
      </c>
      <c r="BP218" s="202" t="s">
        <v>5792</v>
      </c>
      <c r="BQ218" s="203" t="s">
        <v>5792</v>
      </c>
      <c r="BR218" s="203" t="s">
        <v>5792</v>
      </c>
      <c r="BS218" s="203" t="s">
        <v>5792</v>
      </c>
      <c r="BT218" s="203" t="s">
        <v>5792</v>
      </c>
      <c r="BU218" s="203" t="s">
        <v>5792</v>
      </c>
      <c r="BV218" s="218" t="s">
        <v>5792</v>
      </c>
      <c r="BW218" s="203" t="s">
        <v>5792</v>
      </c>
      <c r="BX218" s="203" t="s">
        <v>5792</v>
      </c>
      <c r="BY218" s="203" t="s">
        <v>5792</v>
      </c>
      <c r="BZ218" s="203" t="s">
        <v>5792</v>
      </c>
      <c r="CA218" s="203" t="s">
        <v>5792</v>
      </c>
      <c r="CB218" s="218" t="s">
        <v>5792</v>
      </c>
      <c r="CC218" s="306" t="s">
        <v>6282</v>
      </c>
      <c r="CD218" s="163">
        <v>275</v>
      </c>
      <c r="CE218" s="21">
        <v>318</v>
      </c>
      <c r="CF218" s="163">
        <v>410</v>
      </c>
      <c r="CG218" s="21">
        <v>466</v>
      </c>
      <c r="CH218" s="141">
        <v>201000</v>
      </c>
      <c r="CI218" s="306" t="s">
        <v>4450</v>
      </c>
      <c r="CJ218" s="163">
        <v>275</v>
      </c>
      <c r="CK218" s="47">
        <v>318</v>
      </c>
      <c r="CL218" s="60">
        <v>430</v>
      </c>
      <c r="CM218" s="47">
        <v>466</v>
      </c>
      <c r="CN218" s="141">
        <v>201000</v>
      </c>
      <c r="CO218" s="306" t="s">
        <v>6282</v>
      </c>
      <c r="CP218" s="60">
        <v>275</v>
      </c>
      <c r="CQ218" s="32">
        <v>360</v>
      </c>
      <c r="CR218" s="60">
        <v>410</v>
      </c>
      <c r="CS218" s="32">
        <v>530</v>
      </c>
      <c r="CT218" s="67">
        <v>200000</v>
      </c>
      <c r="CU218" s="207" t="s">
        <v>5792</v>
      </c>
      <c r="CV218" s="208" t="s">
        <v>5792</v>
      </c>
      <c r="CW218" s="208" t="s">
        <v>5792</v>
      </c>
      <c r="CX218" s="209" t="s">
        <v>5792</v>
      </c>
      <c r="CY218" s="207" t="s">
        <v>5792</v>
      </c>
      <c r="CZ218" s="208" t="s">
        <v>5792</v>
      </c>
      <c r="DA218" s="209" t="s">
        <v>5792</v>
      </c>
      <c r="DB218" s="283" t="s">
        <v>5792</v>
      </c>
      <c r="DC218" s="163">
        <v>8.8000000000000007</v>
      </c>
      <c r="DD218" s="163">
        <v>640</v>
      </c>
      <c r="DE218" s="32">
        <v>730</v>
      </c>
      <c r="DF218" s="163">
        <v>800</v>
      </c>
      <c r="DG218" s="32">
        <v>940</v>
      </c>
      <c r="DH218" s="67">
        <v>200000</v>
      </c>
      <c r="DI218" s="41" t="s">
        <v>4765</v>
      </c>
      <c r="DJ218" s="306" t="s">
        <v>4435</v>
      </c>
      <c r="DK218" s="297" t="s">
        <v>4566</v>
      </c>
    </row>
    <row r="219" spans="1:115">
      <c r="A219" s="306">
        <v>214</v>
      </c>
      <c r="B219" s="329"/>
      <c r="C219" s="329"/>
      <c r="D219" s="343"/>
      <c r="E219" s="343"/>
      <c r="F219" s="326"/>
      <c r="G219" s="337"/>
      <c r="H219" s="337"/>
      <c r="I219" s="337"/>
      <c r="J219" s="29" t="s">
        <v>4480</v>
      </c>
      <c r="K219" s="306" t="s">
        <v>6314</v>
      </c>
      <c r="L219" s="163" t="s">
        <v>5792</v>
      </c>
      <c r="M219" s="306" t="s">
        <v>4509</v>
      </c>
      <c r="N219" s="163" t="s">
        <v>4703</v>
      </c>
      <c r="O219" s="18" t="s">
        <v>4507</v>
      </c>
      <c r="P219" s="163" t="s">
        <v>4420</v>
      </c>
      <c r="Q219" s="163" t="s">
        <v>4420</v>
      </c>
      <c r="R219" s="163" t="s">
        <v>4420</v>
      </c>
      <c r="S219" s="163" t="s">
        <v>5792</v>
      </c>
      <c r="T219" s="163" t="s">
        <v>4420</v>
      </c>
      <c r="U219" s="163" t="s">
        <v>5792</v>
      </c>
      <c r="V219" s="163" t="s">
        <v>6050</v>
      </c>
      <c r="W219" s="18">
        <v>12</v>
      </c>
      <c r="X219" s="231">
        <v>0</v>
      </c>
      <c r="Y219" s="142">
        <v>0</v>
      </c>
      <c r="Z219" s="306" t="s">
        <v>6323</v>
      </c>
      <c r="AA219" s="21">
        <f>INDEX('[2]Cross-Section Database'!$C$2:$V$2928,MATCH(Z219,'[2]Cross-Section Database'!$B$2:$B$2928,0),3)</f>
        <v>200</v>
      </c>
      <c r="AB219" s="21">
        <f>INDEX('[2]Cross-Section Database'!$C$2:$V$2928,MATCH(Z219,'[2]Cross-Section Database'!$B$2:$B$2928,0),4)</f>
        <v>200</v>
      </c>
      <c r="AC219" s="21">
        <f>INDEX('[2]Cross-Section Database'!$C$2:$V$2928,MATCH(Z219,'[2]Cross-Section Database'!$B$2:$B$2928,0),6)</f>
        <v>10</v>
      </c>
      <c r="AD219" s="21">
        <f>INDEX('[2]Cross-Section Database'!$C$2:$V$2928,MATCH(Z219,'[2]Cross-Section Database'!$B$2:$B$2928,0),5)</f>
        <v>10</v>
      </c>
      <c r="AE219" s="163">
        <v>1505</v>
      </c>
      <c r="AF219" s="306" t="s">
        <v>6324</v>
      </c>
      <c r="AG219" s="21">
        <f>INDEX('[2]Cross-Section Database'!$C$2:$V$2928,MATCH(AF219,'[2]Cross-Section Database'!$B$2:$B$2928,0),3)</f>
        <v>363.4</v>
      </c>
      <c r="AH219" s="21">
        <f>INDEX('[2]Cross-Section Database'!$C$2:$V$2928,MATCH(AF219,'[2]Cross-Section Database'!$B$2:$B$2928,0),4)</f>
        <v>173.2</v>
      </c>
      <c r="AI219" s="21">
        <f>INDEX('[2]Cross-Section Database'!$C$2:$V$2928,MATCH(AF219,'[2]Cross-Section Database'!$B$2:$B$2928,0),6)</f>
        <v>15.7</v>
      </c>
      <c r="AJ219" s="21">
        <f>INDEX('[2]Cross-Section Database'!$C$2:$V$2928,MATCH(AF219,'[2]Cross-Section Database'!$B$2:$B$2928,0),5)</f>
        <v>9.1</v>
      </c>
      <c r="AK219" s="21">
        <v>2552</v>
      </c>
      <c r="AL219" s="21">
        <f>INDEX('[2]Cross-Section Database'!$C$2:$V$3928,MATCH(AF219,'[2]Cross-Section Database'!$B$2:$B$3928,0),11)</f>
        <v>194600000</v>
      </c>
      <c r="AM219" s="18">
        <f>INDEX('[2]Cross-Section Database'!$C$2:$V$3928,MATCH(AF219,'[2]Cross-Section Database'!$B$2:$B$3928,0),12)</f>
        <v>1211000</v>
      </c>
      <c r="AN219" s="21">
        <v>25</v>
      </c>
      <c r="AO219" s="21">
        <v>180</v>
      </c>
      <c r="AP219" s="21">
        <v>395</v>
      </c>
      <c r="AQ219" s="21">
        <f t="shared" si="121"/>
        <v>15.800000000000011</v>
      </c>
      <c r="AR219" s="21">
        <f t="shared" si="122"/>
        <v>15.800000000000011</v>
      </c>
      <c r="AS219" s="306" t="s">
        <v>5794</v>
      </c>
      <c r="AT219" s="163" t="s">
        <v>4706</v>
      </c>
      <c r="AU219" s="21">
        <f t="shared" si="123"/>
        <v>32</v>
      </c>
      <c r="AV219" s="21">
        <v>20</v>
      </c>
      <c r="AW219" s="163">
        <f t="shared" si="124"/>
        <v>245</v>
      </c>
      <c r="AX219" s="21">
        <v>75</v>
      </c>
      <c r="AY219" s="163">
        <v>120</v>
      </c>
      <c r="AZ219" s="21">
        <v>100</v>
      </c>
      <c r="BA219" s="21">
        <v>120</v>
      </c>
      <c r="BB219" s="21">
        <f t="shared" si="125"/>
        <v>100</v>
      </c>
      <c r="BC219" s="163" t="s">
        <v>6312</v>
      </c>
      <c r="BD219" s="163" t="s">
        <v>4465</v>
      </c>
      <c r="BE219" s="163" t="s">
        <v>6209</v>
      </c>
      <c r="BF219" s="163">
        <v>4</v>
      </c>
      <c r="BG219" s="18">
        <v>6</v>
      </c>
      <c r="BH219" s="202" t="s">
        <v>5792</v>
      </c>
      <c r="BI219" s="203" t="s">
        <v>5792</v>
      </c>
      <c r="BJ219" s="203" t="s">
        <v>5792</v>
      </c>
      <c r="BK219" s="203" t="s">
        <v>5792</v>
      </c>
      <c r="BL219" s="203" t="s">
        <v>5792</v>
      </c>
      <c r="BM219" s="203" t="s">
        <v>5792</v>
      </c>
      <c r="BN219" s="203" t="s">
        <v>5792</v>
      </c>
      <c r="BO219" s="203" t="s">
        <v>5792</v>
      </c>
      <c r="BP219" s="202" t="s">
        <v>5792</v>
      </c>
      <c r="BQ219" s="203" t="s">
        <v>5792</v>
      </c>
      <c r="BR219" s="203" t="s">
        <v>5792</v>
      </c>
      <c r="BS219" s="203" t="s">
        <v>5792</v>
      </c>
      <c r="BT219" s="203" t="s">
        <v>5792</v>
      </c>
      <c r="BU219" s="203" t="s">
        <v>5792</v>
      </c>
      <c r="BV219" s="218" t="s">
        <v>5792</v>
      </c>
      <c r="BW219" s="203" t="s">
        <v>5792</v>
      </c>
      <c r="BX219" s="203" t="s">
        <v>5792</v>
      </c>
      <c r="BY219" s="203" t="s">
        <v>5792</v>
      </c>
      <c r="BZ219" s="203" t="s">
        <v>5792</v>
      </c>
      <c r="CA219" s="203" t="s">
        <v>5792</v>
      </c>
      <c r="CB219" s="218" t="s">
        <v>5792</v>
      </c>
      <c r="CC219" s="306" t="s">
        <v>6282</v>
      </c>
      <c r="CD219" s="163">
        <v>275</v>
      </c>
      <c r="CE219" s="21">
        <v>329</v>
      </c>
      <c r="CF219" s="163">
        <v>430</v>
      </c>
      <c r="CG219" s="21">
        <v>477</v>
      </c>
      <c r="CH219" s="141">
        <v>211000</v>
      </c>
      <c r="CI219" s="306" t="s">
        <v>4450</v>
      </c>
      <c r="CJ219" s="163">
        <v>275</v>
      </c>
      <c r="CK219" s="47">
        <v>329</v>
      </c>
      <c r="CL219" s="60">
        <v>430</v>
      </c>
      <c r="CM219" s="47">
        <v>477</v>
      </c>
      <c r="CN219" s="141">
        <v>206000</v>
      </c>
      <c r="CO219" s="306" t="s">
        <v>6282</v>
      </c>
      <c r="CP219" s="60">
        <v>275</v>
      </c>
      <c r="CQ219" s="32">
        <v>360</v>
      </c>
      <c r="CR219" s="60">
        <v>410</v>
      </c>
      <c r="CS219" s="32">
        <v>530</v>
      </c>
      <c r="CT219" s="67">
        <v>200000</v>
      </c>
      <c r="CU219" s="207" t="s">
        <v>5792</v>
      </c>
      <c r="CV219" s="208" t="s">
        <v>5792</v>
      </c>
      <c r="CW219" s="208" t="s">
        <v>5792</v>
      </c>
      <c r="CX219" s="209" t="s">
        <v>5792</v>
      </c>
      <c r="CY219" s="207" t="s">
        <v>5792</v>
      </c>
      <c r="CZ219" s="208" t="s">
        <v>5792</v>
      </c>
      <c r="DA219" s="209" t="s">
        <v>5792</v>
      </c>
      <c r="DB219" s="283" t="s">
        <v>5792</v>
      </c>
      <c r="DC219" s="163">
        <v>8.8000000000000007</v>
      </c>
      <c r="DD219" s="163">
        <v>640</v>
      </c>
      <c r="DE219" s="32">
        <v>730</v>
      </c>
      <c r="DF219" s="163">
        <v>800</v>
      </c>
      <c r="DG219" s="32">
        <v>940</v>
      </c>
      <c r="DH219" s="67">
        <v>200000</v>
      </c>
      <c r="DI219" s="41" t="s">
        <v>4759</v>
      </c>
      <c r="DJ219" s="306" t="s">
        <v>4435</v>
      </c>
      <c r="DK219" s="297" t="s">
        <v>4566</v>
      </c>
    </row>
    <row r="220" spans="1:115">
      <c r="A220" s="306">
        <v>215</v>
      </c>
      <c r="B220" s="329"/>
      <c r="C220" s="329"/>
      <c r="D220" s="343"/>
      <c r="E220" s="343"/>
      <c r="F220" s="326"/>
      <c r="G220" s="337"/>
      <c r="H220" s="337"/>
      <c r="I220" s="337"/>
      <c r="J220" s="29" t="s">
        <v>4481</v>
      </c>
      <c r="K220" s="306" t="s">
        <v>4383</v>
      </c>
      <c r="L220" s="163" t="s">
        <v>5792</v>
      </c>
      <c r="M220" s="306" t="s">
        <v>4509</v>
      </c>
      <c r="N220" s="163" t="s">
        <v>4703</v>
      </c>
      <c r="O220" s="18" t="s">
        <v>4507</v>
      </c>
      <c r="P220" s="163" t="s">
        <v>4420</v>
      </c>
      <c r="Q220" s="163" t="s">
        <v>4420</v>
      </c>
      <c r="R220" s="163" t="s">
        <v>4420</v>
      </c>
      <c r="S220" s="163" t="s">
        <v>5792</v>
      </c>
      <c r="T220" s="163" t="s">
        <v>4420</v>
      </c>
      <c r="U220" s="163" t="s">
        <v>5792</v>
      </c>
      <c r="V220" s="163" t="s">
        <v>6050</v>
      </c>
      <c r="W220" s="18">
        <v>12</v>
      </c>
      <c r="X220" s="231">
        <v>0</v>
      </c>
      <c r="Y220" s="142">
        <v>0</v>
      </c>
      <c r="Z220" s="306" t="s">
        <v>4647</v>
      </c>
      <c r="AA220" s="21">
        <f>INDEX('[2]Cross-Section Database'!$C$2:$V$2928,MATCH(Z220,'[2]Cross-Section Database'!$B$2:$B$2928,0),3)</f>
        <v>200</v>
      </c>
      <c r="AB220" s="21">
        <f>INDEX('[2]Cross-Section Database'!$C$2:$V$2928,MATCH(Z220,'[2]Cross-Section Database'!$B$2:$B$2928,0),4)</f>
        <v>200</v>
      </c>
      <c r="AC220" s="21">
        <f>INDEX('[2]Cross-Section Database'!$C$2:$V$2928,MATCH(Z220,'[2]Cross-Section Database'!$B$2:$B$2928,0),6)</f>
        <v>8</v>
      </c>
      <c r="AD220" s="21">
        <f>INDEX('[2]Cross-Section Database'!$C$2:$V$2928,MATCH(Z220,'[2]Cross-Section Database'!$B$2:$B$2928,0),5)</f>
        <v>8</v>
      </c>
      <c r="AE220" s="163">
        <v>1505</v>
      </c>
      <c r="AF220" s="306" t="s">
        <v>6324</v>
      </c>
      <c r="AG220" s="21">
        <f>INDEX('[2]Cross-Section Database'!$C$2:$V$2928,MATCH(AF220,'[2]Cross-Section Database'!$B$2:$B$2928,0),3)</f>
        <v>363.4</v>
      </c>
      <c r="AH220" s="21">
        <f>INDEX('[2]Cross-Section Database'!$C$2:$V$2928,MATCH(AF220,'[2]Cross-Section Database'!$B$2:$B$2928,0),4)</f>
        <v>173.2</v>
      </c>
      <c r="AI220" s="21">
        <f>INDEX('[2]Cross-Section Database'!$C$2:$V$2928,MATCH(AF220,'[2]Cross-Section Database'!$B$2:$B$2928,0),6)</f>
        <v>15.7</v>
      </c>
      <c r="AJ220" s="21">
        <f>INDEX('[2]Cross-Section Database'!$C$2:$V$2928,MATCH(AF220,'[2]Cross-Section Database'!$B$2:$B$2928,0),5)</f>
        <v>9.1</v>
      </c>
      <c r="AK220" s="21">
        <v>2553</v>
      </c>
      <c r="AL220" s="21">
        <f>INDEX('[2]Cross-Section Database'!$C$2:$V$3928,MATCH(AF220,'[2]Cross-Section Database'!$B$2:$B$3928,0),11)</f>
        <v>194600000</v>
      </c>
      <c r="AM220" s="18">
        <f>INDEX('[2]Cross-Section Database'!$C$2:$V$3928,MATCH(AF220,'[2]Cross-Section Database'!$B$2:$B$3928,0),12)</f>
        <v>1211000</v>
      </c>
      <c r="AN220" s="21">
        <v>25</v>
      </c>
      <c r="AO220" s="21">
        <v>180</v>
      </c>
      <c r="AP220" s="21">
        <v>395</v>
      </c>
      <c r="AQ220" s="21">
        <f t="shared" si="121"/>
        <v>15.800000000000011</v>
      </c>
      <c r="AR220" s="21">
        <f t="shared" si="122"/>
        <v>15.800000000000011</v>
      </c>
      <c r="AS220" s="306" t="s">
        <v>5794</v>
      </c>
      <c r="AT220" s="163" t="s">
        <v>4706</v>
      </c>
      <c r="AU220" s="21">
        <f t="shared" si="123"/>
        <v>32</v>
      </c>
      <c r="AV220" s="21">
        <v>20</v>
      </c>
      <c r="AW220" s="163">
        <f t="shared" si="124"/>
        <v>245</v>
      </c>
      <c r="AX220" s="21">
        <v>75</v>
      </c>
      <c r="AY220" s="163">
        <v>120</v>
      </c>
      <c r="AZ220" s="21">
        <v>100</v>
      </c>
      <c r="BA220" s="21">
        <v>120</v>
      </c>
      <c r="BB220" s="21">
        <f t="shared" si="125"/>
        <v>100</v>
      </c>
      <c r="BC220" s="163" t="s">
        <v>6312</v>
      </c>
      <c r="BD220" s="163" t="s">
        <v>4465</v>
      </c>
      <c r="BE220" s="163" t="s">
        <v>6209</v>
      </c>
      <c r="BF220" s="163">
        <v>4</v>
      </c>
      <c r="BG220" s="18">
        <v>6</v>
      </c>
      <c r="BH220" s="202" t="s">
        <v>5792</v>
      </c>
      <c r="BI220" s="203" t="s">
        <v>5792</v>
      </c>
      <c r="BJ220" s="203" t="s">
        <v>5792</v>
      </c>
      <c r="BK220" s="203" t="s">
        <v>5792</v>
      </c>
      <c r="BL220" s="203" t="s">
        <v>5792</v>
      </c>
      <c r="BM220" s="203" t="s">
        <v>5792</v>
      </c>
      <c r="BN220" s="203" t="s">
        <v>5792</v>
      </c>
      <c r="BO220" s="203" t="s">
        <v>5792</v>
      </c>
      <c r="BP220" s="202" t="s">
        <v>5792</v>
      </c>
      <c r="BQ220" s="203" t="s">
        <v>5792</v>
      </c>
      <c r="BR220" s="203" t="s">
        <v>5792</v>
      </c>
      <c r="BS220" s="203" t="s">
        <v>5792</v>
      </c>
      <c r="BT220" s="203" t="s">
        <v>5792</v>
      </c>
      <c r="BU220" s="203" t="s">
        <v>5792</v>
      </c>
      <c r="BV220" s="218" t="s">
        <v>5792</v>
      </c>
      <c r="BW220" s="203" t="s">
        <v>5792</v>
      </c>
      <c r="BX220" s="203" t="s">
        <v>5792</v>
      </c>
      <c r="BY220" s="203" t="s">
        <v>5792</v>
      </c>
      <c r="BZ220" s="203" t="s">
        <v>5792</v>
      </c>
      <c r="CA220" s="203" t="s">
        <v>5792</v>
      </c>
      <c r="CB220" s="218" t="s">
        <v>5792</v>
      </c>
      <c r="CC220" s="306" t="s">
        <v>6282</v>
      </c>
      <c r="CD220" s="163">
        <v>275</v>
      </c>
      <c r="CE220" s="21">
        <v>346</v>
      </c>
      <c r="CF220" s="163">
        <v>430</v>
      </c>
      <c r="CG220" s="21">
        <v>489</v>
      </c>
      <c r="CH220" s="141">
        <v>206000</v>
      </c>
      <c r="CI220" s="306" t="s">
        <v>4450</v>
      </c>
      <c r="CJ220" s="163">
        <v>275</v>
      </c>
      <c r="CK220" s="47">
        <v>346</v>
      </c>
      <c r="CL220" s="60">
        <v>430</v>
      </c>
      <c r="CM220" s="47">
        <v>489</v>
      </c>
      <c r="CN220" s="141">
        <v>206000</v>
      </c>
      <c r="CO220" s="306" t="s">
        <v>6282</v>
      </c>
      <c r="CP220" s="60">
        <v>275</v>
      </c>
      <c r="CQ220" s="32">
        <v>360</v>
      </c>
      <c r="CR220" s="60">
        <v>410</v>
      </c>
      <c r="CS220" s="32">
        <v>530</v>
      </c>
      <c r="CT220" s="67">
        <v>200000</v>
      </c>
      <c r="CU220" s="207" t="s">
        <v>5792</v>
      </c>
      <c r="CV220" s="208" t="s">
        <v>5792</v>
      </c>
      <c r="CW220" s="208" t="s">
        <v>5792</v>
      </c>
      <c r="CX220" s="209" t="s">
        <v>5792</v>
      </c>
      <c r="CY220" s="207" t="s">
        <v>5792</v>
      </c>
      <c r="CZ220" s="208" t="s">
        <v>5792</v>
      </c>
      <c r="DA220" s="209" t="s">
        <v>5792</v>
      </c>
      <c r="DB220" s="283" t="s">
        <v>5792</v>
      </c>
      <c r="DC220" s="163">
        <v>8.8000000000000007</v>
      </c>
      <c r="DD220" s="163">
        <v>640</v>
      </c>
      <c r="DE220" s="32">
        <v>730</v>
      </c>
      <c r="DF220" s="163">
        <v>800</v>
      </c>
      <c r="DG220" s="32">
        <v>940</v>
      </c>
      <c r="DH220" s="67">
        <v>200000</v>
      </c>
      <c r="DI220" s="41" t="s">
        <v>4759</v>
      </c>
      <c r="DJ220" s="306" t="s">
        <v>4435</v>
      </c>
      <c r="DK220" s="297" t="s">
        <v>4566</v>
      </c>
    </row>
    <row r="221" spans="1:115">
      <c r="A221" s="306">
        <v>216</v>
      </c>
      <c r="B221" s="329"/>
      <c r="C221" s="329"/>
      <c r="D221" s="343"/>
      <c r="E221" s="343"/>
      <c r="F221" s="326"/>
      <c r="G221" s="337"/>
      <c r="H221" s="337"/>
      <c r="I221" s="337"/>
      <c r="J221" s="29" t="s">
        <v>4409</v>
      </c>
      <c r="K221" s="306" t="s">
        <v>4383</v>
      </c>
      <c r="L221" s="163" t="s">
        <v>5792</v>
      </c>
      <c r="M221" s="306" t="s">
        <v>4509</v>
      </c>
      <c r="N221" s="163" t="s">
        <v>4703</v>
      </c>
      <c r="O221" s="18" t="s">
        <v>4507</v>
      </c>
      <c r="P221" s="163" t="s">
        <v>4420</v>
      </c>
      <c r="Q221" s="163" t="s">
        <v>4470</v>
      </c>
      <c r="R221" s="163" t="s">
        <v>4420</v>
      </c>
      <c r="S221" s="163" t="s">
        <v>5792</v>
      </c>
      <c r="T221" s="163" t="s">
        <v>4420</v>
      </c>
      <c r="U221" s="163" t="s">
        <v>5792</v>
      </c>
      <c r="V221" s="163" t="s">
        <v>6050</v>
      </c>
      <c r="W221" s="18">
        <v>6</v>
      </c>
      <c r="X221" s="231">
        <v>0</v>
      </c>
      <c r="Y221" s="142">
        <v>0</v>
      </c>
      <c r="Z221" s="306" t="s">
        <v>4647</v>
      </c>
      <c r="AA221" s="21">
        <f>INDEX('[2]Cross-Section Database'!$C$2:$V$2928,MATCH(Z221,'[2]Cross-Section Database'!$B$2:$B$2928,0),3)</f>
        <v>200</v>
      </c>
      <c r="AB221" s="21">
        <f>INDEX('[2]Cross-Section Database'!$C$2:$V$2928,MATCH(Z221,'[2]Cross-Section Database'!$B$2:$B$2928,0),4)</f>
        <v>200</v>
      </c>
      <c r="AC221" s="21">
        <f>INDEX('[2]Cross-Section Database'!$C$2:$V$2928,MATCH(Z221,'[2]Cross-Section Database'!$B$2:$B$2928,0),6)</f>
        <v>8</v>
      </c>
      <c r="AD221" s="21">
        <f>INDEX('[2]Cross-Section Database'!$C$2:$V$2928,MATCH(Z221,'[2]Cross-Section Database'!$B$2:$B$2928,0),5)</f>
        <v>8</v>
      </c>
      <c r="AE221" s="163">
        <v>1700</v>
      </c>
      <c r="AF221" s="306" t="s">
        <v>4234</v>
      </c>
      <c r="AG221" s="21">
        <f>INDEX('[2]Cross-Section Database'!$C$2:$V$2928,MATCH(AF221,'[2]Cross-Section Database'!$B$2:$B$2928,0),3)</f>
        <v>449.8</v>
      </c>
      <c r="AH221" s="21">
        <f>INDEX('[2]Cross-Section Database'!$C$2:$V$2928,MATCH(AF221,'[2]Cross-Section Database'!$B$2:$B$2928,0),4)</f>
        <v>152.4</v>
      </c>
      <c r="AI221" s="21">
        <f>INDEX('[2]Cross-Section Database'!$C$2:$V$2928,MATCH(AF221,'[2]Cross-Section Database'!$B$2:$B$2928,0),6)</f>
        <v>10.9</v>
      </c>
      <c r="AJ221" s="21">
        <f>INDEX('[2]Cross-Section Database'!$C$2:$V$2928,MATCH(AF221,'[2]Cross-Section Database'!$B$2:$B$2928,0),5)</f>
        <v>7.6</v>
      </c>
      <c r="AK221" s="21">
        <v>1320</v>
      </c>
      <c r="AL221" s="21">
        <f>INDEX('[2]Cross-Section Database'!$C$2:$V$3928,MATCH(AF221,'[2]Cross-Section Database'!$B$2:$B$3928,0),11)</f>
        <v>213700000</v>
      </c>
      <c r="AM221" s="18">
        <f>INDEX('[2]Cross-Section Database'!$C$2:$V$3928,MATCH(AF221,'[2]Cross-Section Database'!$B$2:$B$3928,0),12)</f>
        <v>1096000</v>
      </c>
      <c r="AN221" s="21">
        <v>10</v>
      </c>
      <c r="AO221" s="21">
        <v>160</v>
      </c>
      <c r="AP221" s="21">
        <v>450</v>
      </c>
      <c r="AQ221" s="21">
        <v>0</v>
      </c>
      <c r="AR221" s="21">
        <f t="shared" si="122"/>
        <v>9.9999999999994316E-2</v>
      </c>
      <c r="AS221" s="306" t="s">
        <v>5807</v>
      </c>
      <c r="AT221" s="163" t="s">
        <v>4706</v>
      </c>
      <c r="AU221" s="21">
        <f t="shared" si="123"/>
        <v>32</v>
      </c>
      <c r="AV221" s="21">
        <v>20</v>
      </c>
      <c r="AW221" s="163">
        <f t="shared" si="124"/>
        <v>245</v>
      </c>
      <c r="AX221" s="21">
        <v>60</v>
      </c>
      <c r="AY221" s="163">
        <v>90</v>
      </c>
      <c r="AZ221" s="21">
        <v>100</v>
      </c>
      <c r="BA221" s="21">
        <v>100</v>
      </c>
      <c r="BB221" s="21">
        <f t="shared" si="125"/>
        <v>200</v>
      </c>
      <c r="BC221" s="163" t="s">
        <v>4420</v>
      </c>
      <c r="BD221" s="163" t="s">
        <v>4465</v>
      </c>
      <c r="BE221" s="163" t="s">
        <v>4465</v>
      </c>
      <c r="BF221" s="163">
        <v>4</v>
      </c>
      <c r="BG221" s="18">
        <v>8</v>
      </c>
      <c r="BH221" s="202" t="s">
        <v>5792</v>
      </c>
      <c r="BI221" s="203" t="s">
        <v>5792</v>
      </c>
      <c r="BJ221" s="203" t="s">
        <v>5792</v>
      </c>
      <c r="BK221" s="203" t="s">
        <v>5792</v>
      </c>
      <c r="BL221" s="203" t="s">
        <v>5792</v>
      </c>
      <c r="BM221" s="203" t="s">
        <v>5792</v>
      </c>
      <c r="BN221" s="203" t="s">
        <v>5792</v>
      </c>
      <c r="BO221" s="203" t="s">
        <v>5792</v>
      </c>
      <c r="BP221" s="202" t="s">
        <v>5792</v>
      </c>
      <c r="BQ221" s="203" t="s">
        <v>5792</v>
      </c>
      <c r="BR221" s="203" t="s">
        <v>5792</v>
      </c>
      <c r="BS221" s="203" t="s">
        <v>5792</v>
      </c>
      <c r="BT221" s="203" t="s">
        <v>5792</v>
      </c>
      <c r="BU221" s="203" t="s">
        <v>5792</v>
      </c>
      <c r="BV221" s="218" t="s">
        <v>5792</v>
      </c>
      <c r="BW221" s="203" t="s">
        <v>5792</v>
      </c>
      <c r="BX221" s="203" t="s">
        <v>5792</v>
      </c>
      <c r="BY221" s="203" t="s">
        <v>5792</v>
      </c>
      <c r="BZ221" s="203" t="s">
        <v>5792</v>
      </c>
      <c r="CA221" s="203" t="s">
        <v>5792</v>
      </c>
      <c r="CB221" s="218" t="s">
        <v>5792</v>
      </c>
      <c r="CC221" s="306" t="s">
        <v>6282</v>
      </c>
      <c r="CD221" s="163">
        <v>275</v>
      </c>
      <c r="CE221" s="21">
        <v>318</v>
      </c>
      <c r="CF221" s="163">
        <v>410</v>
      </c>
      <c r="CG221" s="21">
        <v>466</v>
      </c>
      <c r="CH221" s="141">
        <v>201000</v>
      </c>
      <c r="CI221" s="306" t="s">
        <v>4450</v>
      </c>
      <c r="CJ221" s="163">
        <v>275</v>
      </c>
      <c r="CK221" s="47">
        <v>318</v>
      </c>
      <c r="CL221" s="60">
        <v>430</v>
      </c>
      <c r="CM221" s="47">
        <v>466</v>
      </c>
      <c r="CN221" s="141">
        <v>201000</v>
      </c>
      <c r="CO221" s="306" t="s">
        <v>6282</v>
      </c>
      <c r="CP221" s="60">
        <v>275</v>
      </c>
      <c r="CQ221" s="32">
        <v>360</v>
      </c>
      <c r="CR221" s="60">
        <v>410</v>
      </c>
      <c r="CS221" s="32">
        <v>530</v>
      </c>
      <c r="CT221" s="67">
        <v>200000</v>
      </c>
      <c r="CU221" s="98" t="s">
        <v>5654</v>
      </c>
      <c r="CV221" s="97">
        <v>43.4</v>
      </c>
      <c r="CW221" s="97">
        <v>3.6</v>
      </c>
      <c r="CX221" s="67">
        <v>35000</v>
      </c>
      <c r="CY221" s="207" t="s">
        <v>5792</v>
      </c>
      <c r="CZ221" s="208" t="s">
        <v>5792</v>
      </c>
      <c r="DA221" s="209" t="s">
        <v>5792</v>
      </c>
      <c r="DB221" s="283" t="s">
        <v>5792</v>
      </c>
      <c r="DC221" s="163">
        <v>8.8000000000000007</v>
      </c>
      <c r="DD221" s="163">
        <v>640</v>
      </c>
      <c r="DE221" s="32">
        <v>730</v>
      </c>
      <c r="DF221" s="163">
        <v>800</v>
      </c>
      <c r="DG221" s="32">
        <v>940</v>
      </c>
      <c r="DH221" s="67">
        <v>200000</v>
      </c>
      <c r="DI221" s="29" t="s">
        <v>5832</v>
      </c>
      <c r="DJ221" s="306" t="s">
        <v>4435</v>
      </c>
      <c r="DK221" s="297" t="s">
        <v>4566</v>
      </c>
    </row>
    <row r="222" spans="1:115">
      <c r="A222" s="306">
        <v>217</v>
      </c>
      <c r="B222" s="329"/>
      <c r="C222" s="329"/>
      <c r="D222" s="343"/>
      <c r="E222" s="343"/>
      <c r="F222" s="326"/>
      <c r="G222" s="337"/>
      <c r="H222" s="337"/>
      <c r="I222" s="337"/>
      <c r="J222" s="29" t="s">
        <v>4410</v>
      </c>
      <c r="K222" s="306" t="s">
        <v>4383</v>
      </c>
      <c r="L222" s="163" t="s">
        <v>5792</v>
      </c>
      <c r="M222" s="306" t="s">
        <v>4509</v>
      </c>
      <c r="N222" s="163" t="s">
        <v>4703</v>
      </c>
      <c r="O222" s="18" t="s">
        <v>4507</v>
      </c>
      <c r="P222" s="163" t="s">
        <v>4420</v>
      </c>
      <c r="Q222" s="163" t="s">
        <v>4470</v>
      </c>
      <c r="R222" s="163" t="s">
        <v>4420</v>
      </c>
      <c r="S222" s="163" t="s">
        <v>5792</v>
      </c>
      <c r="T222" s="163" t="s">
        <v>4420</v>
      </c>
      <c r="U222" s="163" t="s">
        <v>5792</v>
      </c>
      <c r="V222" s="163" t="s">
        <v>6050</v>
      </c>
      <c r="W222" s="18">
        <v>6</v>
      </c>
      <c r="X222" s="230">
        <v>0</v>
      </c>
      <c r="Y222" s="18">
        <v>0</v>
      </c>
      <c r="Z222" s="306" t="s">
        <v>4647</v>
      </c>
      <c r="AA222" s="21">
        <f>INDEX('[2]Cross-Section Database'!$C$2:$V$2928,MATCH(Z222,'[2]Cross-Section Database'!$B$2:$B$2928,0),3)</f>
        <v>200</v>
      </c>
      <c r="AB222" s="21">
        <f>INDEX('[2]Cross-Section Database'!$C$2:$V$2928,MATCH(Z222,'[2]Cross-Section Database'!$B$2:$B$2928,0),4)</f>
        <v>200</v>
      </c>
      <c r="AC222" s="46">
        <f>INDEX('[2]Cross-Section Database'!$C$2:$V$2928,MATCH(Z222,'[2]Cross-Section Database'!$B$2:$B$2928,0),6)</f>
        <v>8</v>
      </c>
      <c r="AD222" s="46">
        <f>INDEX('[2]Cross-Section Database'!$C$2:$V$2928,MATCH(Z222,'[2]Cross-Section Database'!$B$2:$B$2928,0),5)</f>
        <v>8</v>
      </c>
      <c r="AE222" s="21">
        <v>1700</v>
      </c>
      <c r="AF222" s="306" t="s">
        <v>4222</v>
      </c>
      <c r="AG222" s="21">
        <f>INDEX('[2]Cross-Section Database'!$C$2:$V$2928,MATCH(AF222,'[2]Cross-Section Database'!$B$2:$B$2928,0),3)</f>
        <v>351.4</v>
      </c>
      <c r="AH222" s="21">
        <f>INDEX('[2]Cross-Section Database'!$C$2:$V$2928,MATCH(AF222,'[2]Cross-Section Database'!$B$2:$B$2928,0),4)</f>
        <v>171.1</v>
      </c>
      <c r="AI222" s="21">
        <f>INDEX('[2]Cross-Section Database'!$C$2:$V$2928,MATCH(AF222,'[2]Cross-Section Database'!$B$2:$B$2928,0),6)</f>
        <v>9.6999999999999993</v>
      </c>
      <c r="AJ222" s="21">
        <f>INDEX('[2]Cross-Section Database'!$C$2:$V$2928,MATCH(AF222,'[2]Cross-Section Database'!$B$2:$B$2928,0),5)</f>
        <v>7</v>
      </c>
      <c r="AK222" s="21">
        <v>1006</v>
      </c>
      <c r="AL222" s="21">
        <f>INDEX('[2]Cross-Section Database'!$C$2:$V$3928,MATCH(AF222,'[2]Cross-Section Database'!$B$2:$B$3928,0),11)</f>
        <v>120700000</v>
      </c>
      <c r="AM222" s="24">
        <f>INDEX('[2]Cross-Section Database'!$C$2:$V$3928,MATCH(AF222,'[2]Cross-Section Database'!$B$2:$B$3928,0),12)</f>
        <v>774600</v>
      </c>
      <c r="AN222" s="21">
        <v>10</v>
      </c>
      <c r="AO222" s="21">
        <v>160</v>
      </c>
      <c r="AP222" s="21">
        <v>350</v>
      </c>
      <c r="AQ222" s="21">
        <v>0</v>
      </c>
      <c r="AR222" s="21">
        <v>0</v>
      </c>
      <c r="AS222" s="306" t="s">
        <v>5807</v>
      </c>
      <c r="AT222" s="163" t="s">
        <v>4706</v>
      </c>
      <c r="AU222" s="163">
        <f t="shared" si="123"/>
        <v>32</v>
      </c>
      <c r="AV222" s="163">
        <v>20</v>
      </c>
      <c r="AW222" s="163">
        <f t="shared" si="124"/>
        <v>245</v>
      </c>
      <c r="AX222" s="21">
        <v>60</v>
      </c>
      <c r="AY222" s="21">
        <v>90</v>
      </c>
      <c r="AZ222" s="21">
        <v>100</v>
      </c>
      <c r="BA222" s="21">
        <v>100</v>
      </c>
      <c r="BB222" s="21">
        <f t="shared" si="125"/>
        <v>100</v>
      </c>
      <c r="BC222" s="163" t="s">
        <v>4420</v>
      </c>
      <c r="BD222" s="163" t="s">
        <v>4465</v>
      </c>
      <c r="BE222" s="163" t="s">
        <v>6209</v>
      </c>
      <c r="BF222" s="163">
        <v>4</v>
      </c>
      <c r="BG222" s="18">
        <v>6</v>
      </c>
      <c r="BH222" s="202" t="s">
        <v>5792</v>
      </c>
      <c r="BI222" s="203" t="s">
        <v>5792</v>
      </c>
      <c r="BJ222" s="203" t="s">
        <v>5792</v>
      </c>
      <c r="BK222" s="203" t="s">
        <v>5792</v>
      </c>
      <c r="BL222" s="203" t="s">
        <v>5792</v>
      </c>
      <c r="BM222" s="203" t="s">
        <v>5792</v>
      </c>
      <c r="BN222" s="203" t="s">
        <v>5792</v>
      </c>
      <c r="BO222" s="203" t="s">
        <v>5792</v>
      </c>
      <c r="BP222" s="202" t="s">
        <v>5792</v>
      </c>
      <c r="BQ222" s="203" t="s">
        <v>5792</v>
      </c>
      <c r="BR222" s="203" t="s">
        <v>5792</v>
      </c>
      <c r="BS222" s="203" t="s">
        <v>5792</v>
      </c>
      <c r="BT222" s="203" t="s">
        <v>5792</v>
      </c>
      <c r="BU222" s="203" t="s">
        <v>5792</v>
      </c>
      <c r="BV222" s="218" t="s">
        <v>5792</v>
      </c>
      <c r="BW222" s="203" t="s">
        <v>5792</v>
      </c>
      <c r="BX222" s="203" t="s">
        <v>5792</v>
      </c>
      <c r="BY222" s="203" t="s">
        <v>5792</v>
      </c>
      <c r="BZ222" s="203" t="s">
        <v>5792</v>
      </c>
      <c r="CA222" s="203" t="s">
        <v>5792</v>
      </c>
      <c r="CB222" s="218" t="s">
        <v>5792</v>
      </c>
      <c r="CC222" s="306" t="s">
        <v>6282</v>
      </c>
      <c r="CD222" s="163">
        <v>275</v>
      </c>
      <c r="CE222" s="21">
        <v>318</v>
      </c>
      <c r="CF222" s="163">
        <v>410</v>
      </c>
      <c r="CG222" s="21">
        <v>466</v>
      </c>
      <c r="CH222" s="141">
        <v>201000</v>
      </c>
      <c r="CI222" s="306" t="s">
        <v>4450</v>
      </c>
      <c r="CJ222" s="163">
        <v>275</v>
      </c>
      <c r="CK222" s="47">
        <v>318</v>
      </c>
      <c r="CL222" s="60">
        <v>430</v>
      </c>
      <c r="CM222" s="47">
        <v>466</v>
      </c>
      <c r="CN222" s="141">
        <v>201000</v>
      </c>
      <c r="CO222" s="306" t="s">
        <v>6282</v>
      </c>
      <c r="CP222" s="60">
        <v>275</v>
      </c>
      <c r="CQ222" s="32">
        <v>360</v>
      </c>
      <c r="CR222" s="60">
        <v>410</v>
      </c>
      <c r="CS222" s="32">
        <v>530</v>
      </c>
      <c r="CT222" s="67">
        <v>200000</v>
      </c>
      <c r="CU222" s="98" t="s">
        <v>5654</v>
      </c>
      <c r="CV222" s="97">
        <v>43.4</v>
      </c>
      <c r="CW222" s="97">
        <v>3.6</v>
      </c>
      <c r="CX222" s="67">
        <v>35000</v>
      </c>
      <c r="CY222" s="207" t="s">
        <v>5792</v>
      </c>
      <c r="CZ222" s="208" t="s">
        <v>5792</v>
      </c>
      <c r="DA222" s="209" t="s">
        <v>5792</v>
      </c>
      <c r="DB222" s="283" t="s">
        <v>5792</v>
      </c>
      <c r="DC222" s="163">
        <v>8.8000000000000007</v>
      </c>
      <c r="DD222" s="163">
        <v>640</v>
      </c>
      <c r="DE222" s="32">
        <v>730</v>
      </c>
      <c r="DF222" s="163">
        <v>800</v>
      </c>
      <c r="DG222" s="32">
        <v>940</v>
      </c>
      <c r="DH222" s="67">
        <v>200000</v>
      </c>
      <c r="DI222" s="29" t="s">
        <v>5832</v>
      </c>
      <c r="DJ222" s="306" t="s">
        <v>4435</v>
      </c>
      <c r="DK222" s="297" t="s">
        <v>4566</v>
      </c>
    </row>
    <row r="223" spans="1:115">
      <c r="A223" s="306">
        <v>218</v>
      </c>
      <c r="B223" s="329"/>
      <c r="C223" s="329"/>
      <c r="D223" s="343"/>
      <c r="E223" s="343"/>
      <c r="F223" s="326"/>
      <c r="G223" s="337"/>
      <c r="H223" s="337"/>
      <c r="I223" s="337"/>
      <c r="J223" s="29" t="s">
        <v>4411</v>
      </c>
      <c r="K223" s="306" t="s">
        <v>4383</v>
      </c>
      <c r="L223" s="163" t="s">
        <v>5792</v>
      </c>
      <c r="M223" s="306" t="s">
        <v>4509</v>
      </c>
      <c r="N223" s="163" t="s">
        <v>4703</v>
      </c>
      <c r="O223" s="18" t="s">
        <v>4507</v>
      </c>
      <c r="P223" s="163" t="s">
        <v>4420</v>
      </c>
      <c r="Q223" s="163" t="s">
        <v>4470</v>
      </c>
      <c r="R223" s="163" t="s">
        <v>4420</v>
      </c>
      <c r="S223" s="163" t="s">
        <v>5792</v>
      </c>
      <c r="T223" s="163" t="s">
        <v>4420</v>
      </c>
      <c r="U223" s="163" t="s">
        <v>5792</v>
      </c>
      <c r="V223" s="163" t="s">
        <v>6050</v>
      </c>
      <c r="W223" s="18">
        <v>6</v>
      </c>
      <c r="X223" s="230">
        <v>0</v>
      </c>
      <c r="Y223" s="18">
        <v>0</v>
      </c>
      <c r="Z223" s="306" t="s">
        <v>4729</v>
      </c>
      <c r="AA223" s="21">
        <f>INDEX('[2]Cross-Section Database'!$C$2:$V$2928,MATCH(Z223,'[2]Cross-Section Database'!$B$2:$B$2928,0),3)</f>
        <v>200</v>
      </c>
      <c r="AB223" s="21">
        <f>INDEX('[2]Cross-Section Database'!$C$2:$V$2928,MATCH(Z223,'[2]Cross-Section Database'!$B$2:$B$2928,0),4)</f>
        <v>200</v>
      </c>
      <c r="AC223" s="21">
        <f>INDEX('[2]Cross-Section Database'!$C$2:$V$2928,MATCH(Z223,'[2]Cross-Section Database'!$B$2:$B$2928,0),6)</f>
        <v>6.3</v>
      </c>
      <c r="AD223" s="21">
        <f>INDEX('[2]Cross-Section Database'!$C$2:$V$2928,MATCH(Z223,'[2]Cross-Section Database'!$B$2:$B$2928,0),5)</f>
        <v>6.3</v>
      </c>
      <c r="AE223" s="163">
        <v>1700</v>
      </c>
      <c r="AF223" s="306" t="s">
        <v>4222</v>
      </c>
      <c r="AG223" s="21">
        <f>INDEX('[2]Cross-Section Database'!$C$2:$V$2928,MATCH(AF223,'[2]Cross-Section Database'!$B$2:$B$2928,0),3)</f>
        <v>351.4</v>
      </c>
      <c r="AH223" s="21">
        <f>INDEX('[2]Cross-Section Database'!$C$2:$V$2928,MATCH(AF223,'[2]Cross-Section Database'!$B$2:$B$2928,0),4)</f>
        <v>171.1</v>
      </c>
      <c r="AI223" s="21">
        <f>INDEX('[2]Cross-Section Database'!$C$2:$V$2928,MATCH(AF223,'[2]Cross-Section Database'!$B$2:$B$2928,0),6)</f>
        <v>9.6999999999999993</v>
      </c>
      <c r="AJ223" s="21">
        <f>INDEX('[2]Cross-Section Database'!$C$2:$V$2928,MATCH(AF223,'[2]Cross-Section Database'!$B$2:$B$2928,0),5)</f>
        <v>7</v>
      </c>
      <c r="AK223" s="21">
        <v>1005</v>
      </c>
      <c r="AL223" s="21">
        <f>INDEX('[2]Cross-Section Database'!$C$2:$V$3928,MATCH(AF223,'[2]Cross-Section Database'!$B$2:$B$3928,0),11)</f>
        <v>120700000</v>
      </c>
      <c r="AM223" s="24">
        <f>INDEX('[2]Cross-Section Database'!$C$2:$V$3928,MATCH(AF223,'[2]Cross-Section Database'!$B$2:$B$3928,0),12)</f>
        <v>774600</v>
      </c>
      <c r="AN223" s="21">
        <v>10</v>
      </c>
      <c r="AO223" s="21">
        <v>160</v>
      </c>
      <c r="AP223" s="21">
        <v>350</v>
      </c>
      <c r="AQ223" s="21">
        <v>0</v>
      </c>
      <c r="AR223" s="21">
        <v>0</v>
      </c>
      <c r="AS223" s="306" t="s">
        <v>5807</v>
      </c>
      <c r="AT223" s="163" t="s">
        <v>4706</v>
      </c>
      <c r="AU223" s="163">
        <f t="shared" si="123"/>
        <v>32</v>
      </c>
      <c r="AV223" s="163">
        <v>20</v>
      </c>
      <c r="AW223" s="163">
        <f t="shared" si="124"/>
        <v>245</v>
      </c>
      <c r="AX223" s="21">
        <v>60</v>
      </c>
      <c r="AY223" s="21">
        <v>90</v>
      </c>
      <c r="AZ223" s="21">
        <v>100</v>
      </c>
      <c r="BA223" s="21">
        <v>100</v>
      </c>
      <c r="BB223" s="21">
        <f t="shared" si="125"/>
        <v>100</v>
      </c>
      <c r="BC223" s="163" t="s">
        <v>4420</v>
      </c>
      <c r="BD223" s="163" t="s">
        <v>4465</v>
      </c>
      <c r="BE223" s="163" t="s">
        <v>6209</v>
      </c>
      <c r="BF223" s="163">
        <v>4</v>
      </c>
      <c r="BG223" s="18">
        <v>6</v>
      </c>
      <c r="BH223" s="202" t="s">
        <v>5792</v>
      </c>
      <c r="BI223" s="203" t="s">
        <v>5792</v>
      </c>
      <c r="BJ223" s="203" t="s">
        <v>5792</v>
      </c>
      <c r="BK223" s="203" t="s">
        <v>5792</v>
      </c>
      <c r="BL223" s="203" t="s">
        <v>5792</v>
      </c>
      <c r="BM223" s="203" t="s">
        <v>5792</v>
      </c>
      <c r="BN223" s="203" t="s">
        <v>5792</v>
      </c>
      <c r="BO223" s="203" t="s">
        <v>5792</v>
      </c>
      <c r="BP223" s="202" t="s">
        <v>5792</v>
      </c>
      <c r="BQ223" s="203" t="s">
        <v>5792</v>
      </c>
      <c r="BR223" s="203" t="s">
        <v>5792</v>
      </c>
      <c r="BS223" s="203" t="s">
        <v>5792</v>
      </c>
      <c r="BT223" s="203" t="s">
        <v>5792</v>
      </c>
      <c r="BU223" s="203" t="s">
        <v>5792</v>
      </c>
      <c r="BV223" s="218" t="s">
        <v>5792</v>
      </c>
      <c r="BW223" s="203" t="s">
        <v>5792</v>
      </c>
      <c r="BX223" s="203" t="s">
        <v>5792</v>
      </c>
      <c r="BY223" s="203" t="s">
        <v>5792</v>
      </c>
      <c r="BZ223" s="203" t="s">
        <v>5792</v>
      </c>
      <c r="CA223" s="203" t="s">
        <v>5792</v>
      </c>
      <c r="CB223" s="218" t="s">
        <v>5792</v>
      </c>
      <c r="CC223" s="306" t="s">
        <v>6282</v>
      </c>
      <c r="CD223" s="163">
        <v>275</v>
      </c>
      <c r="CE223" s="21">
        <v>336</v>
      </c>
      <c r="CF223" s="163">
        <v>410</v>
      </c>
      <c r="CG223" s="21">
        <v>479</v>
      </c>
      <c r="CH223" s="141">
        <v>205000</v>
      </c>
      <c r="CI223" s="306" t="s">
        <v>4450</v>
      </c>
      <c r="CJ223" s="163">
        <v>275</v>
      </c>
      <c r="CK223" s="47">
        <v>336</v>
      </c>
      <c r="CL223" s="60">
        <v>430</v>
      </c>
      <c r="CM223" s="47">
        <v>479</v>
      </c>
      <c r="CN223" s="141">
        <v>205000</v>
      </c>
      <c r="CO223" s="306" t="s">
        <v>6282</v>
      </c>
      <c r="CP223" s="60">
        <v>275</v>
      </c>
      <c r="CQ223" s="32">
        <v>360</v>
      </c>
      <c r="CR223" s="60">
        <v>410</v>
      </c>
      <c r="CS223" s="32">
        <v>530</v>
      </c>
      <c r="CT223" s="67">
        <v>200000</v>
      </c>
      <c r="CU223" s="98" t="s">
        <v>5654</v>
      </c>
      <c r="CV223" s="97">
        <v>43.4</v>
      </c>
      <c r="CW223" s="97">
        <v>3.6</v>
      </c>
      <c r="CX223" s="67">
        <v>35000</v>
      </c>
      <c r="CY223" s="207" t="s">
        <v>5792</v>
      </c>
      <c r="CZ223" s="208" t="s">
        <v>5792</v>
      </c>
      <c r="DA223" s="209" t="s">
        <v>5792</v>
      </c>
      <c r="DB223" s="283" t="s">
        <v>5792</v>
      </c>
      <c r="DC223" s="163">
        <v>8.8000000000000007</v>
      </c>
      <c r="DD223" s="163">
        <v>640</v>
      </c>
      <c r="DE223" s="32">
        <v>730</v>
      </c>
      <c r="DF223" s="163">
        <v>800</v>
      </c>
      <c r="DG223" s="32">
        <v>940</v>
      </c>
      <c r="DH223" s="67">
        <v>200000</v>
      </c>
      <c r="DI223" s="29" t="s">
        <v>4765</v>
      </c>
      <c r="DJ223" s="306" t="s">
        <v>4435</v>
      </c>
      <c r="DK223" s="297" t="s">
        <v>4566</v>
      </c>
    </row>
    <row r="224" spans="1:115" ht="15.6" customHeight="1" thickBot="1">
      <c r="A224" s="306">
        <v>219</v>
      </c>
      <c r="B224" s="330"/>
      <c r="C224" s="330"/>
      <c r="D224" s="344"/>
      <c r="E224" s="344"/>
      <c r="F224" s="327"/>
      <c r="G224" s="338"/>
      <c r="H224" s="338"/>
      <c r="I224" s="338"/>
      <c r="J224" s="29" t="s">
        <v>4412</v>
      </c>
      <c r="K224" s="306" t="s">
        <v>4383</v>
      </c>
      <c r="L224" s="163" t="s">
        <v>5792</v>
      </c>
      <c r="M224" s="306" t="s">
        <v>4509</v>
      </c>
      <c r="N224" s="163" t="s">
        <v>4703</v>
      </c>
      <c r="O224" s="18" t="s">
        <v>4507</v>
      </c>
      <c r="P224" s="163" t="s">
        <v>4420</v>
      </c>
      <c r="Q224" s="163" t="s">
        <v>4470</v>
      </c>
      <c r="R224" s="163" t="s">
        <v>4420</v>
      </c>
      <c r="S224" s="163" t="s">
        <v>5792</v>
      </c>
      <c r="T224" s="163" t="s">
        <v>4420</v>
      </c>
      <c r="U224" s="163" t="s">
        <v>5792</v>
      </c>
      <c r="V224" s="163" t="s">
        <v>6050</v>
      </c>
      <c r="W224" s="18">
        <v>6</v>
      </c>
      <c r="X224" s="235">
        <v>0</v>
      </c>
      <c r="Y224" s="14">
        <v>0</v>
      </c>
      <c r="Z224" s="306" t="s">
        <v>4647</v>
      </c>
      <c r="AA224" s="21">
        <f>INDEX('[2]Cross-Section Database'!$C$2:$V$2928,MATCH(Z224,'[2]Cross-Section Database'!$B$2:$B$2928,0),3)</f>
        <v>200</v>
      </c>
      <c r="AB224" s="21">
        <f>INDEX('[2]Cross-Section Database'!$C$2:$V$2928,MATCH(Z224,'[2]Cross-Section Database'!$B$2:$B$2928,0),4)</f>
        <v>200</v>
      </c>
      <c r="AC224" s="46">
        <f>INDEX('[2]Cross-Section Database'!$C$2:$V$2928,MATCH(Z224,'[2]Cross-Section Database'!$B$2:$B$2928,0),6)</f>
        <v>8</v>
      </c>
      <c r="AD224" s="46">
        <f>INDEX('[2]Cross-Section Database'!$C$2:$V$2928,MATCH(Z224,'[2]Cross-Section Database'!$B$2:$B$2928,0),5)</f>
        <v>8</v>
      </c>
      <c r="AE224" s="21">
        <v>1700</v>
      </c>
      <c r="AF224" s="306" t="s">
        <v>4208</v>
      </c>
      <c r="AG224" s="21">
        <f>INDEX('[2]Cross-Section Database'!$C$2:$V$2928,MATCH(AF224,'[2]Cross-Section Database'!$B$2:$B$2928,0),3)</f>
        <v>251.4</v>
      </c>
      <c r="AH224" s="21">
        <f>INDEX('[2]Cross-Section Database'!$C$2:$V$2928,MATCH(AF224,'[2]Cross-Section Database'!$B$2:$B$2928,0),4)</f>
        <v>146.1</v>
      </c>
      <c r="AI224" s="21">
        <f>INDEX('[2]Cross-Section Database'!$C$2:$V$2928,MATCH(AF224,'[2]Cross-Section Database'!$B$2:$B$2928,0),6)</f>
        <v>8.6</v>
      </c>
      <c r="AJ224" s="21">
        <f>INDEX('[2]Cross-Section Database'!$C$2:$V$2928,MATCH(AF224,'[2]Cross-Section Database'!$B$2:$B$2928,0),5)</f>
        <v>6</v>
      </c>
      <c r="AK224" s="21">
        <v>1008</v>
      </c>
      <c r="AL224" s="21">
        <f>INDEX('[2]Cross-Section Database'!$C$2:$V$3928,MATCH(AF224,'[2]Cross-Section Database'!$B$2:$B$3928,0),11)</f>
        <v>44130000</v>
      </c>
      <c r="AM224" s="24">
        <f>INDEX('[2]Cross-Section Database'!$C$2:$V$3928,MATCH(AF224,'[2]Cross-Section Database'!$B$2:$B$3928,0),12)</f>
        <v>393100</v>
      </c>
      <c r="AN224" s="21">
        <v>10</v>
      </c>
      <c r="AO224" s="21">
        <v>160</v>
      </c>
      <c r="AP224" s="21">
        <v>250</v>
      </c>
      <c r="AQ224" s="21">
        <v>0</v>
      </c>
      <c r="AR224" s="21">
        <v>0</v>
      </c>
      <c r="AS224" s="143" t="s">
        <v>5807</v>
      </c>
      <c r="AT224" s="164" t="s">
        <v>4706</v>
      </c>
      <c r="AU224" s="164">
        <f t="shared" si="123"/>
        <v>32</v>
      </c>
      <c r="AV224" s="164">
        <v>20</v>
      </c>
      <c r="AW224" s="164">
        <f t="shared" si="124"/>
        <v>245</v>
      </c>
      <c r="AX224" s="23">
        <v>60</v>
      </c>
      <c r="AY224" s="23">
        <v>90</v>
      </c>
      <c r="AZ224" s="23">
        <v>0</v>
      </c>
      <c r="BA224" s="23">
        <v>100</v>
      </c>
      <c r="BB224" s="23">
        <f t="shared" si="125"/>
        <v>100</v>
      </c>
      <c r="BC224" s="164" t="s">
        <v>4470</v>
      </c>
      <c r="BD224" s="164" t="s">
        <v>6209</v>
      </c>
      <c r="BE224" s="164" t="s">
        <v>6209</v>
      </c>
      <c r="BF224" s="164">
        <v>2</v>
      </c>
      <c r="BG224" s="14">
        <v>4</v>
      </c>
      <c r="BH224" s="197" t="s">
        <v>5792</v>
      </c>
      <c r="BI224" s="198" t="s">
        <v>5792</v>
      </c>
      <c r="BJ224" s="198" t="s">
        <v>5792</v>
      </c>
      <c r="BK224" s="198" t="s">
        <v>5792</v>
      </c>
      <c r="BL224" s="198" t="s">
        <v>5792</v>
      </c>
      <c r="BM224" s="198" t="s">
        <v>5792</v>
      </c>
      <c r="BN224" s="198" t="s">
        <v>5792</v>
      </c>
      <c r="BO224" s="198" t="s">
        <v>5792</v>
      </c>
      <c r="BP224" s="197" t="s">
        <v>5792</v>
      </c>
      <c r="BQ224" s="198" t="s">
        <v>5792</v>
      </c>
      <c r="BR224" s="198" t="s">
        <v>5792</v>
      </c>
      <c r="BS224" s="198" t="s">
        <v>5792</v>
      </c>
      <c r="BT224" s="198" t="s">
        <v>5792</v>
      </c>
      <c r="BU224" s="198" t="s">
        <v>5792</v>
      </c>
      <c r="BV224" s="220" t="s">
        <v>5792</v>
      </c>
      <c r="BW224" s="198" t="s">
        <v>5792</v>
      </c>
      <c r="BX224" s="198" t="s">
        <v>5792</v>
      </c>
      <c r="BY224" s="198" t="s">
        <v>5792</v>
      </c>
      <c r="BZ224" s="198" t="s">
        <v>5792</v>
      </c>
      <c r="CA224" s="198" t="s">
        <v>5792</v>
      </c>
      <c r="CB224" s="220" t="s">
        <v>5792</v>
      </c>
      <c r="CC224" s="143" t="s">
        <v>6282</v>
      </c>
      <c r="CD224" s="164">
        <v>275</v>
      </c>
      <c r="CE224" s="23">
        <v>318</v>
      </c>
      <c r="CF224" s="164">
        <v>410</v>
      </c>
      <c r="CG224" s="23">
        <v>466</v>
      </c>
      <c r="CH224" s="101">
        <v>201000</v>
      </c>
      <c r="CI224" s="143" t="s">
        <v>4450</v>
      </c>
      <c r="CJ224" s="164">
        <v>275</v>
      </c>
      <c r="CK224" s="85">
        <v>318</v>
      </c>
      <c r="CL224" s="87">
        <v>430</v>
      </c>
      <c r="CM224" s="85">
        <v>466</v>
      </c>
      <c r="CN224" s="101">
        <v>201000</v>
      </c>
      <c r="CO224" s="143" t="s">
        <v>6282</v>
      </c>
      <c r="CP224" s="87">
        <v>275</v>
      </c>
      <c r="CQ224" s="34">
        <v>360</v>
      </c>
      <c r="CR224" s="87">
        <v>410</v>
      </c>
      <c r="CS224" s="34">
        <v>530</v>
      </c>
      <c r="CT224" s="70">
        <v>200000</v>
      </c>
      <c r="CU224" s="100" t="s">
        <v>5654</v>
      </c>
      <c r="CV224" s="99">
        <v>43.4</v>
      </c>
      <c r="CW224" s="99">
        <v>3.6</v>
      </c>
      <c r="CX224" s="70">
        <v>35000</v>
      </c>
      <c r="CY224" s="210" t="s">
        <v>5792</v>
      </c>
      <c r="CZ224" s="211" t="s">
        <v>5792</v>
      </c>
      <c r="DA224" s="212" t="s">
        <v>5792</v>
      </c>
      <c r="DB224" s="284" t="s">
        <v>5792</v>
      </c>
      <c r="DC224" s="164">
        <v>8.8000000000000007</v>
      </c>
      <c r="DD224" s="164">
        <v>640</v>
      </c>
      <c r="DE224" s="34">
        <v>730</v>
      </c>
      <c r="DF224" s="164">
        <v>800</v>
      </c>
      <c r="DG224" s="34">
        <v>940</v>
      </c>
      <c r="DH224" s="70">
        <v>200000</v>
      </c>
      <c r="DI224" s="27" t="s">
        <v>5832</v>
      </c>
      <c r="DJ224" s="143" t="s">
        <v>4435</v>
      </c>
      <c r="DK224" s="298" t="s">
        <v>4566</v>
      </c>
    </row>
    <row r="225" spans="1:115" ht="15.6" customHeight="1">
      <c r="A225" s="305">
        <v>220</v>
      </c>
      <c r="B225" s="328">
        <v>31</v>
      </c>
      <c r="C225" s="328">
        <v>2001</v>
      </c>
      <c r="D225" s="342" t="s">
        <v>4677</v>
      </c>
      <c r="E225" s="342" t="s">
        <v>4853</v>
      </c>
      <c r="F225" s="325">
        <v>5</v>
      </c>
      <c r="G225" s="336" t="s">
        <v>5912</v>
      </c>
      <c r="H225" s="350" t="s">
        <v>5902</v>
      </c>
      <c r="I225" s="350" t="s">
        <v>6243</v>
      </c>
      <c r="J225" s="43" t="s">
        <v>6311</v>
      </c>
      <c r="K225" s="305" t="s">
        <v>6314</v>
      </c>
      <c r="L225" s="162" t="s">
        <v>5792</v>
      </c>
      <c r="M225" s="305" t="s">
        <v>4508</v>
      </c>
      <c r="N225" s="162" t="s">
        <v>4702</v>
      </c>
      <c r="O225" s="17" t="s">
        <v>4507</v>
      </c>
      <c r="P225" s="162" t="s">
        <v>4420</v>
      </c>
      <c r="Q225" s="162" t="s">
        <v>4420</v>
      </c>
      <c r="R225" s="162" t="s">
        <v>6170</v>
      </c>
      <c r="S225" s="162">
        <v>12</v>
      </c>
      <c r="T225" s="162" t="s">
        <v>4420</v>
      </c>
      <c r="U225" s="162" t="s">
        <v>5792</v>
      </c>
      <c r="V225" s="162" t="s">
        <v>4559</v>
      </c>
      <c r="W225" s="17">
        <v>10</v>
      </c>
      <c r="X225" s="230">
        <v>0</v>
      </c>
      <c r="Y225" s="18">
        <v>0</v>
      </c>
      <c r="Z225" s="305" t="s">
        <v>6315</v>
      </c>
      <c r="AA225" s="16">
        <f>INDEX('[2]Cross-Section Database'!$C$2:$V$2928,MATCH(Z225,'[2]Cross-Section Database'!$B$2:$B$2928,0),3)</f>
        <v>206.2</v>
      </c>
      <c r="AB225" s="16">
        <f>INDEX('[2]Cross-Section Database'!$C$2:$V$2928,MATCH(Z225,'[2]Cross-Section Database'!$B$2:$B$2928,0),4)</f>
        <v>204.3</v>
      </c>
      <c r="AC225" s="16">
        <f>INDEX('[2]Cross-Section Database'!$C$2:$V$2928,MATCH(Z225,'[2]Cross-Section Database'!$B$2:$B$2928,0),6)</f>
        <v>12.5</v>
      </c>
      <c r="AD225" s="16">
        <f>INDEX('[2]Cross-Section Database'!$C$2:$V$2928,MATCH(Z225,'[2]Cross-Section Database'!$B$2:$B$2928,0),5)</f>
        <v>7.9</v>
      </c>
      <c r="AE225" s="16">
        <v>1200</v>
      </c>
      <c r="AF225" s="305" t="s">
        <v>6322</v>
      </c>
      <c r="AG225" s="16">
        <f>INDEX('[2]Cross-Section Database'!$C$2:$V$2928,MATCH(AF225,'[2]Cross-Section Database'!$B$2:$B$2928,0),3)</f>
        <v>449.8</v>
      </c>
      <c r="AH225" s="16">
        <f>INDEX('[2]Cross-Section Database'!$C$2:$V$2928,MATCH(AF225,'[2]Cross-Section Database'!$B$2:$B$2928,0),4)</f>
        <v>152.4</v>
      </c>
      <c r="AI225" s="16">
        <f>INDEX('[2]Cross-Section Database'!$C$2:$V$2928,MATCH(AF225,'[2]Cross-Section Database'!$B$2:$B$2928,0),6)</f>
        <v>10.9</v>
      </c>
      <c r="AJ225" s="16">
        <f>INDEX('[2]Cross-Section Database'!$C$2:$V$2928,MATCH(AF225,'[2]Cross-Section Database'!$B$2:$B$2928,0),5)</f>
        <v>7.6</v>
      </c>
      <c r="AK225" s="16">
        <v>1410</v>
      </c>
      <c r="AL225" s="16">
        <f>INDEX('[2]Cross-Section Database'!$C$2:$V$3928,MATCH(AF225,'[2]Cross-Section Database'!$B$2:$B$3928,0),11)</f>
        <v>213700000</v>
      </c>
      <c r="AM225" s="26">
        <f>INDEX('[2]Cross-Section Database'!$C$2:$V$3928,MATCH(AF225,'[2]Cross-Section Database'!$B$2:$B$3928,0),12)</f>
        <v>1096000</v>
      </c>
      <c r="AN225" s="16">
        <v>15.1</v>
      </c>
      <c r="AO225" s="16">
        <v>200</v>
      </c>
      <c r="AP225" s="16">
        <v>500</v>
      </c>
      <c r="AQ225" s="16">
        <f t="shared" si="121"/>
        <v>25.099999999999994</v>
      </c>
      <c r="AR225" s="16">
        <f t="shared" si="122"/>
        <v>25.099999999999994</v>
      </c>
      <c r="AS225" s="306" t="s">
        <v>5807</v>
      </c>
      <c r="AT225" s="163" t="s">
        <v>4563</v>
      </c>
      <c r="AU225" s="163">
        <f t="shared" ref="AU225:AU226" si="126" xml:space="preserve"> 200/AV225/0.25</f>
        <v>40</v>
      </c>
      <c r="AV225" s="163">
        <v>20</v>
      </c>
      <c r="AW225" s="163">
        <f t="shared" si="124"/>
        <v>245</v>
      </c>
      <c r="AX225" s="21">
        <v>75</v>
      </c>
      <c r="AY225" s="21">
        <f t="shared" ref="AY225:AY254" si="127">AX225</f>
        <v>75</v>
      </c>
      <c r="AZ225" s="21">
        <v>90</v>
      </c>
      <c r="BA225" s="21">
        <v>90</v>
      </c>
      <c r="BB225" s="21">
        <f t="shared" si="125"/>
        <v>260</v>
      </c>
      <c r="BC225" s="163" t="s">
        <v>6313</v>
      </c>
      <c r="BD225" s="163" t="s">
        <v>6209</v>
      </c>
      <c r="BE225" s="163" t="s">
        <v>4465</v>
      </c>
      <c r="BF225" s="163">
        <v>2</v>
      </c>
      <c r="BG225" s="163">
        <v>6</v>
      </c>
      <c r="BH225" s="202" t="s">
        <v>5792</v>
      </c>
      <c r="BI225" s="203" t="s">
        <v>5792</v>
      </c>
      <c r="BJ225" s="203" t="s">
        <v>5792</v>
      </c>
      <c r="BK225" s="203" t="s">
        <v>5792</v>
      </c>
      <c r="BL225" s="203" t="s">
        <v>5792</v>
      </c>
      <c r="BM225" s="203" t="s">
        <v>5792</v>
      </c>
      <c r="BN225" s="203" t="s">
        <v>5792</v>
      </c>
      <c r="BO225" s="203" t="s">
        <v>5792</v>
      </c>
      <c r="BP225" s="202" t="s">
        <v>5792</v>
      </c>
      <c r="BQ225" s="203" t="s">
        <v>5792</v>
      </c>
      <c r="BR225" s="203" t="s">
        <v>5792</v>
      </c>
      <c r="BS225" s="203" t="s">
        <v>5792</v>
      </c>
      <c r="BT225" s="203" t="s">
        <v>5792</v>
      </c>
      <c r="BU225" s="203" t="s">
        <v>5792</v>
      </c>
      <c r="BV225" s="218" t="s">
        <v>5792</v>
      </c>
      <c r="BW225" s="203" t="s">
        <v>5792</v>
      </c>
      <c r="BX225" s="203" t="s">
        <v>5792</v>
      </c>
      <c r="BY225" s="203" t="s">
        <v>5792</v>
      </c>
      <c r="BZ225" s="203" t="s">
        <v>5792</v>
      </c>
      <c r="CA225" s="203" t="s">
        <v>5792</v>
      </c>
      <c r="CB225" s="218" t="s">
        <v>5792</v>
      </c>
      <c r="CC225" s="163" t="s">
        <v>6086</v>
      </c>
      <c r="CD225" s="163">
        <v>275</v>
      </c>
      <c r="CE225" s="21">
        <v>299.5</v>
      </c>
      <c r="CF225" s="21">
        <v>410</v>
      </c>
      <c r="CG225" s="21">
        <v>493</v>
      </c>
      <c r="CH225" s="96">
        <v>208500</v>
      </c>
      <c r="CI225" s="163" t="s">
        <v>6086</v>
      </c>
      <c r="CJ225" s="163">
        <v>275</v>
      </c>
      <c r="CK225" s="21">
        <f>(339+312+341+311)/4</f>
        <v>325.75</v>
      </c>
      <c r="CL225" s="163">
        <v>430</v>
      </c>
      <c r="CM225" s="21">
        <v>489.5</v>
      </c>
      <c r="CN225" s="96">
        <f>(197000+211000+193000+210000)/4</f>
        <v>202750</v>
      </c>
      <c r="CO225" s="163" t="s">
        <v>6086</v>
      </c>
      <c r="CP225" s="60">
        <v>275</v>
      </c>
      <c r="CQ225" s="60">
        <v>305</v>
      </c>
      <c r="CR225" s="163">
        <v>410</v>
      </c>
      <c r="CS225" s="163">
        <v>483</v>
      </c>
      <c r="CT225" s="96">
        <v>215000</v>
      </c>
      <c r="CU225" s="204" t="s">
        <v>5792</v>
      </c>
      <c r="CV225" s="205" t="s">
        <v>5792</v>
      </c>
      <c r="CW225" s="205" t="s">
        <v>5792</v>
      </c>
      <c r="CX225" s="206" t="s">
        <v>5792</v>
      </c>
      <c r="CY225" s="204" t="s">
        <v>5792</v>
      </c>
      <c r="CZ225" s="205" t="s">
        <v>5792</v>
      </c>
      <c r="DA225" s="206" t="s">
        <v>5792</v>
      </c>
      <c r="DB225" s="283" t="s">
        <v>5792</v>
      </c>
      <c r="DC225" s="162">
        <v>8.8000000000000007</v>
      </c>
      <c r="DD225" s="162">
        <v>640</v>
      </c>
      <c r="DE225" s="30">
        <v>730</v>
      </c>
      <c r="DF225" s="162">
        <v>800</v>
      </c>
      <c r="DG225" s="30">
        <v>940</v>
      </c>
      <c r="DH225" s="76">
        <v>200000</v>
      </c>
      <c r="DI225" s="28" t="s">
        <v>5832</v>
      </c>
      <c r="DJ225" s="163" t="s">
        <v>4435</v>
      </c>
      <c r="DK225" s="297" t="s">
        <v>4566</v>
      </c>
    </row>
    <row r="226" spans="1:115">
      <c r="A226" s="306">
        <v>221</v>
      </c>
      <c r="B226" s="329"/>
      <c r="C226" s="329"/>
      <c r="D226" s="343"/>
      <c r="E226" s="343"/>
      <c r="F226" s="326"/>
      <c r="G226" s="337"/>
      <c r="H226" s="351"/>
      <c r="I226" s="351"/>
      <c r="J226" s="309" t="s">
        <v>4397</v>
      </c>
      <c r="K226" s="306" t="s">
        <v>6314</v>
      </c>
      <c r="L226" s="163" t="s">
        <v>5792</v>
      </c>
      <c r="M226" s="306" t="s">
        <v>4508</v>
      </c>
      <c r="N226" s="163" t="s">
        <v>4702</v>
      </c>
      <c r="O226" s="18" t="s">
        <v>4507</v>
      </c>
      <c r="P226" s="163" t="s">
        <v>4470</v>
      </c>
      <c r="Q226" s="163" t="s">
        <v>4420</v>
      </c>
      <c r="R226" s="163" t="s">
        <v>6170</v>
      </c>
      <c r="S226" s="163">
        <v>12</v>
      </c>
      <c r="T226" s="163" t="s">
        <v>4420</v>
      </c>
      <c r="U226" s="163" t="s">
        <v>5792</v>
      </c>
      <c r="V226" s="163" t="s">
        <v>4559</v>
      </c>
      <c r="W226" s="18">
        <v>10</v>
      </c>
      <c r="X226" s="230">
        <v>0</v>
      </c>
      <c r="Y226" s="18">
        <v>0</v>
      </c>
      <c r="Z226" s="306" t="s">
        <v>4342</v>
      </c>
      <c r="AA226" s="21">
        <f>INDEX('[2]Cross-Section Database'!$C$2:$V$2928,MATCH(Z226,'[2]Cross-Section Database'!$B$2:$B$2928,0),3)</f>
        <v>206.2</v>
      </c>
      <c r="AB226" s="21">
        <f>INDEX('[2]Cross-Section Database'!$C$2:$V$2928,MATCH(Z226,'[2]Cross-Section Database'!$B$2:$B$2928,0),4)</f>
        <v>204.3</v>
      </c>
      <c r="AC226" s="21">
        <f>INDEX('[2]Cross-Section Database'!$C$2:$V$2928,MATCH(Z226,'[2]Cross-Section Database'!$B$2:$B$2928,0),6)</f>
        <v>12.5</v>
      </c>
      <c r="AD226" s="21">
        <f>INDEX('[2]Cross-Section Database'!$C$2:$V$2928,MATCH(Z226,'[2]Cross-Section Database'!$B$2:$B$2928,0),5)</f>
        <v>7.9</v>
      </c>
      <c r="AE226" s="21">
        <v>1200</v>
      </c>
      <c r="AF226" s="306" t="s">
        <v>6322</v>
      </c>
      <c r="AG226" s="21">
        <f>INDEX('[2]Cross-Section Database'!$C$2:$V$2928,MATCH(AF226,'[2]Cross-Section Database'!$B$2:$B$2928,0),3)</f>
        <v>449.8</v>
      </c>
      <c r="AH226" s="21">
        <f>INDEX('[2]Cross-Section Database'!$C$2:$V$2928,MATCH(AF226,'[2]Cross-Section Database'!$B$2:$B$2928,0),4)</f>
        <v>152.4</v>
      </c>
      <c r="AI226" s="21">
        <f>INDEX('[2]Cross-Section Database'!$C$2:$V$2928,MATCH(AF226,'[2]Cross-Section Database'!$B$2:$B$2928,0),6)</f>
        <v>10.9</v>
      </c>
      <c r="AJ226" s="21">
        <f>INDEX('[2]Cross-Section Database'!$C$2:$V$2928,MATCH(AF226,'[2]Cross-Section Database'!$B$2:$B$2928,0),5)</f>
        <v>7.6</v>
      </c>
      <c r="AK226" s="21">
        <v>1410</v>
      </c>
      <c r="AL226" s="21">
        <f>INDEX('[2]Cross-Section Database'!$C$2:$V$3928,MATCH(AF226,'[2]Cross-Section Database'!$B$2:$B$3928,0),11)</f>
        <v>213700000</v>
      </c>
      <c r="AM226" s="24">
        <f>INDEX('[2]Cross-Section Database'!$C$2:$V$3928,MATCH(AF226,'[2]Cross-Section Database'!$B$2:$B$3928,0),12)</f>
        <v>1096000</v>
      </c>
      <c r="AN226" s="21">
        <v>15.1</v>
      </c>
      <c r="AO226" s="21">
        <v>200</v>
      </c>
      <c r="AP226" s="21">
        <v>500</v>
      </c>
      <c r="AQ226" s="21">
        <f t="shared" si="121"/>
        <v>25.099999999999994</v>
      </c>
      <c r="AR226" s="21">
        <f t="shared" si="122"/>
        <v>25.099999999999994</v>
      </c>
      <c r="AS226" s="306" t="s">
        <v>5807</v>
      </c>
      <c r="AT226" s="163" t="s">
        <v>4563</v>
      </c>
      <c r="AU226" s="163">
        <f t="shared" si="126"/>
        <v>40</v>
      </c>
      <c r="AV226" s="163">
        <v>20</v>
      </c>
      <c r="AW226" s="163">
        <f t="shared" si="124"/>
        <v>245</v>
      </c>
      <c r="AX226" s="21">
        <v>75</v>
      </c>
      <c r="AY226" s="21">
        <f t="shared" si="127"/>
        <v>75</v>
      </c>
      <c r="AZ226" s="21">
        <v>90</v>
      </c>
      <c r="BA226" s="21">
        <v>90</v>
      </c>
      <c r="BB226" s="21">
        <f t="shared" si="125"/>
        <v>260</v>
      </c>
      <c r="BC226" s="15" t="s">
        <v>6313</v>
      </c>
      <c r="BD226" s="163" t="s">
        <v>6209</v>
      </c>
      <c r="BE226" s="163" t="s">
        <v>4465</v>
      </c>
      <c r="BF226" s="163">
        <v>2</v>
      </c>
      <c r="BG226" s="163">
        <v>6</v>
      </c>
      <c r="BH226" s="306">
        <v>120</v>
      </c>
      <c r="BI226" s="163">
        <v>1100</v>
      </c>
      <c r="BJ226" s="163" t="s">
        <v>6193</v>
      </c>
      <c r="BK226" s="163">
        <v>0.9</v>
      </c>
      <c r="BL226" s="163">
        <v>105</v>
      </c>
      <c r="BM226" s="163">
        <v>1137</v>
      </c>
      <c r="BN226" s="163">
        <v>46</v>
      </c>
      <c r="BO226" s="163" t="s">
        <v>4591</v>
      </c>
      <c r="BP226" s="306" t="s">
        <v>5856</v>
      </c>
      <c r="BQ226" s="163">
        <v>7</v>
      </c>
      <c r="BR226" s="163">
        <v>1</v>
      </c>
      <c r="BS226" s="163">
        <v>19</v>
      </c>
      <c r="BT226" s="163">
        <v>100</v>
      </c>
      <c r="BU226" s="163">
        <v>75</v>
      </c>
      <c r="BV226" s="18">
        <v>225</v>
      </c>
      <c r="BW226" s="163" t="s">
        <v>4574</v>
      </c>
      <c r="BX226" s="163" t="s">
        <v>4580</v>
      </c>
      <c r="BY226" s="21">
        <f>142*BI165/1000</f>
        <v>170.4</v>
      </c>
      <c r="BZ226" s="21">
        <f>4*PI()*16^2/4</f>
        <v>804.24771931898704</v>
      </c>
      <c r="CA226" s="163">
        <v>25</v>
      </c>
      <c r="CB226" s="121">
        <v>0.01</v>
      </c>
      <c r="CC226" s="163" t="s">
        <v>6086</v>
      </c>
      <c r="CD226" s="163">
        <v>275</v>
      </c>
      <c r="CE226" s="21">
        <v>280.5</v>
      </c>
      <c r="CF226" s="21">
        <v>410</v>
      </c>
      <c r="CG226" s="21">
        <v>467.5</v>
      </c>
      <c r="CH226" s="141">
        <f>(194000+215000)/2</f>
        <v>204500</v>
      </c>
      <c r="CI226" s="163" t="s">
        <v>6086</v>
      </c>
      <c r="CJ226" s="163">
        <v>275</v>
      </c>
      <c r="CK226" s="21">
        <f>(329+312+334+310)/4</f>
        <v>321.25</v>
      </c>
      <c r="CL226" s="163">
        <v>410</v>
      </c>
      <c r="CM226" s="21">
        <v>473.5</v>
      </c>
      <c r="CN226" s="141">
        <f>(198+194+200+196)*1000/4</f>
        <v>197000</v>
      </c>
      <c r="CO226" s="163" t="s">
        <v>6086</v>
      </c>
      <c r="CP226" s="60">
        <v>275</v>
      </c>
      <c r="CQ226" s="60">
        <v>305</v>
      </c>
      <c r="CR226" s="163">
        <v>410</v>
      </c>
      <c r="CS226" s="163">
        <v>483</v>
      </c>
      <c r="CT226" s="141">
        <v>215000</v>
      </c>
      <c r="CU226" s="306" t="s">
        <v>5796</v>
      </c>
      <c r="CV226" s="97">
        <v>45.05</v>
      </c>
      <c r="CW226" s="97">
        <v>3.85</v>
      </c>
      <c r="CX226" s="67">
        <v>33000</v>
      </c>
      <c r="CY226" s="306">
        <v>504</v>
      </c>
      <c r="CZ226" s="97">
        <v>611</v>
      </c>
      <c r="DA226" s="141">
        <v>200000</v>
      </c>
      <c r="DB226" s="294">
        <v>280</v>
      </c>
      <c r="DC226" s="163">
        <v>8.8000000000000007</v>
      </c>
      <c r="DD226" s="163">
        <v>640</v>
      </c>
      <c r="DE226" s="32">
        <v>730</v>
      </c>
      <c r="DF226" s="163">
        <v>800</v>
      </c>
      <c r="DG226" s="32">
        <v>940</v>
      </c>
      <c r="DH226" s="61">
        <v>200000</v>
      </c>
      <c r="DI226" s="41" t="s">
        <v>5843</v>
      </c>
      <c r="DJ226" s="163" t="s">
        <v>4435</v>
      </c>
      <c r="DK226" s="297" t="s">
        <v>4566</v>
      </c>
    </row>
    <row r="227" spans="1:115">
      <c r="A227" s="306">
        <v>222</v>
      </c>
      <c r="B227" s="329"/>
      <c r="C227" s="329"/>
      <c r="D227" s="343"/>
      <c r="E227" s="343"/>
      <c r="F227" s="326"/>
      <c r="G227" s="337"/>
      <c r="H227" s="351"/>
      <c r="I227" s="351"/>
      <c r="J227" s="309" t="s">
        <v>4398</v>
      </c>
      <c r="K227" s="306" t="s">
        <v>6314</v>
      </c>
      <c r="L227" s="163" t="s">
        <v>5792</v>
      </c>
      <c r="M227" s="306" t="s">
        <v>4508</v>
      </c>
      <c r="N227" s="163" t="s">
        <v>4702</v>
      </c>
      <c r="O227" s="18" t="s">
        <v>4507</v>
      </c>
      <c r="P227" s="163" t="s">
        <v>4470</v>
      </c>
      <c r="Q227" s="163" t="s">
        <v>4420</v>
      </c>
      <c r="R227" s="163" t="s">
        <v>6170</v>
      </c>
      <c r="S227" s="163">
        <v>12</v>
      </c>
      <c r="T227" s="163" t="s">
        <v>4420</v>
      </c>
      <c r="U227" s="163" t="s">
        <v>5792</v>
      </c>
      <c r="V227" s="163" t="s">
        <v>4559</v>
      </c>
      <c r="W227" s="18">
        <v>10</v>
      </c>
      <c r="X227" s="230">
        <v>0</v>
      </c>
      <c r="Y227" s="18">
        <v>0</v>
      </c>
      <c r="Z227" s="306" t="s">
        <v>6315</v>
      </c>
      <c r="AA227" s="21">
        <f>INDEX('[2]Cross-Section Database'!$C$2:$V$2928,MATCH(Z227,'[2]Cross-Section Database'!$B$2:$B$2928,0),3)</f>
        <v>206.2</v>
      </c>
      <c r="AB227" s="21">
        <f>INDEX('[2]Cross-Section Database'!$C$2:$V$2928,MATCH(Z227,'[2]Cross-Section Database'!$B$2:$B$2928,0),4)</f>
        <v>204.3</v>
      </c>
      <c r="AC227" s="21">
        <f>INDEX('[2]Cross-Section Database'!$C$2:$V$2928,MATCH(Z227,'[2]Cross-Section Database'!$B$2:$B$2928,0),6)</f>
        <v>12.5</v>
      </c>
      <c r="AD227" s="21">
        <f>INDEX('[2]Cross-Section Database'!$C$2:$V$2928,MATCH(Z227,'[2]Cross-Section Database'!$B$2:$B$2928,0),5)</f>
        <v>7.9</v>
      </c>
      <c r="AE227" s="21">
        <v>1200</v>
      </c>
      <c r="AF227" s="306" t="s">
        <v>6322</v>
      </c>
      <c r="AG227" s="21">
        <f>INDEX('[2]Cross-Section Database'!$C$2:$V$2928,MATCH(AF227,'[2]Cross-Section Database'!$B$2:$B$2928,0),3)</f>
        <v>449.8</v>
      </c>
      <c r="AH227" s="21">
        <f>INDEX('[2]Cross-Section Database'!$C$2:$V$2928,MATCH(AF227,'[2]Cross-Section Database'!$B$2:$B$2928,0),4)</f>
        <v>152.4</v>
      </c>
      <c r="AI227" s="21">
        <f>INDEX('[2]Cross-Section Database'!$C$2:$V$2928,MATCH(AF227,'[2]Cross-Section Database'!$B$2:$B$2928,0),6)</f>
        <v>10.9</v>
      </c>
      <c r="AJ227" s="21">
        <f>INDEX('[2]Cross-Section Database'!$C$2:$V$2928,MATCH(AF227,'[2]Cross-Section Database'!$B$2:$B$2928,0),5)</f>
        <v>7.6</v>
      </c>
      <c r="AK227" s="21">
        <v>1410</v>
      </c>
      <c r="AL227" s="21">
        <f>INDEX('[2]Cross-Section Database'!$C$2:$V$3928,MATCH(AF227,'[2]Cross-Section Database'!$B$2:$B$3928,0),11)</f>
        <v>213700000</v>
      </c>
      <c r="AM227" s="24">
        <f>INDEX('[2]Cross-Section Database'!$C$2:$V$3928,MATCH(AF227,'[2]Cross-Section Database'!$B$2:$B$3928,0),12)</f>
        <v>1096000</v>
      </c>
      <c r="AN227" s="21">
        <v>15.1</v>
      </c>
      <c r="AO227" s="21">
        <v>200</v>
      </c>
      <c r="AP227" s="21">
        <v>500</v>
      </c>
      <c r="AQ227" s="21">
        <f t="shared" si="121"/>
        <v>25.099999999999994</v>
      </c>
      <c r="AR227" s="21">
        <f t="shared" si="122"/>
        <v>25.099999999999994</v>
      </c>
      <c r="AS227" s="306" t="s">
        <v>5807</v>
      </c>
      <c r="AT227" s="163" t="s">
        <v>4563</v>
      </c>
      <c r="AU227" s="163">
        <f xml:space="preserve"> 200/AV227/0.25</f>
        <v>40</v>
      </c>
      <c r="AV227" s="163">
        <v>20</v>
      </c>
      <c r="AW227" s="163">
        <f t="shared" si="124"/>
        <v>245</v>
      </c>
      <c r="AX227" s="163">
        <v>75</v>
      </c>
      <c r="AY227" s="163">
        <f t="shared" si="127"/>
        <v>75</v>
      </c>
      <c r="AZ227" s="21">
        <v>90</v>
      </c>
      <c r="BA227" s="163">
        <v>90</v>
      </c>
      <c r="BB227" s="163">
        <f t="shared" si="125"/>
        <v>260</v>
      </c>
      <c r="BC227" s="163" t="s">
        <v>6313</v>
      </c>
      <c r="BD227" s="163" t="s">
        <v>6209</v>
      </c>
      <c r="BE227" s="163" t="s">
        <v>4465</v>
      </c>
      <c r="BF227" s="163">
        <v>2</v>
      </c>
      <c r="BG227" s="163">
        <v>6</v>
      </c>
      <c r="BH227" s="306">
        <v>120</v>
      </c>
      <c r="BI227" s="163">
        <v>1100</v>
      </c>
      <c r="BJ227" s="163" t="s">
        <v>6193</v>
      </c>
      <c r="BK227" s="163">
        <v>0.9</v>
      </c>
      <c r="BL227" s="163">
        <v>105</v>
      </c>
      <c r="BM227" s="163">
        <v>1137</v>
      </c>
      <c r="BN227" s="163">
        <v>46</v>
      </c>
      <c r="BO227" s="163" t="s">
        <v>4591</v>
      </c>
      <c r="BP227" s="306" t="s">
        <v>5856</v>
      </c>
      <c r="BQ227" s="163">
        <v>7</v>
      </c>
      <c r="BR227" s="163">
        <v>1</v>
      </c>
      <c r="BS227" s="163">
        <v>19</v>
      </c>
      <c r="BT227" s="163">
        <v>100</v>
      </c>
      <c r="BU227" s="163">
        <v>75</v>
      </c>
      <c r="BV227" s="18">
        <v>225</v>
      </c>
      <c r="BW227" s="163" t="s">
        <v>4574</v>
      </c>
      <c r="BX227" s="163" t="s">
        <v>4581</v>
      </c>
      <c r="BY227" s="21">
        <f>142*BI165/1000</f>
        <v>170.4</v>
      </c>
      <c r="BZ227" s="21">
        <f t="shared" ref="BZ227" si="128">4*PI()*16^2/4</f>
        <v>804.24771931898704</v>
      </c>
      <c r="CA227" s="163">
        <v>25</v>
      </c>
      <c r="CB227" s="121">
        <v>0.01</v>
      </c>
      <c r="CC227" s="163" t="s">
        <v>6086</v>
      </c>
      <c r="CD227" s="163">
        <v>275</v>
      </c>
      <c r="CE227" s="21">
        <v>282.5</v>
      </c>
      <c r="CF227" s="21">
        <v>410</v>
      </c>
      <c r="CG227" s="21">
        <v>467</v>
      </c>
      <c r="CH227" s="141">
        <f>(201000+199000)/2</f>
        <v>200000</v>
      </c>
      <c r="CI227" s="163" t="s">
        <v>6086</v>
      </c>
      <c r="CJ227" s="163">
        <v>275</v>
      </c>
      <c r="CK227" s="21">
        <f>(331+293+329+306)/4</f>
        <v>314.75</v>
      </c>
      <c r="CL227" s="163">
        <v>410</v>
      </c>
      <c r="CM227" s="21">
        <v>471.25</v>
      </c>
      <c r="CN227" s="141">
        <f>(199+198+197+196)*1000/4</f>
        <v>197500</v>
      </c>
      <c r="CO227" s="163" t="s">
        <v>6086</v>
      </c>
      <c r="CP227" s="60">
        <v>275</v>
      </c>
      <c r="CQ227" s="60">
        <v>305</v>
      </c>
      <c r="CR227" s="163">
        <v>410</v>
      </c>
      <c r="CS227" s="163">
        <v>483</v>
      </c>
      <c r="CT227" s="141">
        <v>215000</v>
      </c>
      <c r="CU227" s="306" t="s">
        <v>5796</v>
      </c>
      <c r="CV227" s="97">
        <v>45.75</v>
      </c>
      <c r="CW227" s="97">
        <v>3.4</v>
      </c>
      <c r="CX227" s="67">
        <v>33000</v>
      </c>
      <c r="CY227" s="306">
        <v>504</v>
      </c>
      <c r="CZ227" s="97">
        <v>611</v>
      </c>
      <c r="DA227" s="141">
        <v>200000</v>
      </c>
      <c r="DB227" s="294">
        <v>280</v>
      </c>
      <c r="DC227" s="163">
        <v>8.8000000000000007</v>
      </c>
      <c r="DD227" s="163">
        <v>640</v>
      </c>
      <c r="DE227" s="32">
        <v>730</v>
      </c>
      <c r="DF227" s="163">
        <v>800</v>
      </c>
      <c r="DG227" s="32">
        <v>940</v>
      </c>
      <c r="DH227" s="61">
        <v>200000</v>
      </c>
      <c r="DI227" s="41" t="s">
        <v>5843</v>
      </c>
      <c r="DJ227" s="163" t="s">
        <v>4435</v>
      </c>
      <c r="DK227" s="297" t="s">
        <v>4566</v>
      </c>
    </row>
    <row r="228" spans="1:115">
      <c r="A228" s="306">
        <v>223</v>
      </c>
      <c r="B228" s="329"/>
      <c r="C228" s="329"/>
      <c r="D228" s="343"/>
      <c r="E228" s="343"/>
      <c r="F228" s="326"/>
      <c r="G228" s="337"/>
      <c r="H228" s="351"/>
      <c r="I228" s="351"/>
      <c r="J228" s="309" t="s">
        <v>4399</v>
      </c>
      <c r="K228" s="306" t="s">
        <v>6314</v>
      </c>
      <c r="L228" s="163" t="s">
        <v>5792</v>
      </c>
      <c r="M228" s="306" t="s">
        <v>4508</v>
      </c>
      <c r="N228" s="163" t="s">
        <v>4702</v>
      </c>
      <c r="O228" s="18" t="s">
        <v>4507</v>
      </c>
      <c r="P228" s="163" t="s">
        <v>4470</v>
      </c>
      <c r="Q228" s="163" t="s">
        <v>4420</v>
      </c>
      <c r="R228" s="163" t="s">
        <v>6170</v>
      </c>
      <c r="S228" s="163">
        <v>12</v>
      </c>
      <c r="T228" s="163" t="s">
        <v>4420</v>
      </c>
      <c r="U228" s="163" t="s">
        <v>5792</v>
      </c>
      <c r="V228" s="163" t="s">
        <v>4559</v>
      </c>
      <c r="W228" s="18">
        <v>10</v>
      </c>
      <c r="X228" s="230">
        <v>0</v>
      </c>
      <c r="Y228" s="18">
        <v>0</v>
      </c>
      <c r="Z228" s="306" t="s">
        <v>6315</v>
      </c>
      <c r="AA228" s="21">
        <f>INDEX('[2]Cross-Section Database'!$C$2:$V$2928,MATCH(Z228,'[2]Cross-Section Database'!$B$2:$B$2928,0),3)</f>
        <v>206.2</v>
      </c>
      <c r="AB228" s="21">
        <f>INDEX('[2]Cross-Section Database'!$C$2:$V$2928,MATCH(Z228,'[2]Cross-Section Database'!$B$2:$B$2928,0),4)</f>
        <v>204.3</v>
      </c>
      <c r="AC228" s="21">
        <f>INDEX('[2]Cross-Section Database'!$C$2:$V$2928,MATCH(Z228,'[2]Cross-Section Database'!$B$2:$B$2928,0),6)</f>
        <v>12.5</v>
      </c>
      <c r="AD228" s="21">
        <f>INDEX('[2]Cross-Section Database'!$C$2:$V$2928,MATCH(Z228,'[2]Cross-Section Database'!$B$2:$B$2928,0),5)</f>
        <v>7.9</v>
      </c>
      <c r="AE228" s="21">
        <v>1200</v>
      </c>
      <c r="AF228" s="306" t="s">
        <v>4234</v>
      </c>
      <c r="AG228" s="21">
        <f>INDEX('[2]Cross-Section Database'!$C$2:$V$2928,MATCH(AF228,'[2]Cross-Section Database'!$B$2:$B$2928,0),3)</f>
        <v>449.8</v>
      </c>
      <c r="AH228" s="21">
        <f>INDEX('[2]Cross-Section Database'!$C$2:$V$2928,MATCH(AF228,'[2]Cross-Section Database'!$B$2:$B$2928,0),4)</f>
        <v>152.4</v>
      </c>
      <c r="AI228" s="21">
        <f>INDEX('[2]Cross-Section Database'!$C$2:$V$2928,MATCH(AF228,'[2]Cross-Section Database'!$B$2:$B$2928,0),6)</f>
        <v>10.9</v>
      </c>
      <c r="AJ228" s="21">
        <f>INDEX('[2]Cross-Section Database'!$C$2:$V$2928,MATCH(AF228,'[2]Cross-Section Database'!$B$2:$B$2928,0),5)</f>
        <v>7.6</v>
      </c>
      <c r="AK228" s="21">
        <v>1410</v>
      </c>
      <c r="AL228" s="21">
        <f>INDEX('[2]Cross-Section Database'!$C$2:$V$3928,MATCH(AF228,'[2]Cross-Section Database'!$B$2:$B$3928,0),11)</f>
        <v>213700000</v>
      </c>
      <c r="AM228" s="24">
        <f>INDEX('[2]Cross-Section Database'!$C$2:$V$3928,MATCH(AF228,'[2]Cross-Section Database'!$B$2:$B$3928,0),12)</f>
        <v>1096000</v>
      </c>
      <c r="AN228" s="21">
        <v>10.050000000000001</v>
      </c>
      <c r="AO228" s="21">
        <v>200</v>
      </c>
      <c r="AP228" s="21">
        <v>500</v>
      </c>
      <c r="AQ228" s="21">
        <f t="shared" si="121"/>
        <v>25.099999999999994</v>
      </c>
      <c r="AR228" s="21">
        <f t="shared" si="122"/>
        <v>25.099999999999994</v>
      </c>
      <c r="AS228" s="306" t="s">
        <v>5807</v>
      </c>
      <c r="AT228" s="163" t="s">
        <v>4563</v>
      </c>
      <c r="AU228" s="21">
        <f t="shared" ref="AU228:AU229" si="129" xml:space="preserve"> 200/AV228/0.25</f>
        <v>33.333333333333336</v>
      </c>
      <c r="AV228" s="163">
        <v>24</v>
      </c>
      <c r="AW228" s="163">
        <f t="shared" si="124"/>
        <v>353</v>
      </c>
      <c r="AX228" s="163">
        <v>75</v>
      </c>
      <c r="AY228" s="163">
        <f t="shared" si="127"/>
        <v>75</v>
      </c>
      <c r="AZ228" s="21">
        <v>90</v>
      </c>
      <c r="BA228" s="163">
        <v>90</v>
      </c>
      <c r="BB228" s="163">
        <f t="shared" si="125"/>
        <v>260</v>
      </c>
      <c r="BC228" s="163" t="s">
        <v>6313</v>
      </c>
      <c r="BD228" s="163" t="s">
        <v>6209</v>
      </c>
      <c r="BE228" s="163" t="s">
        <v>4465</v>
      </c>
      <c r="BF228" s="163">
        <v>2</v>
      </c>
      <c r="BG228" s="163">
        <v>6</v>
      </c>
      <c r="BH228" s="306">
        <v>120</v>
      </c>
      <c r="BI228" s="163">
        <v>1100</v>
      </c>
      <c r="BJ228" s="163" t="s">
        <v>6193</v>
      </c>
      <c r="BK228" s="163">
        <v>0.9</v>
      </c>
      <c r="BL228" s="163">
        <v>105</v>
      </c>
      <c r="BM228" s="163">
        <v>1137</v>
      </c>
      <c r="BN228" s="163">
        <v>46</v>
      </c>
      <c r="BO228" s="163" t="s">
        <v>4591</v>
      </c>
      <c r="BP228" s="306" t="s">
        <v>5856</v>
      </c>
      <c r="BQ228" s="163">
        <v>7</v>
      </c>
      <c r="BR228" s="163">
        <v>1</v>
      </c>
      <c r="BS228" s="163">
        <v>19</v>
      </c>
      <c r="BT228" s="163">
        <v>100</v>
      </c>
      <c r="BU228" s="163">
        <v>75</v>
      </c>
      <c r="BV228" s="18">
        <v>225</v>
      </c>
      <c r="BW228" s="163" t="s">
        <v>4574</v>
      </c>
      <c r="BX228" s="163" t="s">
        <v>4581</v>
      </c>
      <c r="BY228" s="21">
        <f>142*BI165/1000</f>
        <v>170.4</v>
      </c>
      <c r="BZ228" s="21">
        <f>4*PI()*16^2/4</f>
        <v>804.24771931898704</v>
      </c>
      <c r="CA228" s="163">
        <v>25</v>
      </c>
      <c r="CB228" s="121">
        <v>0.01</v>
      </c>
      <c r="CC228" s="163" t="s">
        <v>6086</v>
      </c>
      <c r="CD228" s="163">
        <v>275</v>
      </c>
      <c r="CE228" s="21">
        <v>291</v>
      </c>
      <c r="CF228" s="21">
        <v>410</v>
      </c>
      <c r="CG228" s="21">
        <v>488</v>
      </c>
      <c r="CH228" s="141">
        <f>(192000+197000)/2</f>
        <v>194500</v>
      </c>
      <c r="CI228" s="163" t="s">
        <v>6086</v>
      </c>
      <c r="CJ228" s="163">
        <v>275</v>
      </c>
      <c r="CK228" s="21">
        <f>(317+324+317+302)/4</f>
        <v>315</v>
      </c>
      <c r="CL228" s="163">
        <v>410</v>
      </c>
      <c r="CM228" s="21">
        <v>452.75</v>
      </c>
      <c r="CN228" s="141">
        <f>(204+207+198+205)*1000/4</f>
        <v>203500</v>
      </c>
      <c r="CO228" s="163" t="s">
        <v>6086</v>
      </c>
      <c r="CP228" s="60">
        <v>275</v>
      </c>
      <c r="CQ228" s="60">
        <v>350</v>
      </c>
      <c r="CR228" s="163">
        <v>410</v>
      </c>
      <c r="CS228" s="163">
        <v>509</v>
      </c>
      <c r="CT228" s="141">
        <v>201000</v>
      </c>
      <c r="CU228" s="306" t="s">
        <v>5796</v>
      </c>
      <c r="CV228" s="97">
        <v>38.9</v>
      </c>
      <c r="CW228" s="97">
        <v>3.6</v>
      </c>
      <c r="CX228" s="67">
        <v>33000</v>
      </c>
      <c r="CY228" s="306">
        <v>504</v>
      </c>
      <c r="CZ228" s="97">
        <v>611</v>
      </c>
      <c r="DA228" s="141">
        <v>200000</v>
      </c>
      <c r="DB228" s="294">
        <v>280</v>
      </c>
      <c r="DC228" s="163">
        <v>8.8000000000000007</v>
      </c>
      <c r="DD228" s="163">
        <v>640</v>
      </c>
      <c r="DE228" s="32">
        <v>730</v>
      </c>
      <c r="DF228" s="163">
        <v>800</v>
      </c>
      <c r="DG228" s="32">
        <v>940</v>
      </c>
      <c r="DH228" s="61">
        <v>200000</v>
      </c>
      <c r="DI228" s="41" t="s">
        <v>5843</v>
      </c>
      <c r="DJ228" s="163" t="s">
        <v>4435</v>
      </c>
      <c r="DK228" s="297" t="s">
        <v>4566</v>
      </c>
    </row>
    <row r="229" spans="1:115" ht="15.6" customHeight="1" thickBot="1">
      <c r="A229" s="306">
        <v>224</v>
      </c>
      <c r="B229" s="330"/>
      <c r="C229" s="330"/>
      <c r="D229" s="344"/>
      <c r="E229" s="344"/>
      <c r="F229" s="327"/>
      <c r="G229" s="338"/>
      <c r="H229" s="352"/>
      <c r="I229" s="352"/>
      <c r="J229" s="310" t="s">
        <v>4400</v>
      </c>
      <c r="K229" s="306" t="s">
        <v>6314</v>
      </c>
      <c r="L229" s="163" t="s">
        <v>5792</v>
      </c>
      <c r="M229" s="306" t="s">
        <v>4508</v>
      </c>
      <c r="N229" s="163" t="s">
        <v>4702</v>
      </c>
      <c r="O229" s="18" t="s">
        <v>4507</v>
      </c>
      <c r="P229" s="163" t="s">
        <v>4470</v>
      </c>
      <c r="Q229" s="163" t="s">
        <v>4420</v>
      </c>
      <c r="R229" s="163" t="s">
        <v>6170</v>
      </c>
      <c r="S229" s="163">
        <v>12</v>
      </c>
      <c r="T229" s="163" t="s">
        <v>4420</v>
      </c>
      <c r="U229" s="163" t="s">
        <v>5792</v>
      </c>
      <c r="V229" s="163" t="s">
        <v>4559</v>
      </c>
      <c r="W229" s="18">
        <v>10</v>
      </c>
      <c r="X229" s="235">
        <v>0</v>
      </c>
      <c r="Y229" s="14">
        <v>0</v>
      </c>
      <c r="Z229" s="143" t="s">
        <v>4347</v>
      </c>
      <c r="AA229" s="23">
        <f>INDEX('[2]Cross-Section Database'!$C$2:$V$2928,MATCH(Z229,'[2]Cross-Section Database'!$B$2:$B$2928,0),3)</f>
        <v>254.1</v>
      </c>
      <c r="AB229" s="23">
        <f>INDEX('[2]Cross-Section Database'!$C$2:$V$2928,MATCH(Z229,'[2]Cross-Section Database'!$B$2:$B$2928,0),4)</f>
        <v>254.6</v>
      </c>
      <c r="AC229" s="23">
        <f>INDEX('[2]Cross-Section Database'!$C$2:$V$2928,MATCH(Z229,'[2]Cross-Section Database'!$B$2:$B$2928,0),6)</f>
        <v>14.2</v>
      </c>
      <c r="AD229" s="23">
        <f>INDEX('[2]Cross-Section Database'!$C$2:$V$2928,MATCH(Z229,'[2]Cross-Section Database'!$B$2:$B$2928,0),5)</f>
        <v>8.6</v>
      </c>
      <c r="AE229" s="21">
        <v>1200</v>
      </c>
      <c r="AF229" s="143" t="s">
        <v>4248</v>
      </c>
      <c r="AG229" s="23">
        <f>INDEX('[2]Cross-Section Database'!$C$2:$V$2928,MATCH(AF229,'[2]Cross-Section Database'!$B$2:$B$2928,0),3)</f>
        <v>528.29999999999995</v>
      </c>
      <c r="AH229" s="23">
        <f>INDEX('[2]Cross-Section Database'!$C$2:$V$2928,MATCH(AF229,'[2]Cross-Section Database'!$B$2:$B$2928,0),4)</f>
        <v>208.8</v>
      </c>
      <c r="AI229" s="23">
        <f>INDEX('[2]Cross-Section Database'!$C$2:$V$2928,MATCH(AF229,'[2]Cross-Section Database'!$B$2:$B$2928,0),6)</f>
        <v>13.2</v>
      </c>
      <c r="AJ229" s="23">
        <f>INDEX('[2]Cross-Section Database'!$C$2:$V$2928,MATCH(AF229,'[2]Cross-Section Database'!$B$2:$B$2928,0),5)</f>
        <v>9.6</v>
      </c>
      <c r="AK229" s="23">
        <v>1410</v>
      </c>
      <c r="AL229" s="23">
        <f>INDEX('[2]Cross-Section Database'!$C$2:$V$3928,MATCH(AF229,'[2]Cross-Section Database'!$B$2:$B$3928,0),11)</f>
        <v>475400000</v>
      </c>
      <c r="AM229" s="25">
        <f>INDEX('[2]Cross-Section Database'!$C$2:$V$3928,MATCH(AF229,'[2]Cross-Section Database'!$B$2:$B$3928,0),12)</f>
        <v>2059000</v>
      </c>
      <c r="AN229" s="23">
        <v>15.1</v>
      </c>
      <c r="AO229" s="23">
        <v>250</v>
      </c>
      <c r="AP229" s="23">
        <v>578</v>
      </c>
      <c r="AQ229" s="23">
        <f t="shared" si="121"/>
        <v>24.850000000000023</v>
      </c>
      <c r="AR229" s="23">
        <f t="shared" si="122"/>
        <v>24.850000000000023</v>
      </c>
      <c r="AS229" s="143" t="s">
        <v>5807</v>
      </c>
      <c r="AT229" s="163" t="s">
        <v>4563</v>
      </c>
      <c r="AU229" s="21">
        <f t="shared" si="129"/>
        <v>33.333333333333336</v>
      </c>
      <c r="AV229" s="164">
        <v>24</v>
      </c>
      <c r="AW229" s="164">
        <f t="shared" si="124"/>
        <v>353</v>
      </c>
      <c r="AX229" s="164">
        <v>80</v>
      </c>
      <c r="AY229" s="164">
        <f t="shared" si="127"/>
        <v>80</v>
      </c>
      <c r="AZ229" s="23">
        <v>90</v>
      </c>
      <c r="BA229" s="164">
        <v>90</v>
      </c>
      <c r="BB229" s="164">
        <f t="shared" si="125"/>
        <v>328</v>
      </c>
      <c r="BC229" s="164" t="s">
        <v>6313</v>
      </c>
      <c r="BD229" s="164" t="s">
        <v>6209</v>
      </c>
      <c r="BE229" s="164" t="s">
        <v>4465</v>
      </c>
      <c r="BF229" s="164">
        <v>2</v>
      </c>
      <c r="BG229" s="164">
        <v>6</v>
      </c>
      <c r="BH229" s="143">
        <v>120</v>
      </c>
      <c r="BI229" s="164">
        <v>1100</v>
      </c>
      <c r="BJ229" s="164" t="s">
        <v>6193</v>
      </c>
      <c r="BK229" s="164">
        <v>0.9</v>
      </c>
      <c r="BL229" s="164">
        <v>105</v>
      </c>
      <c r="BM229" s="164">
        <v>1137</v>
      </c>
      <c r="BN229" s="164">
        <v>46</v>
      </c>
      <c r="BO229" s="164" t="s">
        <v>4591</v>
      </c>
      <c r="BP229" s="143" t="s">
        <v>5856</v>
      </c>
      <c r="BQ229" s="164">
        <v>7</v>
      </c>
      <c r="BR229" s="164">
        <v>1</v>
      </c>
      <c r="BS229" s="164">
        <v>19</v>
      </c>
      <c r="BT229" s="164">
        <v>100</v>
      </c>
      <c r="BU229" s="164">
        <v>75</v>
      </c>
      <c r="BV229" s="14">
        <v>225</v>
      </c>
      <c r="BW229" s="164" t="s">
        <v>4574</v>
      </c>
      <c r="BX229" s="163" t="s">
        <v>4581</v>
      </c>
      <c r="BY229" s="21">
        <f>142*BI165/1000</f>
        <v>170.4</v>
      </c>
      <c r="BZ229" s="21">
        <f>4*PI()*16^2/4</f>
        <v>804.24771931898704</v>
      </c>
      <c r="CA229" s="163">
        <v>25</v>
      </c>
      <c r="CB229" s="121">
        <v>0.01</v>
      </c>
      <c r="CC229" s="164" t="s">
        <v>6086</v>
      </c>
      <c r="CD229" s="164">
        <v>275</v>
      </c>
      <c r="CE229" s="23">
        <v>308</v>
      </c>
      <c r="CF229" s="23">
        <v>410</v>
      </c>
      <c r="CG229" s="23">
        <v>454</v>
      </c>
      <c r="CH229" s="141">
        <f>(196000+222000)/2</f>
        <v>209000</v>
      </c>
      <c r="CI229" s="164" t="s">
        <v>6086</v>
      </c>
      <c r="CJ229" s="164">
        <v>275</v>
      </c>
      <c r="CK229" s="23">
        <f>(385+351+389+345)/4</f>
        <v>367.5</v>
      </c>
      <c r="CL229" s="164">
        <v>410</v>
      </c>
      <c r="CM229" s="23">
        <v>509.25</v>
      </c>
      <c r="CN229" s="141">
        <f>(202+207+200+206)*1000/4</f>
        <v>203750</v>
      </c>
      <c r="CO229" s="164" t="s">
        <v>6086</v>
      </c>
      <c r="CP229" s="87">
        <v>275</v>
      </c>
      <c r="CQ229" s="87">
        <v>305</v>
      </c>
      <c r="CR229" s="164">
        <v>410</v>
      </c>
      <c r="CS229" s="164">
        <v>483</v>
      </c>
      <c r="CT229" s="141">
        <v>215000</v>
      </c>
      <c r="CU229" s="143" t="s">
        <v>5796</v>
      </c>
      <c r="CV229" s="99">
        <v>47.95</v>
      </c>
      <c r="CW229" s="99">
        <v>3.5</v>
      </c>
      <c r="CX229" s="67">
        <v>33000</v>
      </c>
      <c r="CY229" s="143">
        <v>504</v>
      </c>
      <c r="CZ229" s="99">
        <v>611</v>
      </c>
      <c r="DA229" s="141">
        <v>200000</v>
      </c>
      <c r="DB229" s="295">
        <v>280</v>
      </c>
      <c r="DC229" s="164">
        <v>8.8000000000000007</v>
      </c>
      <c r="DD229" s="164">
        <v>640</v>
      </c>
      <c r="DE229" s="34">
        <v>730</v>
      </c>
      <c r="DF229" s="164">
        <v>800</v>
      </c>
      <c r="DG229" s="34">
        <v>940</v>
      </c>
      <c r="DH229" s="77">
        <v>200000</v>
      </c>
      <c r="DI229" s="42" t="s">
        <v>5832</v>
      </c>
      <c r="DJ229" s="164" t="s">
        <v>4435</v>
      </c>
      <c r="DK229" s="298" t="s">
        <v>4566</v>
      </c>
    </row>
    <row r="230" spans="1:115" ht="15.6" customHeight="1">
      <c r="A230" s="305">
        <v>225</v>
      </c>
      <c r="B230" s="325">
        <v>32</v>
      </c>
      <c r="C230" s="325">
        <v>2001</v>
      </c>
      <c r="D230" s="325" t="s">
        <v>5976</v>
      </c>
      <c r="E230" s="328" t="s">
        <v>5984</v>
      </c>
      <c r="F230" s="325">
        <v>3</v>
      </c>
      <c r="G230" s="328" t="s">
        <v>5978</v>
      </c>
      <c r="H230" s="325" t="s">
        <v>5983</v>
      </c>
      <c r="I230" s="325" t="s">
        <v>4742</v>
      </c>
      <c r="J230" s="43" t="s">
        <v>5977</v>
      </c>
      <c r="K230" s="305" t="s">
        <v>4383</v>
      </c>
      <c r="L230" s="162" t="s">
        <v>5792</v>
      </c>
      <c r="M230" s="305" t="s">
        <v>4552</v>
      </c>
      <c r="N230" s="162" t="s">
        <v>4703</v>
      </c>
      <c r="O230" s="17" t="s">
        <v>4507</v>
      </c>
      <c r="P230" s="305" t="s">
        <v>4420</v>
      </c>
      <c r="Q230" s="162" t="s">
        <v>4420</v>
      </c>
      <c r="R230" s="162" t="s">
        <v>4420</v>
      </c>
      <c r="S230" s="162" t="s">
        <v>5792</v>
      </c>
      <c r="T230" s="162" t="s">
        <v>4420</v>
      </c>
      <c r="U230" s="162" t="s">
        <v>5792</v>
      </c>
      <c r="V230" s="162" t="s">
        <v>4559</v>
      </c>
      <c r="W230" s="17">
        <v>5</v>
      </c>
      <c r="X230" s="239">
        <v>236</v>
      </c>
      <c r="Y230" s="17" t="s">
        <v>5792</v>
      </c>
      <c r="Z230" s="200" t="s">
        <v>5792</v>
      </c>
      <c r="AA230" s="201" t="s">
        <v>5792</v>
      </c>
      <c r="AB230" s="201" t="s">
        <v>5792</v>
      </c>
      <c r="AC230" s="201" t="s">
        <v>5792</v>
      </c>
      <c r="AD230" s="201" t="s">
        <v>5792</v>
      </c>
      <c r="AE230" s="201" t="s">
        <v>5792</v>
      </c>
      <c r="AF230" s="305" t="s">
        <v>3899</v>
      </c>
      <c r="AG230" s="16">
        <f>INDEX('[2]Cross-Section Database'!$C$2:$V$23928,MATCH(AF230,'[2]Cross-Section Database'!$B$2:$B$3928,0),3)</f>
        <v>200</v>
      </c>
      <c r="AH230" s="16">
        <f>INDEX('[2]Cross-Section Database'!$C$2:$V$3928,MATCH(AF230,'[2]Cross-Section Database'!$B$2:$B$3928,0),4)</f>
        <v>100</v>
      </c>
      <c r="AI230" s="16">
        <f>INDEX('[2]Cross-Section Database'!$C$2:$V$3928,MATCH(AF230,'[2]Cross-Section Database'!$B$2:$B$3928,0),6)</f>
        <v>8.5</v>
      </c>
      <c r="AJ230" s="16">
        <f>INDEX('[2]Cross-Section Database'!$C$2:$V$3928,MATCH(AF230,'[2]Cross-Section Database'!$B$2:$B$3928,0),5)</f>
        <v>5.6</v>
      </c>
      <c r="AK230" s="252">
        <v>420</v>
      </c>
      <c r="AL230" s="16">
        <f>INDEX('[2]Cross-Section Database'!$C$2:$V$3928,MATCH(AF230,'[2]Cross-Section Database'!$B$2:$B$3928,0),11)</f>
        <v>19430000</v>
      </c>
      <c r="AM230" s="26">
        <f>INDEX('[2]Cross-Section Database'!$C$2:$V$3928,MATCH(AF230,'[2]Cross-Section Database'!$B$2:$B$3928,0),12)</f>
        <v>221000</v>
      </c>
      <c r="AN230" s="45">
        <v>10.050000000000001</v>
      </c>
      <c r="AO230" s="45">
        <v>140</v>
      </c>
      <c r="AP230" s="45">
        <v>250</v>
      </c>
      <c r="AQ230" s="45">
        <v>25</v>
      </c>
      <c r="AR230" s="45">
        <v>25</v>
      </c>
      <c r="AS230" s="299" t="s">
        <v>5807</v>
      </c>
      <c r="AT230" s="162" t="s">
        <v>5981</v>
      </c>
      <c r="AU230" s="16">
        <f>40/AV230/0.25</f>
        <v>8</v>
      </c>
      <c r="AV230" s="302">
        <v>20</v>
      </c>
      <c r="AW230" s="302">
        <f>IF(AV230=24,353,IF(AV230=22,303,IF(AV230=20,245,IF(AV230=16,157,0))))</f>
        <v>245</v>
      </c>
      <c r="AX230" s="45">
        <v>70</v>
      </c>
      <c r="AY230" s="45">
        <v>80</v>
      </c>
      <c r="AZ230" s="45">
        <v>0</v>
      </c>
      <c r="BA230" s="45">
        <v>70</v>
      </c>
      <c r="BB230" s="45">
        <v>100</v>
      </c>
      <c r="BC230" s="247" t="s">
        <v>4470</v>
      </c>
      <c r="BD230" s="162" t="s">
        <v>6209</v>
      </c>
      <c r="BE230" s="162" t="s">
        <v>6209</v>
      </c>
      <c r="BF230" s="162">
        <v>2</v>
      </c>
      <c r="BG230" s="48">
        <v>4</v>
      </c>
      <c r="BH230" s="200" t="s">
        <v>5792</v>
      </c>
      <c r="BI230" s="201" t="s">
        <v>5792</v>
      </c>
      <c r="BJ230" s="201" t="s">
        <v>5792</v>
      </c>
      <c r="BK230" s="201" t="s">
        <v>5792</v>
      </c>
      <c r="BL230" s="201" t="s">
        <v>5792</v>
      </c>
      <c r="BM230" s="201" t="s">
        <v>5792</v>
      </c>
      <c r="BN230" s="201" t="s">
        <v>5792</v>
      </c>
      <c r="BO230" s="201" t="s">
        <v>5792</v>
      </c>
      <c r="BP230" s="200" t="s">
        <v>5792</v>
      </c>
      <c r="BQ230" s="201" t="s">
        <v>5792</v>
      </c>
      <c r="BR230" s="201" t="s">
        <v>5792</v>
      </c>
      <c r="BS230" s="201" t="s">
        <v>5792</v>
      </c>
      <c r="BT230" s="201" t="s">
        <v>5792</v>
      </c>
      <c r="BU230" s="201" t="s">
        <v>5792</v>
      </c>
      <c r="BV230" s="219" t="s">
        <v>5792</v>
      </c>
      <c r="BW230" s="200" t="s">
        <v>5792</v>
      </c>
      <c r="BX230" s="201" t="s">
        <v>5792</v>
      </c>
      <c r="BY230" s="201" t="s">
        <v>5792</v>
      </c>
      <c r="BZ230" s="201" t="s">
        <v>5792</v>
      </c>
      <c r="CA230" s="201" t="s">
        <v>5792</v>
      </c>
      <c r="CB230" s="219" t="s">
        <v>5792</v>
      </c>
      <c r="CC230" s="201" t="s">
        <v>5792</v>
      </c>
      <c r="CD230" s="201" t="s">
        <v>5792</v>
      </c>
      <c r="CE230" s="201" t="s">
        <v>5792</v>
      </c>
      <c r="CF230" s="201" t="s">
        <v>5792</v>
      </c>
      <c r="CG230" s="201" t="s">
        <v>5792</v>
      </c>
      <c r="CH230" s="206" t="s">
        <v>5792</v>
      </c>
      <c r="CI230" s="106" t="s">
        <v>4449</v>
      </c>
      <c r="CJ230" s="302">
        <v>235</v>
      </c>
      <c r="CK230" s="45">
        <v>333</v>
      </c>
      <c r="CL230" s="45">
        <v>360</v>
      </c>
      <c r="CM230" s="45">
        <v>420</v>
      </c>
      <c r="CN230" s="66">
        <v>200000</v>
      </c>
      <c r="CO230" s="106" t="s">
        <v>4449</v>
      </c>
      <c r="CP230" s="302">
        <v>235</v>
      </c>
      <c r="CQ230" s="45">
        <v>352</v>
      </c>
      <c r="CR230" s="45">
        <v>360</v>
      </c>
      <c r="CS230" s="45">
        <v>435</v>
      </c>
      <c r="CT230" s="66">
        <v>200000</v>
      </c>
      <c r="CU230" s="204" t="s">
        <v>5792</v>
      </c>
      <c r="CV230" s="205" t="s">
        <v>5792</v>
      </c>
      <c r="CW230" s="205" t="s">
        <v>5792</v>
      </c>
      <c r="CX230" s="206" t="s">
        <v>5792</v>
      </c>
      <c r="CY230" s="204" t="s">
        <v>5792</v>
      </c>
      <c r="CZ230" s="205" t="s">
        <v>5792</v>
      </c>
      <c r="DA230" s="206" t="s">
        <v>5792</v>
      </c>
      <c r="DB230" s="282" t="s">
        <v>5792</v>
      </c>
      <c r="DC230" s="162">
        <v>10.9</v>
      </c>
      <c r="DD230" s="162">
        <v>900</v>
      </c>
      <c r="DE230" s="30">
        <v>990</v>
      </c>
      <c r="DF230" s="162">
        <v>1000</v>
      </c>
      <c r="DG230" s="30">
        <v>1100</v>
      </c>
      <c r="DH230" s="76">
        <v>200000</v>
      </c>
      <c r="DI230" s="248" t="s">
        <v>5982</v>
      </c>
      <c r="DJ230" s="299" t="s">
        <v>4435</v>
      </c>
      <c r="DK230" s="296" t="s">
        <v>6017</v>
      </c>
    </row>
    <row r="231" spans="1:115">
      <c r="A231" s="306">
        <v>226</v>
      </c>
      <c r="B231" s="326"/>
      <c r="C231" s="326"/>
      <c r="D231" s="326"/>
      <c r="E231" s="329"/>
      <c r="F231" s="326"/>
      <c r="G231" s="329"/>
      <c r="H231" s="326"/>
      <c r="I231" s="326"/>
      <c r="J231" s="41" t="s">
        <v>5979</v>
      </c>
      <c r="K231" s="306" t="s">
        <v>4383</v>
      </c>
      <c r="L231" s="163" t="s">
        <v>5792</v>
      </c>
      <c r="M231" s="306" t="s">
        <v>4552</v>
      </c>
      <c r="N231" s="163" t="s">
        <v>4703</v>
      </c>
      <c r="O231" s="18" t="s">
        <v>4507</v>
      </c>
      <c r="P231" s="306" t="s">
        <v>4420</v>
      </c>
      <c r="Q231" s="163" t="s">
        <v>4420</v>
      </c>
      <c r="R231" s="163" t="s">
        <v>4420</v>
      </c>
      <c r="S231" s="163" t="s">
        <v>5792</v>
      </c>
      <c r="T231" s="163" t="s">
        <v>4420</v>
      </c>
      <c r="U231" s="163" t="s">
        <v>5792</v>
      </c>
      <c r="V231" s="163" t="s">
        <v>4559</v>
      </c>
      <c r="W231" s="18">
        <v>5</v>
      </c>
      <c r="X231" s="230">
        <v>166</v>
      </c>
      <c r="Y231" s="18" t="s">
        <v>5792</v>
      </c>
      <c r="Z231" s="202" t="s">
        <v>5792</v>
      </c>
      <c r="AA231" s="203" t="s">
        <v>5792</v>
      </c>
      <c r="AB231" s="203" t="s">
        <v>5792</v>
      </c>
      <c r="AC231" s="203" t="s">
        <v>5792</v>
      </c>
      <c r="AD231" s="203" t="s">
        <v>5792</v>
      </c>
      <c r="AE231" s="203" t="s">
        <v>5792</v>
      </c>
      <c r="AF231" s="306" t="s">
        <v>3899</v>
      </c>
      <c r="AG231" s="21">
        <f>INDEX('[2]Cross-Section Database'!$C$2:$V$23928,MATCH(AF231,'[2]Cross-Section Database'!$B$2:$B$3928,0),3)</f>
        <v>200</v>
      </c>
      <c r="AH231" s="21">
        <f>INDEX('[2]Cross-Section Database'!$C$2:$V$3928,MATCH(AF231,'[2]Cross-Section Database'!$B$2:$B$3928,0),4)</f>
        <v>100</v>
      </c>
      <c r="AI231" s="21">
        <f>INDEX('[2]Cross-Section Database'!$C$2:$V$3928,MATCH(AF231,'[2]Cross-Section Database'!$B$2:$B$3928,0),6)</f>
        <v>8.5</v>
      </c>
      <c r="AJ231" s="21">
        <f>INDEX('[2]Cross-Section Database'!$C$2:$V$3928,MATCH(AF231,'[2]Cross-Section Database'!$B$2:$B$3928,0),5)</f>
        <v>5.6</v>
      </c>
      <c r="AK231" s="253">
        <v>595</v>
      </c>
      <c r="AL231" s="21">
        <f>INDEX('[2]Cross-Section Database'!$C$2:$V$3928,MATCH(AF231,'[2]Cross-Section Database'!$B$2:$B$3928,0),11)</f>
        <v>19430000</v>
      </c>
      <c r="AM231" s="24">
        <f>INDEX('[2]Cross-Section Database'!$C$2:$V$3928,MATCH(AF231,'[2]Cross-Section Database'!$B$2:$B$3928,0),12)</f>
        <v>221000</v>
      </c>
      <c r="AN231" s="46">
        <v>10.050000000000001</v>
      </c>
      <c r="AO231" s="46">
        <v>140</v>
      </c>
      <c r="AP231" s="46">
        <v>250</v>
      </c>
      <c r="AQ231" s="46">
        <v>25</v>
      </c>
      <c r="AR231" s="46">
        <v>25</v>
      </c>
      <c r="AS231" s="300" t="s">
        <v>5807</v>
      </c>
      <c r="AT231" s="163" t="s">
        <v>5981</v>
      </c>
      <c r="AU231" s="303">
        <f t="shared" ref="AU231:AU232" si="130">40/AV231/0.25</f>
        <v>8</v>
      </c>
      <c r="AV231" s="303">
        <v>20</v>
      </c>
      <c r="AW231" s="303">
        <f>IF(AV231=24,353,IF(AV231=22,303,IF(AV231=20,245,IF(AV231=16,157,0))))</f>
        <v>245</v>
      </c>
      <c r="AX231" s="46">
        <v>70</v>
      </c>
      <c r="AY231" s="46">
        <v>80</v>
      </c>
      <c r="AZ231" s="46">
        <v>0</v>
      </c>
      <c r="BA231" s="46">
        <v>70</v>
      </c>
      <c r="BB231" s="46">
        <v>100</v>
      </c>
      <c r="BC231" s="240" t="s">
        <v>4470</v>
      </c>
      <c r="BD231" s="163" t="s">
        <v>6209</v>
      </c>
      <c r="BE231" s="163" t="s">
        <v>6209</v>
      </c>
      <c r="BF231" s="163">
        <v>2</v>
      </c>
      <c r="BG231" s="49">
        <v>4</v>
      </c>
      <c r="BH231" s="202" t="s">
        <v>5792</v>
      </c>
      <c r="BI231" s="203" t="s">
        <v>5792</v>
      </c>
      <c r="BJ231" s="203" t="s">
        <v>5792</v>
      </c>
      <c r="BK231" s="203" t="s">
        <v>5792</v>
      </c>
      <c r="BL231" s="203" t="s">
        <v>5792</v>
      </c>
      <c r="BM231" s="203" t="s">
        <v>5792</v>
      </c>
      <c r="BN231" s="203" t="s">
        <v>5792</v>
      </c>
      <c r="BO231" s="203" t="s">
        <v>5792</v>
      </c>
      <c r="BP231" s="202" t="s">
        <v>5792</v>
      </c>
      <c r="BQ231" s="203" t="s">
        <v>5792</v>
      </c>
      <c r="BR231" s="203" t="s">
        <v>5792</v>
      </c>
      <c r="BS231" s="203" t="s">
        <v>5792</v>
      </c>
      <c r="BT231" s="203" t="s">
        <v>5792</v>
      </c>
      <c r="BU231" s="203" t="s">
        <v>5792</v>
      </c>
      <c r="BV231" s="218" t="s">
        <v>5792</v>
      </c>
      <c r="BW231" s="202" t="s">
        <v>5792</v>
      </c>
      <c r="BX231" s="203" t="s">
        <v>5792</v>
      </c>
      <c r="BY231" s="203" t="s">
        <v>5792</v>
      </c>
      <c r="BZ231" s="203" t="s">
        <v>5792</v>
      </c>
      <c r="CA231" s="203" t="s">
        <v>5792</v>
      </c>
      <c r="CB231" s="218" t="s">
        <v>5792</v>
      </c>
      <c r="CC231" s="203" t="s">
        <v>5792</v>
      </c>
      <c r="CD231" s="203" t="s">
        <v>5792</v>
      </c>
      <c r="CE231" s="203" t="s">
        <v>5792</v>
      </c>
      <c r="CF231" s="203" t="s">
        <v>5792</v>
      </c>
      <c r="CG231" s="203" t="s">
        <v>5792</v>
      </c>
      <c r="CH231" s="209" t="s">
        <v>5792</v>
      </c>
      <c r="CI231" s="107" t="s">
        <v>4449</v>
      </c>
      <c r="CJ231" s="303">
        <v>235</v>
      </c>
      <c r="CK231" s="46">
        <v>333</v>
      </c>
      <c r="CL231" s="46">
        <v>360</v>
      </c>
      <c r="CM231" s="46">
        <v>420</v>
      </c>
      <c r="CN231" s="67">
        <v>200000</v>
      </c>
      <c r="CO231" s="107" t="s">
        <v>4449</v>
      </c>
      <c r="CP231" s="303">
        <v>235</v>
      </c>
      <c r="CQ231" s="46">
        <v>313</v>
      </c>
      <c r="CR231" s="46">
        <v>360</v>
      </c>
      <c r="CS231" s="46">
        <v>417</v>
      </c>
      <c r="CT231" s="67">
        <v>200000</v>
      </c>
      <c r="CU231" s="207" t="s">
        <v>5792</v>
      </c>
      <c r="CV231" s="208" t="s">
        <v>5792</v>
      </c>
      <c r="CW231" s="208" t="s">
        <v>5792</v>
      </c>
      <c r="CX231" s="209" t="s">
        <v>5792</v>
      </c>
      <c r="CY231" s="207" t="s">
        <v>5792</v>
      </c>
      <c r="CZ231" s="208" t="s">
        <v>5792</v>
      </c>
      <c r="DA231" s="209" t="s">
        <v>5792</v>
      </c>
      <c r="DB231" s="283" t="s">
        <v>5792</v>
      </c>
      <c r="DC231" s="303">
        <v>10.9</v>
      </c>
      <c r="DD231" s="303">
        <v>900</v>
      </c>
      <c r="DE231" s="32">
        <v>990</v>
      </c>
      <c r="DF231" s="10">
        <v>1000</v>
      </c>
      <c r="DG231" s="32">
        <v>1100</v>
      </c>
      <c r="DH231" s="61">
        <v>200000</v>
      </c>
      <c r="DI231" s="241" t="s">
        <v>5982</v>
      </c>
      <c r="DJ231" s="300" t="s">
        <v>4435</v>
      </c>
      <c r="DK231" s="297" t="s">
        <v>6017</v>
      </c>
    </row>
    <row r="232" spans="1:115" ht="15.6" customHeight="1" thickBot="1">
      <c r="A232" s="143">
        <v>227</v>
      </c>
      <c r="B232" s="327"/>
      <c r="C232" s="327"/>
      <c r="D232" s="327"/>
      <c r="E232" s="330"/>
      <c r="F232" s="327"/>
      <c r="G232" s="330"/>
      <c r="H232" s="327"/>
      <c r="I232" s="327"/>
      <c r="J232" s="42" t="s">
        <v>5980</v>
      </c>
      <c r="K232" s="143" t="s">
        <v>4383</v>
      </c>
      <c r="L232" s="164" t="s">
        <v>5792</v>
      </c>
      <c r="M232" s="143" t="s">
        <v>4552</v>
      </c>
      <c r="N232" s="304" t="s">
        <v>4703</v>
      </c>
      <c r="O232" s="14" t="s">
        <v>4507</v>
      </c>
      <c r="P232" s="143" t="s">
        <v>4420</v>
      </c>
      <c r="Q232" s="164" t="s">
        <v>4420</v>
      </c>
      <c r="R232" s="164" t="s">
        <v>4420</v>
      </c>
      <c r="S232" s="164" t="s">
        <v>5792</v>
      </c>
      <c r="T232" s="164" t="s">
        <v>4420</v>
      </c>
      <c r="U232" s="164" t="s">
        <v>5792</v>
      </c>
      <c r="V232" s="164" t="s">
        <v>4559</v>
      </c>
      <c r="W232" s="14">
        <v>5</v>
      </c>
      <c r="X232" s="235">
        <v>97</v>
      </c>
      <c r="Y232" s="14" t="s">
        <v>5792</v>
      </c>
      <c r="Z232" s="197" t="s">
        <v>5792</v>
      </c>
      <c r="AA232" s="198" t="s">
        <v>5792</v>
      </c>
      <c r="AB232" s="198" t="s">
        <v>5792</v>
      </c>
      <c r="AC232" s="198" t="s">
        <v>5792</v>
      </c>
      <c r="AD232" s="198" t="s">
        <v>5792</v>
      </c>
      <c r="AE232" s="198" t="s">
        <v>5792</v>
      </c>
      <c r="AF232" s="143" t="s">
        <v>3899</v>
      </c>
      <c r="AG232" s="23">
        <f>INDEX('[2]Cross-Section Database'!$C$2:$V$23928,MATCH(AF232,'[2]Cross-Section Database'!$B$2:$B$3928,0),3)</f>
        <v>200</v>
      </c>
      <c r="AH232" s="23">
        <f>INDEX('[2]Cross-Section Database'!$C$2:$V$3928,MATCH(AF232,'[2]Cross-Section Database'!$B$2:$B$3928,0),4)</f>
        <v>100</v>
      </c>
      <c r="AI232" s="23">
        <f>INDEX('[2]Cross-Section Database'!$C$2:$V$3928,MATCH(AF232,'[2]Cross-Section Database'!$B$2:$B$3928,0),6)</f>
        <v>8.5</v>
      </c>
      <c r="AJ232" s="23">
        <f>INDEX('[2]Cross-Section Database'!$C$2:$V$3928,MATCH(AF232,'[2]Cross-Section Database'!$B$2:$B$3928,0),5)</f>
        <v>5.6</v>
      </c>
      <c r="AK232" s="254">
        <v>885</v>
      </c>
      <c r="AL232" s="23">
        <f>INDEX('[2]Cross-Section Database'!$C$2:$V$3928,MATCH(AF232,'[2]Cross-Section Database'!$B$2:$B$3928,0),11)</f>
        <v>19430000</v>
      </c>
      <c r="AM232" s="25">
        <f>INDEX('[2]Cross-Section Database'!$C$2:$V$3928,MATCH(AF232,'[2]Cross-Section Database'!$B$2:$B$3928,0),12)</f>
        <v>221000</v>
      </c>
      <c r="AN232" s="56">
        <v>10.050000000000001</v>
      </c>
      <c r="AO232" s="56">
        <v>140</v>
      </c>
      <c r="AP232" s="56">
        <v>250</v>
      </c>
      <c r="AQ232" s="56">
        <v>25</v>
      </c>
      <c r="AR232" s="56">
        <v>25</v>
      </c>
      <c r="AS232" s="301" t="s">
        <v>5807</v>
      </c>
      <c r="AT232" s="164" t="s">
        <v>5981</v>
      </c>
      <c r="AU232" s="164">
        <f t="shared" si="130"/>
        <v>8</v>
      </c>
      <c r="AV232" s="304">
        <v>20</v>
      </c>
      <c r="AW232" s="304">
        <f t="shared" ref="AW232" si="131">IF(AV232=24,353,IF(AV232=22,303,IF(AV232=20,245,IF(AV232=16,157,0))))</f>
        <v>245</v>
      </c>
      <c r="AX232" s="56">
        <v>70</v>
      </c>
      <c r="AY232" s="56">
        <v>80</v>
      </c>
      <c r="AZ232" s="56">
        <v>0</v>
      </c>
      <c r="BA232" s="56">
        <v>70</v>
      </c>
      <c r="BB232" s="56">
        <v>100</v>
      </c>
      <c r="BC232" s="242" t="s">
        <v>4470</v>
      </c>
      <c r="BD232" s="164" t="s">
        <v>6209</v>
      </c>
      <c r="BE232" s="164" t="s">
        <v>6209</v>
      </c>
      <c r="BF232" s="164">
        <v>2</v>
      </c>
      <c r="BG232" s="50">
        <v>4</v>
      </c>
      <c r="BH232" s="197" t="s">
        <v>5792</v>
      </c>
      <c r="BI232" s="198" t="s">
        <v>5792</v>
      </c>
      <c r="BJ232" s="198" t="s">
        <v>5792</v>
      </c>
      <c r="BK232" s="198" t="s">
        <v>5792</v>
      </c>
      <c r="BL232" s="198" t="s">
        <v>5792</v>
      </c>
      <c r="BM232" s="198" t="s">
        <v>5792</v>
      </c>
      <c r="BN232" s="198" t="s">
        <v>5792</v>
      </c>
      <c r="BO232" s="198" t="s">
        <v>5792</v>
      </c>
      <c r="BP232" s="197" t="s">
        <v>5792</v>
      </c>
      <c r="BQ232" s="198" t="s">
        <v>5792</v>
      </c>
      <c r="BR232" s="198" t="s">
        <v>5792</v>
      </c>
      <c r="BS232" s="198" t="s">
        <v>5792</v>
      </c>
      <c r="BT232" s="198" t="s">
        <v>5792</v>
      </c>
      <c r="BU232" s="198" t="s">
        <v>5792</v>
      </c>
      <c r="BV232" s="220" t="s">
        <v>5792</v>
      </c>
      <c r="BW232" s="197" t="s">
        <v>5792</v>
      </c>
      <c r="BX232" s="198" t="s">
        <v>5792</v>
      </c>
      <c r="BY232" s="198" t="s">
        <v>5792</v>
      </c>
      <c r="BZ232" s="198" t="s">
        <v>5792</v>
      </c>
      <c r="CA232" s="198" t="s">
        <v>5792</v>
      </c>
      <c r="CB232" s="220" t="s">
        <v>5792</v>
      </c>
      <c r="CC232" s="198" t="s">
        <v>5792</v>
      </c>
      <c r="CD232" s="198" t="s">
        <v>5792</v>
      </c>
      <c r="CE232" s="198" t="s">
        <v>5792</v>
      </c>
      <c r="CF232" s="198" t="s">
        <v>5792</v>
      </c>
      <c r="CG232" s="198" t="s">
        <v>5792</v>
      </c>
      <c r="CH232" s="212" t="s">
        <v>5792</v>
      </c>
      <c r="CI232" s="132" t="s">
        <v>4449</v>
      </c>
      <c r="CJ232" s="304">
        <v>235</v>
      </c>
      <c r="CK232" s="56">
        <v>333</v>
      </c>
      <c r="CL232" s="56">
        <v>360</v>
      </c>
      <c r="CM232" s="56">
        <v>420</v>
      </c>
      <c r="CN232" s="70">
        <v>200000</v>
      </c>
      <c r="CO232" s="132" t="s">
        <v>4449</v>
      </c>
      <c r="CP232" s="304">
        <v>235</v>
      </c>
      <c r="CQ232" s="56">
        <v>336</v>
      </c>
      <c r="CR232" s="56">
        <v>360</v>
      </c>
      <c r="CS232" s="56">
        <v>424</v>
      </c>
      <c r="CT232" s="70">
        <v>200000</v>
      </c>
      <c r="CU232" s="210" t="s">
        <v>5792</v>
      </c>
      <c r="CV232" s="211" t="s">
        <v>5792</v>
      </c>
      <c r="CW232" s="211" t="s">
        <v>5792</v>
      </c>
      <c r="CX232" s="212" t="s">
        <v>5792</v>
      </c>
      <c r="CY232" s="210" t="s">
        <v>5792</v>
      </c>
      <c r="CZ232" s="211" t="s">
        <v>5792</v>
      </c>
      <c r="DA232" s="212" t="s">
        <v>5792</v>
      </c>
      <c r="DB232" s="284" t="s">
        <v>5792</v>
      </c>
      <c r="DC232" s="164">
        <v>10.9</v>
      </c>
      <c r="DD232" s="164">
        <v>900</v>
      </c>
      <c r="DE232" s="34">
        <v>990</v>
      </c>
      <c r="DF232" s="13">
        <v>1000</v>
      </c>
      <c r="DG232" s="34">
        <v>1100</v>
      </c>
      <c r="DH232" s="77">
        <v>200000</v>
      </c>
      <c r="DI232" s="249" t="s">
        <v>5982</v>
      </c>
      <c r="DJ232" s="301" t="s">
        <v>4435</v>
      </c>
      <c r="DK232" s="298" t="s">
        <v>6017</v>
      </c>
    </row>
    <row r="233" spans="1:115" ht="15.6" customHeight="1">
      <c r="A233" s="305">
        <v>228</v>
      </c>
      <c r="B233" s="325">
        <v>33</v>
      </c>
      <c r="C233" s="325">
        <v>2002</v>
      </c>
      <c r="D233" s="342" t="s">
        <v>4678</v>
      </c>
      <c r="E233" s="342" t="s">
        <v>4872</v>
      </c>
      <c r="F233" s="325">
        <v>16</v>
      </c>
      <c r="G233" s="336" t="s">
        <v>5916</v>
      </c>
      <c r="H233" s="336" t="s">
        <v>5915</v>
      </c>
      <c r="I233" s="336" t="s">
        <v>6244</v>
      </c>
      <c r="J233" s="319" t="s">
        <v>5938</v>
      </c>
      <c r="K233" s="305" t="s">
        <v>6318</v>
      </c>
      <c r="L233" s="162" t="s">
        <v>6061</v>
      </c>
      <c r="M233" s="305" t="s">
        <v>4509</v>
      </c>
      <c r="N233" s="162" t="s">
        <v>4703</v>
      </c>
      <c r="O233" s="17" t="s">
        <v>4507</v>
      </c>
      <c r="P233" s="162" t="s">
        <v>6312</v>
      </c>
      <c r="Q233" s="162" t="s">
        <v>4420</v>
      </c>
      <c r="R233" s="162" t="s">
        <v>4420</v>
      </c>
      <c r="S233" s="162" t="s">
        <v>5792</v>
      </c>
      <c r="T233" s="162" t="s">
        <v>4420</v>
      </c>
      <c r="U233" s="162" t="s">
        <v>5792</v>
      </c>
      <c r="V233" s="162" t="s">
        <v>4559</v>
      </c>
      <c r="W233" s="17">
        <v>8</v>
      </c>
      <c r="X233" s="230">
        <v>0</v>
      </c>
      <c r="Y233" s="18">
        <v>0</v>
      </c>
      <c r="Z233" s="305" t="s">
        <v>6325</v>
      </c>
      <c r="AA233" s="16">
        <f>INDEX('[2]Cross-Section Database'!$C$2:$V$2928,MATCH(Z233,'[2]Cross-Section Database'!$B$2:$B$2928,0),3)</f>
        <v>222.2</v>
      </c>
      <c r="AB233" s="16">
        <f>INDEX('[2]Cross-Section Database'!$C$2:$V$2928,MATCH(Z233,'[2]Cross-Section Database'!$B$2:$B$2928,0),4)</f>
        <v>209.1</v>
      </c>
      <c r="AC233" s="16">
        <f>INDEX('[2]Cross-Section Database'!$C$2:$V$2928,MATCH(Z233,'[2]Cross-Section Database'!$B$2:$B$2928,0),6)</f>
        <v>20.5</v>
      </c>
      <c r="AD233" s="16">
        <f>INDEX('[2]Cross-Section Database'!$C$2:$V$2928,MATCH(Z233,'[2]Cross-Section Database'!$B$2:$B$2928,0),5)</f>
        <v>12.7</v>
      </c>
      <c r="AE233" s="16">
        <v>1000</v>
      </c>
      <c r="AF233" s="305" t="s">
        <v>6326</v>
      </c>
      <c r="AG233" s="16">
        <f>INDEX('[2]Cross-Section Database'!$C$2:$V$2928,MATCH(AF233,'[2]Cross-Section Database'!$B$2:$B$2928,0),3)</f>
        <v>254</v>
      </c>
      <c r="AH233" s="16">
        <f>INDEX('[2]Cross-Section Database'!$C$2:$V$2928,MATCH(AF233,'[2]Cross-Section Database'!$B$2:$B$2928,0),4)</f>
        <v>101.6</v>
      </c>
      <c r="AI233" s="16">
        <f>INDEX('[2]Cross-Section Database'!$C$2:$V$2928,MATCH(AF233,'[2]Cross-Section Database'!$B$2:$B$2928,0),6)</f>
        <v>6.8</v>
      </c>
      <c r="AJ233" s="16">
        <f>INDEX('[2]Cross-Section Database'!$C$2:$V$2928,MATCH(AF233,'[2]Cross-Section Database'!$B$2:$B$2928,0),5)</f>
        <v>5.7</v>
      </c>
      <c r="AK233" s="16">
        <v>1000</v>
      </c>
      <c r="AL233" s="16">
        <f>INDEX('[2]Cross-Section Database'!$C$2:$V$3928,MATCH(AF233,'[2]Cross-Section Database'!$B$2:$B$3928,0),11)</f>
        <v>28410000</v>
      </c>
      <c r="AM233" s="26">
        <f>INDEX('[2]Cross-Section Database'!$C$2:$V$3928,MATCH(AF233,'[2]Cross-Section Database'!$B$2:$B$3928,0),12)</f>
        <v>259000</v>
      </c>
      <c r="AN233" s="16">
        <v>8</v>
      </c>
      <c r="AO233" s="16">
        <v>200</v>
      </c>
      <c r="AP233" s="16">
        <v>275</v>
      </c>
      <c r="AQ233" s="16">
        <f t="shared" si="121"/>
        <v>10.5</v>
      </c>
      <c r="AR233" s="16">
        <f t="shared" si="122"/>
        <v>10.5</v>
      </c>
      <c r="AS233" s="305" t="s">
        <v>5807</v>
      </c>
      <c r="AT233" s="163" t="s">
        <v>4716</v>
      </c>
      <c r="AU233" s="1">
        <f xml:space="preserve"> 50/AV233/0.25</f>
        <v>10</v>
      </c>
      <c r="AV233" s="162">
        <v>20</v>
      </c>
      <c r="AW233" s="162">
        <f t="shared" si="124"/>
        <v>245</v>
      </c>
      <c r="AX233" s="16">
        <f t="shared" ref="AX233:AX248" si="132">60-AR233-AI233/2</f>
        <v>46.1</v>
      </c>
      <c r="AY233" s="16">
        <f t="shared" si="127"/>
        <v>46.1</v>
      </c>
      <c r="AZ233" s="16">
        <v>0</v>
      </c>
      <c r="BA233" s="16">
        <v>90</v>
      </c>
      <c r="BB233" s="16">
        <f t="shared" si="125"/>
        <v>182.8</v>
      </c>
      <c r="BC233" s="22" t="s">
        <v>6313</v>
      </c>
      <c r="BD233" s="162" t="s">
        <v>6209</v>
      </c>
      <c r="BE233" s="162" t="s">
        <v>6209</v>
      </c>
      <c r="BF233" s="162">
        <v>2</v>
      </c>
      <c r="BG233" s="162">
        <v>4</v>
      </c>
      <c r="BH233" s="200" t="s">
        <v>5792</v>
      </c>
      <c r="BI233" s="201" t="s">
        <v>5792</v>
      </c>
      <c r="BJ233" s="201" t="s">
        <v>5792</v>
      </c>
      <c r="BK233" s="201" t="s">
        <v>5792</v>
      </c>
      <c r="BL233" s="201" t="s">
        <v>5792</v>
      </c>
      <c r="BM233" s="201" t="s">
        <v>5792</v>
      </c>
      <c r="BN233" s="201" t="s">
        <v>5792</v>
      </c>
      <c r="BO233" s="201" t="s">
        <v>5792</v>
      </c>
      <c r="BP233" s="200" t="s">
        <v>5792</v>
      </c>
      <c r="BQ233" s="201" t="s">
        <v>5792</v>
      </c>
      <c r="BR233" s="201" t="s">
        <v>5792</v>
      </c>
      <c r="BS233" s="201" t="s">
        <v>5792</v>
      </c>
      <c r="BT233" s="201" t="s">
        <v>5792</v>
      </c>
      <c r="BU233" s="201" t="s">
        <v>5792</v>
      </c>
      <c r="BV233" s="219" t="s">
        <v>5792</v>
      </c>
      <c r="BW233" s="201" t="s">
        <v>5792</v>
      </c>
      <c r="BX233" s="201" t="s">
        <v>5792</v>
      </c>
      <c r="BY233" s="201" t="s">
        <v>5792</v>
      </c>
      <c r="BZ233" s="201" t="s">
        <v>5792</v>
      </c>
      <c r="CA233" s="201" t="s">
        <v>5792</v>
      </c>
      <c r="CB233" s="219" t="s">
        <v>5792</v>
      </c>
      <c r="CC233" s="65" t="s">
        <v>5665</v>
      </c>
      <c r="CD233" s="65">
        <v>275</v>
      </c>
      <c r="CE233" s="31">
        <f>CE234</f>
        <v>283.14666666666665</v>
      </c>
      <c r="CF233" s="65">
        <v>430</v>
      </c>
      <c r="CG233" s="31">
        <f>CG235</f>
        <v>468.12666666666672</v>
      </c>
      <c r="CH233" s="66">
        <v>200000</v>
      </c>
      <c r="CI233" s="65" t="s">
        <v>5665</v>
      </c>
      <c r="CJ233" s="65">
        <v>275</v>
      </c>
      <c r="CK233" s="31">
        <f>CK235</f>
        <v>270.48333333333335</v>
      </c>
      <c r="CL233" s="65">
        <v>430</v>
      </c>
      <c r="CM233" s="31">
        <f>CM235</f>
        <v>410.1466666666667</v>
      </c>
      <c r="CN233" s="66">
        <v>200000</v>
      </c>
      <c r="CO233" s="65" t="s">
        <v>5665</v>
      </c>
      <c r="CP233" s="65">
        <v>275</v>
      </c>
      <c r="CQ233" s="31">
        <f>CQ235</f>
        <v>321.61500000000001</v>
      </c>
      <c r="CR233" s="65">
        <v>430</v>
      </c>
      <c r="CS233" s="31">
        <f>CS235</f>
        <v>439.435</v>
      </c>
      <c r="CT233" s="76">
        <v>200000</v>
      </c>
      <c r="CU233" s="204" t="s">
        <v>5792</v>
      </c>
      <c r="CV233" s="205" t="s">
        <v>5792</v>
      </c>
      <c r="CW233" s="205" t="s">
        <v>5792</v>
      </c>
      <c r="CX233" s="206" t="s">
        <v>5792</v>
      </c>
      <c r="CY233" s="204" t="s">
        <v>5792</v>
      </c>
      <c r="CZ233" s="205" t="s">
        <v>5792</v>
      </c>
      <c r="DA233" s="206" t="s">
        <v>5792</v>
      </c>
      <c r="DB233" s="282" t="s">
        <v>5792</v>
      </c>
      <c r="DC233" s="162">
        <v>8.8000000000000007</v>
      </c>
      <c r="DD233" s="162">
        <v>640</v>
      </c>
      <c r="DE233" s="65">
        <v>604</v>
      </c>
      <c r="DF233" s="65">
        <v>800</v>
      </c>
      <c r="DG233" s="65">
        <v>749</v>
      </c>
      <c r="DH233" s="76">
        <v>200000</v>
      </c>
      <c r="DI233" s="28" t="s">
        <v>5839</v>
      </c>
      <c r="DJ233" s="305" t="s">
        <v>4435</v>
      </c>
      <c r="DK233" s="296" t="s">
        <v>4566</v>
      </c>
    </row>
    <row r="234" spans="1:115">
      <c r="A234" s="306">
        <v>229</v>
      </c>
      <c r="B234" s="326"/>
      <c r="C234" s="326"/>
      <c r="D234" s="343"/>
      <c r="E234" s="343"/>
      <c r="F234" s="326"/>
      <c r="G234" s="337"/>
      <c r="H234" s="337"/>
      <c r="I234" s="337"/>
      <c r="J234" s="314" t="s">
        <v>5939</v>
      </c>
      <c r="K234" s="306" t="s">
        <v>6318</v>
      </c>
      <c r="L234" s="163" t="s">
        <v>6061</v>
      </c>
      <c r="M234" s="306" t="s">
        <v>4509</v>
      </c>
      <c r="N234" s="163" t="s">
        <v>4703</v>
      </c>
      <c r="O234" s="18" t="s">
        <v>4507</v>
      </c>
      <c r="P234" s="163" t="s">
        <v>6312</v>
      </c>
      <c r="Q234" s="163" t="s">
        <v>4420</v>
      </c>
      <c r="R234" s="163" t="s">
        <v>4420</v>
      </c>
      <c r="S234" s="163" t="s">
        <v>5792</v>
      </c>
      <c r="T234" s="163" t="s">
        <v>4420</v>
      </c>
      <c r="U234" s="163" t="s">
        <v>5792</v>
      </c>
      <c r="V234" s="163" t="s">
        <v>4559</v>
      </c>
      <c r="W234" s="18">
        <v>8</v>
      </c>
      <c r="X234" s="230">
        <v>0</v>
      </c>
      <c r="Y234" s="18">
        <v>0</v>
      </c>
      <c r="Z234" s="306" t="s">
        <v>6325</v>
      </c>
      <c r="AA234" s="21">
        <f>INDEX('[2]Cross-Section Database'!$C$2:$V$2928,MATCH(Z234,'[2]Cross-Section Database'!$B$2:$B$2928,0),3)</f>
        <v>222.2</v>
      </c>
      <c r="AB234" s="21">
        <f>INDEX('[2]Cross-Section Database'!$C$2:$V$2928,MATCH(Z234,'[2]Cross-Section Database'!$B$2:$B$2928,0),4)</f>
        <v>209.1</v>
      </c>
      <c r="AC234" s="21">
        <f>INDEX('[2]Cross-Section Database'!$C$2:$V$2928,MATCH(Z234,'[2]Cross-Section Database'!$B$2:$B$2928,0),6)</f>
        <v>20.5</v>
      </c>
      <c r="AD234" s="21">
        <f>INDEX('[2]Cross-Section Database'!$C$2:$V$2928,MATCH(Z234,'[2]Cross-Section Database'!$B$2:$B$2928,0),5)</f>
        <v>12.7</v>
      </c>
      <c r="AE234" s="21">
        <v>1000</v>
      </c>
      <c r="AF234" s="306" t="s">
        <v>6326</v>
      </c>
      <c r="AG234" s="21">
        <f>INDEX('[2]Cross-Section Database'!$C$2:$V$2928,MATCH(AF234,'[2]Cross-Section Database'!$B$2:$B$2928,0),3)</f>
        <v>254</v>
      </c>
      <c r="AH234" s="21">
        <f>INDEX('[2]Cross-Section Database'!$C$2:$V$2928,MATCH(AF234,'[2]Cross-Section Database'!$B$2:$B$2928,0),4)</f>
        <v>101.6</v>
      </c>
      <c r="AI234" s="21">
        <f>INDEX('[2]Cross-Section Database'!$C$2:$V$2928,MATCH(AF234,'[2]Cross-Section Database'!$B$2:$B$2928,0),6)</f>
        <v>6.8</v>
      </c>
      <c r="AJ234" s="21">
        <f>INDEX('[2]Cross-Section Database'!$C$2:$V$2928,MATCH(AF234,'[2]Cross-Section Database'!$B$2:$B$2928,0),5)</f>
        <v>5.7</v>
      </c>
      <c r="AK234" s="21">
        <v>1000</v>
      </c>
      <c r="AL234" s="21">
        <f>INDEX('[2]Cross-Section Database'!$C$2:$V$3928,MATCH(AF234,'[2]Cross-Section Database'!$B$2:$B$3928,0),11)</f>
        <v>28410000</v>
      </c>
      <c r="AM234" s="24">
        <f>INDEX('[2]Cross-Section Database'!$C$2:$V$3928,MATCH(AF234,'[2]Cross-Section Database'!$B$2:$B$3928,0),12)</f>
        <v>259000</v>
      </c>
      <c r="AN234" s="21">
        <v>12</v>
      </c>
      <c r="AO234" s="21">
        <v>200</v>
      </c>
      <c r="AP234" s="21">
        <v>275</v>
      </c>
      <c r="AQ234" s="21">
        <f t="shared" si="121"/>
        <v>10.5</v>
      </c>
      <c r="AR234" s="59">
        <f t="shared" si="122"/>
        <v>10.5</v>
      </c>
      <c r="AS234" s="306" t="s">
        <v>5807</v>
      </c>
      <c r="AT234" s="163" t="s">
        <v>4716</v>
      </c>
      <c r="AU234" s="163">
        <f t="shared" ref="AU234:AU246" si="133" xml:space="preserve"> 50/AV234/0.25</f>
        <v>10</v>
      </c>
      <c r="AV234" s="163">
        <v>20</v>
      </c>
      <c r="AW234" s="163">
        <f t="shared" si="124"/>
        <v>245</v>
      </c>
      <c r="AX234" s="21">
        <f t="shared" si="132"/>
        <v>46.1</v>
      </c>
      <c r="AY234" s="21">
        <f t="shared" si="127"/>
        <v>46.1</v>
      </c>
      <c r="AZ234" s="21">
        <v>0</v>
      </c>
      <c r="BA234" s="21">
        <v>90</v>
      </c>
      <c r="BB234" s="21">
        <f t="shared" si="125"/>
        <v>182.8</v>
      </c>
      <c r="BC234" s="15" t="s">
        <v>6313</v>
      </c>
      <c r="BD234" s="163" t="s">
        <v>6209</v>
      </c>
      <c r="BE234" s="163" t="s">
        <v>6209</v>
      </c>
      <c r="BF234" s="163">
        <v>2</v>
      </c>
      <c r="BG234" s="163">
        <v>4</v>
      </c>
      <c r="BH234" s="202" t="s">
        <v>5792</v>
      </c>
      <c r="BI234" s="203" t="s">
        <v>5792</v>
      </c>
      <c r="BJ234" s="203" t="s">
        <v>5792</v>
      </c>
      <c r="BK234" s="203" t="s">
        <v>5792</v>
      </c>
      <c r="BL234" s="203" t="s">
        <v>5792</v>
      </c>
      <c r="BM234" s="203" t="s">
        <v>5792</v>
      </c>
      <c r="BN234" s="203" t="s">
        <v>5792</v>
      </c>
      <c r="BO234" s="203" t="s">
        <v>5792</v>
      </c>
      <c r="BP234" s="202" t="s">
        <v>5792</v>
      </c>
      <c r="BQ234" s="203" t="s">
        <v>5792</v>
      </c>
      <c r="BR234" s="203" t="s">
        <v>5792</v>
      </c>
      <c r="BS234" s="203" t="s">
        <v>5792</v>
      </c>
      <c r="BT234" s="203" t="s">
        <v>5792</v>
      </c>
      <c r="BU234" s="203" t="s">
        <v>5792</v>
      </c>
      <c r="BV234" s="218" t="s">
        <v>5792</v>
      </c>
      <c r="BW234" s="203" t="s">
        <v>5792</v>
      </c>
      <c r="BX234" s="203" t="s">
        <v>5792</v>
      </c>
      <c r="BY234" s="203" t="s">
        <v>5792</v>
      </c>
      <c r="BZ234" s="203" t="s">
        <v>5792</v>
      </c>
      <c r="CA234" s="203" t="s">
        <v>5792</v>
      </c>
      <c r="CB234" s="218" t="s">
        <v>5792</v>
      </c>
      <c r="CC234" s="60" t="s">
        <v>5665</v>
      </c>
      <c r="CD234" s="60">
        <v>275</v>
      </c>
      <c r="CE234" s="33">
        <f>CE235</f>
        <v>283.14666666666665</v>
      </c>
      <c r="CF234" s="60">
        <v>430</v>
      </c>
      <c r="CG234" s="33">
        <f>CG235</f>
        <v>468.12666666666672</v>
      </c>
      <c r="CH234" s="67">
        <v>200000</v>
      </c>
      <c r="CI234" s="60" t="s">
        <v>5665</v>
      </c>
      <c r="CJ234" s="60">
        <v>275</v>
      </c>
      <c r="CK234" s="33">
        <f>CK235</f>
        <v>270.48333333333335</v>
      </c>
      <c r="CL234" s="60">
        <v>430</v>
      </c>
      <c r="CM234" s="33">
        <f>CM235</f>
        <v>410.1466666666667</v>
      </c>
      <c r="CN234" s="67">
        <v>200000</v>
      </c>
      <c r="CO234" s="60" t="s">
        <v>5665</v>
      </c>
      <c r="CP234" s="60">
        <v>275</v>
      </c>
      <c r="CQ234" s="33">
        <f>CQ235</f>
        <v>321.61500000000001</v>
      </c>
      <c r="CR234" s="60">
        <v>430</v>
      </c>
      <c r="CS234" s="33">
        <f>CS235</f>
        <v>439.435</v>
      </c>
      <c r="CT234" s="61">
        <v>200000</v>
      </c>
      <c r="CU234" s="207" t="s">
        <v>5792</v>
      </c>
      <c r="CV234" s="208" t="s">
        <v>5792</v>
      </c>
      <c r="CW234" s="208" t="s">
        <v>5792</v>
      </c>
      <c r="CX234" s="209" t="s">
        <v>5792</v>
      </c>
      <c r="CY234" s="207" t="s">
        <v>5792</v>
      </c>
      <c r="CZ234" s="208" t="s">
        <v>5792</v>
      </c>
      <c r="DA234" s="209" t="s">
        <v>5792</v>
      </c>
      <c r="DB234" s="283" t="s">
        <v>5792</v>
      </c>
      <c r="DC234" s="163">
        <v>8.8000000000000007</v>
      </c>
      <c r="DD234" s="163">
        <v>640</v>
      </c>
      <c r="DE234" s="60">
        <v>604</v>
      </c>
      <c r="DF234" s="60">
        <v>800</v>
      </c>
      <c r="DG234" s="60">
        <v>749</v>
      </c>
      <c r="DH234" s="61">
        <v>200000</v>
      </c>
      <c r="DI234" s="29" t="s">
        <v>5844</v>
      </c>
      <c r="DJ234" s="306" t="s">
        <v>4435</v>
      </c>
      <c r="DK234" s="297" t="s">
        <v>4566</v>
      </c>
    </row>
    <row r="235" spans="1:115">
      <c r="A235" s="306">
        <v>230</v>
      </c>
      <c r="B235" s="326"/>
      <c r="C235" s="326"/>
      <c r="D235" s="343"/>
      <c r="E235" s="343"/>
      <c r="F235" s="326"/>
      <c r="G235" s="337"/>
      <c r="H235" s="337"/>
      <c r="I235" s="337"/>
      <c r="J235" s="41" t="s">
        <v>5940</v>
      </c>
      <c r="K235" s="306" t="s">
        <v>6314</v>
      </c>
      <c r="L235" s="163" t="s">
        <v>5792</v>
      </c>
      <c r="M235" s="306" t="s">
        <v>4509</v>
      </c>
      <c r="N235" s="163" t="s">
        <v>4703</v>
      </c>
      <c r="O235" s="18" t="s">
        <v>4507</v>
      </c>
      <c r="P235" s="163" t="s">
        <v>6312</v>
      </c>
      <c r="Q235" s="163" t="s">
        <v>4420</v>
      </c>
      <c r="R235" s="163" t="s">
        <v>4420</v>
      </c>
      <c r="S235" s="163" t="s">
        <v>5792</v>
      </c>
      <c r="T235" s="163" t="s">
        <v>4420</v>
      </c>
      <c r="U235" s="163" t="s">
        <v>5792</v>
      </c>
      <c r="V235" s="163" t="s">
        <v>4559</v>
      </c>
      <c r="W235" s="18">
        <v>8</v>
      </c>
      <c r="X235" s="230">
        <v>0</v>
      </c>
      <c r="Y235" s="18">
        <v>0</v>
      </c>
      <c r="Z235" s="306" t="s">
        <v>4345</v>
      </c>
      <c r="AA235" s="21">
        <f>INDEX('[2]Cross-Section Database'!$C$2:$V$2928,MATCH(Z235,'[2]Cross-Section Database'!$B$2:$B$2928,0),3)</f>
        <v>222.2</v>
      </c>
      <c r="AB235" s="21">
        <f>INDEX('[2]Cross-Section Database'!$C$2:$V$2928,MATCH(Z235,'[2]Cross-Section Database'!$B$2:$B$2928,0),4)</f>
        <v>209.1</v>
      </c>
      <c r="AC235" s="21">
        <f>INDEX('[2]Cross-Section Database'!$C$2:$V$2928,MATCH(Z235,'[2]Cross-Section Database'!$B$2:$B$2928,0),6)</f>
        <v>20.5</v>
      </c>
      <c r="AD235" s="21">
        <f>INDEX('[2]Cross-Section Database'!$C$2:$V$2928,MATCH(Z235,'[2]Cross-Section Database'!$B$2:$B$2928,0),5)</f>
        <v>12.7</v>
      </c>
      <c r="AE235" s="21">
        <v>1000</v>
      </c>
      <c r="AF235" s="306" t="s">
        <v>6291</v>
      </c>
      <c r="AG235" s="21">
        <f>INDEX('[2]Cross-Section Database'!$C$2:$V$2928,MATCH(AF235,'[2]Cross-Section Database'!$B$2:$B$2928,0),3)</f>
        <v>256</v>
      </c>
      <c r="AH235" s="21">
        <f>INDEX('[2]Cross-Section Database'!$C$2:$V$2928,MATCH(AF235,'[2]Cross-Section Database'!$B$2:$B$2928,0),4)</f>
        <v>146.4</v>
      </c>
      <c r="AI235" s="21">
        <f>INDEX('[2]Cross-Section Database'!$C$2:$V$2928,MATCH(AF235,'[2]Cross-Section Database'!$B$2:$B$2928,0),6)</f>
        <v>10.9</v>
      </c>
      <c r="AJ235" s="21">
        <f>INDEX('[2]Cross-Section Database'!$C$2:$V$2928,MATCH(AF235,'[2]Cross-Section Database'!$B$2:$B$2928,0),5)</f>
        <v>6.3</v>
      </c>
      <c r="AK235" s="21">
        <v>1000</v>
      </c>
      <c r="AL235" s="21">
        <f>INDEX('[2]Cross-Section Database'!$C$2:$V$3928,MATCH(AF235,'[2]Cross-Section Database'!$B$2:$B$3928,0),11)</f>
        <v>55370000</v>
      </c>
      <c r="AM235" s="24">
        <f>INDEX('[2]Cross-Section Database'!$C$2:$V$3928,MATCH(AF235,'[2]Cross-Section Database'!$B$2:$B$3928,0),12)</f>
        <v>483200</v>
      </c>
      <c r="AN235" s="21">
        <v>12</v>
      </c>
      <c r="AO235" s="21">
        <v>200</v>
      </c>
      <c r="AP235" s="21">
        <v>275</v>
      </c>
      <c r="AQ235" s="21">
        <f t="shared" si="121"/>
        <v>9.5</v>
      </c>
      <c r="AR235" s="21">
        <f t="shared" si="122"/>
        <v>9.5</v>
      </c>
      <c r="AS235" s="306" t="s">
        <v>5807</v>
      </c>
      <c r="AT235" s="163" t="s">
        <v>4716</v>
      </c>
      <c r="AU235" s="163">
        <f t="shared" si="133"/>
        <v>10</v>
      </c>
      <c r="AV235" s="163">
        <v>20</v>
      </c>
      <c r="AW235" s="163">
        <f t="shared" si="124"/>
        <v>245</v>
      </c>
      <c r="AX235" s="21">
        <f t="shared" si="132"/>
        <v>45.05</v>
      </c>
      <c r="AY235" s="21">
        <f t="shared" si="127"/>
        <v>45.05</v>
      </c>
      <c r="AZ235" s="21">
        <v>0</v>
      </c>
      <c r="BA235" s="21">
        <v>90</v>
      </c>
      <c r="BB235" s="21">
        <f t="shared" si="125"/>
        <v>184.89999999999998</v>
      </c>
      <c r="BC235" s="15" t="s">
        <v>6313</v>
      </c>
      <c r="BD235" s="163" t="s">
        <v>6209</v>
      </c>
      <c r="BE235" s="163" t="s">
        <v>6209</v>
      </c>
      <c r="BF235" s="163">
        <v>2</v>
      </c>
      <c r="BG235" s="163">
        <v>4</v>
      </c>
      <c r="BH235" s="202" t="s">
        <v>5792</v>
      </c>
      <c r="BI235" s="203" t="s">
        <v>5792</v>
      </c>
      <c r="BJ235" s="203" t="s">
        <v>5792</v>
      </c>
      <c r="BK235" s="203" t="s">
        <v>5792</v>
      </c>
      <c r="BL235" s="203" t="s">
        <v>5792</v>
      </c>
      <c r="BM235" s="203" t="s">
        <v>5792</v>
      </c>
      <c r="BN235" s="203" t="s">
        <v>5792</v>
      </c>
      <c r="BO235" s="203" t="s">
        <v>5792</v>
      </c>
      <c r="BP235" s="202" t="s">
        <v>5792</v>
      </c>
      <c r="BQ235" s="203" t="s">
        <v>5792</v>
      </c>
      <c r="BR235" s="203" t="s">
        <v>5792</v>
      </c>
      <c r="BS235" s="203" t="s">
        <v>5792</v>
      </c>
      <c r="BT235" s="203" t="s">
        <v>5792</v>
      </c>
      <c r="BU235" s="203" t="s">
        <v>5792</v>
      </c>
      <c r="BV235" s="218" t="s">
        <v>5792</v>
      </c>
      <c r="BW235" s="203" t="s">
        <v>5792</v>
      </c>
      <c r="BX235" s="203" t="s">
        <v>5792</v>
      </c>
      <c r="BY235" s="203" t="s">
        <v>5792</v>
      </c>
      <c r="BZ235" s="203" t="s">
        <v>5792</v>
      </c>
      <c r="CA235" s="203" t="s">
        <v>5792</v>
      </c>
      <c r="CB235" s="218" t="s">
        <v>5792</v>
      </c>
      <c r="CC235" s="60" t="s">
        <v>5665</v>
      </c>
      <c r="CD235" s="60">
        <v>275</v>
      </c>
      <c r="CE235" s="47">
        <f>(286.51+289.06+273.87)/3</f>
        <v>283.14666666666665</v>
      </c>
      <c r="CF235" s="60">
        <v>430</v>
      </c>
      <c r="CG235" s="47">
        <f>(468.84+459.87+475.67)/3</f>
        <v>468.12666666666672</v>
      </c>
      <c r="CH235" s="67">
        <v>200000</v>
      </c>
      <c r="CI235" s="60" t="s">
        <v>5665</v>
      </c>
      <c r="CJ235" s="60">
        <v>275</v>
      </c>
      <c r="CK235" s="47">
        <f>(272.11+263.93+275.41)/3</f>
        <v>270.48333333333335</v>
      </c>
      <c r="CL235" s="60">
        <v>430</v>
      </c>
      <c r="CM235" s="47">
        <f>(404.61+411.91+413.92)/3</f>
        <v>410.1466666666667</v>
      </c>
      <c r="CN235" s="67">
        <v>200000</v>
      </c>
      <c r="CO235" s="60" t="s">
        <v>5665</v>
      </c>
      <c r="CP235" s="60">
        <v>275</v>
      </c>
      <c r="CQ235" s="47">
        <f>(317.39+325.84)/2</f>
        <v>321.61500000000001</v>
      </c>
      <c r="CR235" s="60">
        <v>430</v>
      </c>
      <c r="CS235" s="47">
        <f>(446.11+432.76)/2</f>
        <v>439.435</v>
      </c>
      <c r="CT235" s="61">
        <v>200000</v>
      </c>
      <c r="CU235" s="207" t="s">
        <v>5792</v>
      </c>
      <c r="CV235" s="208" t="s">
        <v>5792</v>
      </c>
      <c r="CW235" s="208" t="s">
        <v>5792</v>
      </c>
      <c r="CX235" s="209" t="s">
        <v>5792</v>
      </c>
      <c r="CY235" s="207" t="s">
        <v>5792</v>
      </c>
      <c r="CZ235" s="208" t="s">
        <v>5792</v>
      </c>
      <c r="DA235" s="209" t="s">
        <v>5792</v>
      </c>
      <c r="DB235" s="283" t="s">
        <v>5792</v>
      </c>
      <c r="DC235" s="163">
        <v>8.8000000000000007</v>
      </c>
      <c r="DD235" s="163">
        <v>640</v>
      </c>
      <c r="DE235" s="60">
        <v>604</v>
      </c>
      <c r="DF235" s="60">
        <v>800</v>
      </c>
      <c r="DG235" s="60">
        <v>749</v>
      </c>
      <c r="DH235" s="61">
        <v>200000</v>
      </c>
      <c r="DI235" s="29" t="s">
        <v>5844</v>
      </c>
      <c r="DJ235" s="306" t="s">
        <v>4435</v>
      </c>
      <c r="DK235" s="297" t="s">
        <v>4566</v>
      </c>
    </row>
    <row r="236" spans="1:115">
      <c r="A236" s="306">
        <v>231</v>
      </c>
      <c r="B236" s="326"/>
      <c r="C236" s="326"/>
      <c r="D236" s="343"/>
      <c r="E236" s="343"/>
      <c r="F236" s="326"/>
      <c r="G236" s="337"/>
      <c r="H236" s="337"/>
      <c r="I236" s="337"/>
      <c r="J236" s="314" t="s">
        <v>5941</v>
      </c>
      <c r="K236" s="306" t="s">
        <v>6318</v>
      </c>
      <c r="L236" s="163" t="s">
        <v>6061</v>
      </c>
      <c r="M236" s="306" t="s">
        <v>4509</v>
      </c>
      <c r="N236" s="163" t="s">
        <v>4703</v>
      </c>
      <c r="O236" s="18" t="s">
        <v>4507</v>
      </c>
      <c r="P236" s="163" t="s">
        <v>6312</v>
      </c>
      <c r="Q236" s="163" t="s">
        <v>4420</v>
      </c>
      <c r="R236" s="163" t="s">
        <v>4420</v>
      </c>
      <c r="S236" s="163" t="s">
        <v>5792</v>
      </c>
      <c r="T236" s="163" t="s">
        <v>4420</v>
      </c>
      <c r="U236" s="163" t="s">
        <v>5792</v>
      </c>
      <c r="V236" s="163" t="s">
        <v>4559</v>
      </c>
      <c r="W236" s="18">
        <v>8</v>
      </c>
      <c r="X236" s="230">
        <v>0</v>
      </c>
      <c r="Y236" s="18">
        <v>0</v>
      </c>
      <c r="Z236" s="306" t="s">
        <v>4345</v>
      </c>
      <c r="AA236" s="21">
        <f>INDEX('[2]Cross-Section Database'!$C$2:$V$2928,MATCH(Z236,'[2]Cross-Section Database'!$B$2:$B$2928,0),3)</f>
        <v>222.2</v>
      </c>
      <c r="AB236" s="21">
        <f>INDEX('[2]Cross-Section Database'!$C$2:$V$2928,MATCH(Z236,'[2]Cross-Section Database'!$B$2:$B$2928,0),4)</f>
        <v>209.1</v>
      </c>
      <c r="AC236" s="21">
        <f>INDEX('[2]Cross-Section Database'!$C$2:$V$2928,MATCH(Z236,'[2]Cross-Section Database'!$B$2:$B$2928,0),6)</f>
        <v>20.5</v>
      </c>
      <c r="AD236" s="21">
        <f>INDEX('[2]Cross-Section Database'!$C$2:$V$2928,MATCH(Z236,'[2]Cross-Section Database'!$B$2:$B$2928,0),5)</f>
        <v>12.7</v>
      </c>
      <c r="AE236" s="21">
        <v>1000</v>
      </c>
      <c r="AF236" s="306" t="s">
        <v>6291</v>
      </c>
      <c r="AG236" s="21">
        <f>INDEX('[2]Cross-Section Database'!$C$2:$V$2928,MATCH(AF236,'[2]Cross-Section Database'!$B$2:$B$2928,0),3)</f>
        <v>256</v>
      </c>
      <c r="AH236" s="21">
        <f>INDEX('[2]Cross-Section Database'!$C$2:$V$2928,MATCH(AF236,'[2]Cross-Section Database'!$B$2:$B$2928,0),4)</f>
        <v>146.4</v>
      </c>
      <c r="AI236" s="21">
        <f>INDEX('[2]Cross-Section Database'!$C$2:$V$2928,MATCH(AF236,'[2]Cross-Section Database'!$B$2:$B$2928,0),6)</f>
        <v>10.9</v>
      </c>
      <c r="AJ236" s="21">
        <f>INDEX('[2]Cross-Section Database'!$C$2:$V$2928,MATCH(AF236,'[2]Cross-Section Database'!$B$2:$B$2928,0),5)</f>
        <v>6.3</v>
      </c>
      <c r="AK236" s="21">
        <v>1000</v>
      </c>
      <c r="AL236" s="21">
        <f>INDEX('[2]Cross-Section Database'!$C$2:$V$3928,MATCH(AF236,'[2]Cross-Section Database'!$B$2:$B$3928,0),11)</f>
        <v>55370000</v>
      </c>
      <c r="AM236" s="24">
        <f>INDEX('[2]Cross-Section Database'!$C$2:$V$3928,MATCH(AF236,'[2]Cross-Section Database'!$B$2:$B$3928,0),12)</f>
        <v>483200</v>
      </c>
      <c r="AN236" s="21">
        <v>12</v>
      </c>
      <c r="AO236" s="21">
        <v>200</v>
      </c>
      <c r="AP236" s="21">
        <v>275</v>
      </c>
      <c r="AQ236" s="21">
        <f t="shared" si="121"/>
        <v>9.5</v>
      </c>
      <c r="AR236" s="21">
        <f t="shared" si="122"/>
        <v>9.5</v>
      </c>
      <c r="AS236" s="306" t="s">
        <v>5807</v>
      </c>
      <c r="AT236" s="163" t="s">
        <v>4716</v>
      </c>
      <c r="AU236" s="163">
        <f t="shared" si="133"/>
        <v>10</v>
      </c>
      <c r="AV236" s="163">
        <v>20</v>
      </c>
      <c r="AW236" s="163">
        <f t="shared" si="124"/>
        <v>245</v>
      </c>
      <c r="AX236" s="21">
        <f t="shared" si="132"/>
        <v>45.05</v>
      </c>
      <c r="AY236" s="21">
        <f t="shared" si="127"/>
        <v>45.05</v>
      </c>
      <c r="AZ236" s="21">
        <v>0</v>
      </c>
      <c r="BA236" s="21">
        <v>90</v>
      </c>
      <c r="BB236" s="21">
        <f t="shared" si="125"/>
        <v>184.89999999999998</v>
      </c>
      <c r="BC236" s="15" t="s">
        <v>6313</v>
      </c>
      <c r="BD236" s="163" t="s">
        <v>6209</v>
      </c>
      <c r="BE236" s="163" t="s">
        <v>6209</v>
      </c>
      <c r="BF236" s="163">
        <v>2</v>
      </c>
      <c r="BG236" s="163">
        <v>4</v>
      </c>
      <c r="BH236" s="202" t="s">
        <v>5792</v>
      </c>
      <c r="BI236" s="203" t="s">
        <v>5792</v>
      </c>
      <c r="BJ236" s="203" t="s">
        <v>5792</v>
      </c>
      <c r="BK236" s="203" t="s">
        <v>5792</v>
      </c>
      <c r="BL236" s="203" t="s">
        <v>5792</v>
      </c>
      <c r="BM236" s="203" t="s">
        <v>5792</v>
      </c>
      <c r="BN236" s="203" t="s">
        <v>5792</v>
      </c>
      <c r="BO236" s="203" t="s">
        <v>5792</v>
      </c>
      <c r="BP236" s="202" t="s">
        <v>5792</v>
      </c>
      <c r="BQ236" s="203" t="s">
        <v>5792</v>
      </c>
      <c r="BR236" s="203" t="s">
        <v>5792</v>
      </c>
      <c r="BS236" s="203" t="s">
        <v>5792</v>
      </c>
      <c r="BT236" s="203" t="s">
        <v>5792</v>
      </c>
      <c r="BU236" s="203" t="s">
        <v>5792</v>
      </c>
      <c r="BV236" s="218" t="s">
        <v>5792</v>
      </c>
      <c r="BW236" s="203" t="s">
        <v>5792</v>
      </c>
      <c r="BX236" s="203" t="s">
        <v>5792</v>
      </c>
      <c r="BY236" s="203" t="s">
        <v>5792</v>
      </c>
      <c r="BZ236" s="203" t="s">
        <v>5792</v>
      </c>
      <c r="CA236" s="203" t="s">
        <v>5792</v>
      </c>
      <c r="CB236" s="218" t="s">
        <v>5792</v>
      </c>
      <c r="CC236" s="60" t="s">
        <v>5665</v>
      </c>
      <c r="CD236" s="60">
        <v>275</v>
      </c>
      <c r="CE236" s="33">
        <f>CE235</f>
        <v>283.14666666666665</v>
      </c>
      <c r="CF236" s="60">
        <v>430</v>
      </c>
      <c r="CG236" s="33">
        <f>CG235</f>
        <v>468.12666666666672</v>
      </c>
      <c r="CH236" s="67">
        <v>200000</v>
      </c>
      <c r="CI236" s="60" t="s">
        <v>5665</v>
      </c>
      <c r="CJ236" s="60">
        <v>275</v>
      </c>
      <c r="CK236" s="47">
        <f>(292.07+272.05+302.39)/3</f>
        <v>288.83666666666664</v>
      </c>
      <c r="CL236" s="60">
        <v>430</v>
      </c>
      <c r="CM236" s="47">
        <f>(424.48+413.91+415.79)/3</f>
        <v>418.06</v>
      </c>
      <c r="CN236" s="67">
        <v>200000</v>
      </c>
      <c r="CO236" s="60" t="s">
        <v>5665</v>
      </c>
      <c r="CP236" s="60">
        <v>275</v>
      </c>
      <c r="CQ236" s="47">
        <f>(323.11+327.72)/2</f>
        <v>325.41500000000002</v>
      </c>
      <c r="CR236" s="60">
        <v>430</v>
      </c>
      <c r="CS236" s="47">
        <f>(449.79+465.7)/2</f>
        <v>457.745</v>
      </c>
      <c r="CT236" s="61">
        <v>200000</v>
      </c>
      <c r="CU236" s="207" t="s">
        <v>5792</v>
      </c>
      <c r="CV236" s="208" t="s">
        <v>5792</v>
      </c>
      <c r="CW236" s="208" t="s">
        <v>5792</v>
      </c>
      <c r="CX236" s="209" t="s">
        <v>5792</v>
      </c>
      <c r="CY236" s="207" t="s">
        <v>5792</v>
      </c>
      <c r="CZ236" s="208" t="s">
        <v>5792</v>
      </c>
      <c r="DA236" s="209" t="s">
        <v>5792</v>
      </c>
      <c r="DB236" s="283" t="s">
        <v>5792</v>
      </c>
      <c r="DC236" s="163">
        <v>8.8000000000000007</v>
      </c>
      <c r="DD236" s="163">
        <v>640</v>
      </c>
      <c r="DE236" s="60">
        <v>604</v>
      </c>
      <c r="DF236" s="60">
        <v>800</v>
      </c>
      <c r="DG236" s="60">
        <v>749</v>
      </c>
      <c r="DH236" s="61">
        <v>200000</v>
      </c>
      <c r="DI236" s="41" t="s">
        <v>4759</v>
      </c>
      <c r="DJ236" s="306" t="s">
        <v>4435</v>
      </c>
      <c r="DK236" s="297" t="s">
        <v>4566</v>
      </c>
    </row>
    <row r="237" spans="1:115">
      <c r="A237" s="306">
        <v>232</v>
      </c>
      <c r="B237" s="326"/>
      <c r="C237" s="326"/>
      <c r="D237" s="343"/>
      <c r="E237" s="343"/>
      <c r="F237" s="326"/>
      <c r="G237" s="337"/>
      <c r="H237" s="337"/>
      <c r="I237" s="337"/>
      <c r="J237" s="314" t="s">
        <v>5942</v>
      </c>
      <c r="K237" s="306" t="s">
        <v>6318</v>
      </c>
      <c r="L237" s="163" t="s">
        <v>6061</v>
      </c>
      <c r="M237" s="306" t="s">
        <v>4509</v>
      </c>
      <c r="N237" s="163" t="s">
        <v>4703</v>
      </c>
      <c r="O237" s="18" t="s">
        <v>4507</v>
      </c>
      <c r="P237" s="163" t="s">
        <v>6312</v>
      </c>
      <c r="Q237" s="163" t="s">
        <v>4420</v>
      </c>
      <c r="R237" s="163" t="s">
        <v>4420</v>
      </c>
      <c r="S237" s="163" t="s">
        <v>5792</v>
      </c>
      <c r="T237" s="163" t="s">
        <v>4420</v>
      </c>
      <c r="U237" s="163" t="s">
        <v>5792</v>
      </c>
      <c r="V237" s="163" t="s">
        <v>4559</v>
      </c>
      <c r="W237" s="18">
        <v>8</v>
      </c>
      <c r="X237" s="230">
        <v>0</v>
      </c>
      <c r="Y237" s="18">
        <v>0</v>
      </c>
      <c r="Z237" s="306" t="s">
        <v>4345</v>
      </c>
      <c r="AA237" s="21">
        <f>INDEX('[2]Cross-Section Database'!$C$2:$V$2928,MATCH(Z237,'[2]Cross-Section Database'!$B$2:$B$2928,0),3)</f>
        <v>222.2</v>
      </c>
      <c r="AB237" s="21">
        <f>INDEX('[2]Cross-Section Database'!$C$2:$V$2928,MATCH(Z237,'[2]Cross-Section Database'!$B$2:$B$2928,0),4)</f>
        <v>209.1</v>
      </c>
      <c r="AC237" s="21">
        <f>INDEX('[2]Cross-Section Database'!$C$2:$V$2928,MATCH(Z237,'[2]Cross-Section Database'!$B$2:$B$2928,0),6)</f>
        <v>20.5</v>
      </c>
      <c r="AD237" s="21">
        <f>INDEX('[2]Cross-Section Database'!$C$2:$V$2928,MATCH(Z237,'[2]Cross-Section Database'!$B$2:$B$2928,0),5)</f>
        <v>12.7</v>
      </c>
      <c r="AE237" s="21">
        <v>1000</v>
      </c>
      <c r="AF237" s="306" t="s">
        <v>6291</v>
      </c>
      <c r="AG237" s="21">
        <f>INDEX('[2]Cross-Section Database'!$C$2:$V$2928,MATCH(AF237,'[2]Cross-Section Database'!$B$2:$B$2928,0),3)</f>
        <v>256</v>
      </c>
      <c r="AH237" s="21">
        <f>INDEX('[2]Cross-Section Database'!$C$2:$V$2928,MATCH(AF237,'[2]Cross-Section Database'!$B$2:$B$2928,0),4)</f>
        <v>146.4</v>
      </c>
      <c r="AI237" s="21">
        <f>INDEX('[2]Cross-Section Database'!$C$2:$V$2928,MATCH(AF237,'[2]Cross-Section Database'!$B$2:$B$2928,0),6)</f>
        <v>10.9</v>
      </c>
      <c r="AJ237" s="21">
        <f>INDEX('[2]Cross-Section Database'!$C$2:$V$2928,MATCH(AF237,'[2]Cross-Section Database'!$B$2:$B$2928,0),5)</f>
        <v>6.3</v>
      </c>
      <c r="AK237" s="21">
        <v>1000</v>
      </c>
      <c r="AL237" s="21">
        <f>INDEX('[2]Cross-Section Database'!$C$2:$V$3928,MATCH(AF237,'[2]Cross-Section Database'!$B$2:$B$3928,0),11)</f>
        <v>55370000</v>
      </c>
      <c r="AM237" s="24">
        <f>INDEX('[2]Cross-Section Database'!$C$2:$V$3928,MATCH(AF237,'[2]Cross-Section Database'!$B$2:$B$3928,0),12)</f>
        <v>483200</v>
      </c>
      <c r="AN237" s="21">
        <v>12</v>
      </c>
      <c r="AO237" s="21">
        <v>200</v>
      </c>
      <c r="AP237" s="21">
        <v>275</v>
      </c>
      <c r="AQ237" s="21">
        <f t="shared" si="121"/>
        <v>9.5</v>
      </c>
      <c r="AR237" s="21">
        <f t="shared" si="122"/>
        <v>9.5</v>
      </c>
      <c r="AS237" s="306" t="s">
        <v>5807</v>
      </c>
      <c r="AT237" s="163" t="s">
        <v>4716</v>
      </c>
      <c r="AU237" s="21">
        <f t="shared" si="133"/>
        <v>10</v>
      </c>
      <c r="AV237" s="163">
        <v>20</v>
      </c>
      <c r="AW237" s="163">
        <f t="shared" si="124"/>
        <v>245</v>
      </c>
      <c r="AX237" s="21">
        <f t="shared" si="132"/>
        <v>45.05</v>
      </c>
      <c r="AY237" s="21">
        <f t="shared" si="127"/>
        <v>45.05</v>
      </c>
      <c r="AZ237" s="21">
        <v>0</v>
      </c>
      <c r="BA237" s="21">
        <v>90</v>
      </c>
      <c r="BB237" s="21">
        <f t="shared" si="125"/>
        <v>184.89999999999998</v>
      </c>
      <c r="BC237" s="15" t="s">
        <v>6313</v>
      </c>
      <c r="BD237" s="163" t="s">
        <v>6209</v>
      </c>
      <c r="BE237" s="163" t="s">
        <v>6209</v>
      </c>
      <c r="BF237" s="163">
        <v>2</v>
      </c>
      <c r="BG237" s="163">
        <v>4</v>
      </c>
      <c r="BH237" s="202" t="s">
        <v>5792</v>
      </c>
      <c r="BI237" s="203" t="s">
        <v>5792</v>
      </c>
      <c r="BJ237" s="203" t="s">
        <v>5792</v>
      </c>
      <c r="BK237" s="203" t="s">
        <v>5792</v>
      </c>
      <c r="BL237" s="203" t="s">
        <v>5792</v>
      </c>
      <c r="BM237" s="203" t="s">
        <v>5792</v>
      </c>
      <c r="BN237" s="203" t="s">
        <v>5792</v>
      </c>
      <c r="BO237" s="203" t="s">
        <v>5792</v>
      </c>
      <c r="BP237" s="202" t="s">
        <v>5792</v>
      </c>
      <c r="BQ237" s="203" t="s">
        <v>5792</v>
      </c>
      <c r="BR237" s="203" t="s">
        <v>5792</v>
      </c>
      <c r="BS237" s="203" t="s">
        <v>5792</v>
      </c>
      <c r="BT237" s="203" t="s">
        <v>5792</v>
      </c>
      <c r="BU237" s="203" t="s">
        <v>5792</v>
      </c>
      <c r="BV237" s="218" t="s">
        <v>5792</v>
      </c>
      <c r="BW237" s="203" t="s">
        <v>5792</v>
      </c>
      <c r="BX237" s="203" t="s">
        <v>5792</v>
      </c>
      <c r="BY237" s="203" t="s">
        <v>5792</v>
      </c>
      <c r="BZ237" s="203" t="s">
        <v>5792</v>
      </c>
      <c r="CA237" s="203" t="s">
        <v>5792</v>
      </c>
      <c r="CB237" s="218" t="s">
        <v>5792</v>
      </c>
      <c r="CC237" s="60" t="s">
        <v>5665</v>
      </c>
      <c r="CD237" s="60">
        <v>275</v>
      </c>
      <c r="CE237" s="33">
        <f>CE235</f>
        <v>283.14666666666665</v>
      </c>
      <c r="CF237" s="60">
        <v>430</v>
      </c>
      <c r="CG237" s="33">
        <f>CG235</f>
        <v>468.12666666666672</v>
      </c>
      <c r="CH237" s="67">
        <v>200000</v>
      </c>
      <c r="CI237" s="60" t="s">
        <v>5665</v>
      </c>
      <c r="CJ237" s="60">
        <v>275</v>
      </c>
      <c r="CK237" s="33">
        <f>CK236</f>
        <v>288.83666666666664</v>
      </c>
      <c r="CL237" s="60">
        <v>430</v>
      </c>
      <c r="CM237" s="33">
        <f>CM236</f>
        <v>418.06</v>
      </c>
      <c r="CN237" s="67">
        <v>200000</v>
      </c>
      <c r="CO237" s="60" t="s">
        <v>5665</v>
      </c>
      <c r="CP237" s="60">
        <v>275</v>
      </c>
      <c r="CQ237" s="33">
        <f>CQ236</f>
        <v>325.41500000000002</v>
      </c>
      <c r="CR237" s="60">
        <v>430</v>
      </c>
      <c r="CS237" s="33">
        <f>CS236</f>
        <v>457.745</v>
      </c>
      <c r="CT237" s="61">
        <v>200000</v>
      </c>
      <c r="CU237" s="207" t="s">
        <v>5792</v>
      </c>
      <c r="CV237" s="208" t="s">
        <v>5792</v>
      </c>
      <c r="CW237" s="208" t="s">
        <v>5792</v>
      </c>
      <c r="CX237" s="209" t="s">
        <v>5792</v>
      </c>
      <c r="CY237" s="207" t="s">
        <v>5792</v>
      </c>
      <c r="CZ237" s="208" t="s">
        <v>5792</v>
      </c>
      <c r="DA237" s="209" t="s">
        <v>5792</v>
      </c>
      <c r="DB237" s="283" t="s">
        <v>5792</v>
      </c>
      <c r="DC237" s="163">
        <v>8.8000000000000007</v>
      </c>
      <c r="DD237" s="163">
        <v>640</v>
      </c>
      <c r="DE237" s="60">
        <v>604</v>
      </c>
      <c r="DF237" s="60">
        <v>800</v>
      </c>
      <c r="DG237" s="60">
        <v>749</v>
      </c>
      <c r="DH237" s="61">
        <v>200000</v>
      </c>
      <c r="DI237" s="41" t="s">
        <v>5832</v>
      </c>
      <c r="DJ237" s="306" t="s">
        <v>4435</v>
      </c>
      <c r="DK237" s="297" t="s">
        <v>4566</v>
      </c>
    </row>
    <row r="238" spans="1:115">
      <c r="A238" s="306">
        <v>233</v>
      </c>
      <c r="B238" s="326"/>
      <c r="C238" s="326"/>
      <c r="D238" s="343"/>
      <c r="E238" s="343"/>
      <c r="F238" s="326"/>
      <c r="G238" s="337"/>
      <c r="H238" s="337"/>
      <c r="I238" s="337"/>
      <c r="J238" s="41" t="s">
        <v>5943</v>
      </c>
      <c r="K238" s="306" t="s">
        <v>6314</v>
      </c>
      <c r="L238" s="163" t="s">
        <v>5792</v>
      </c>
      <c r="M238" s="306" t="s">
        <v>4509</v>
      </c>
      <c r="N238" s="163" t="s">
        <v>4703</v>
      </c>
      <c r="O238" s="18" t="s">
        <v>4507</v>
      </c>
      <c r="P238" s="163" t="s">
        <v>6312</v>
      </c>
      <c r="Q238" s="163" t="s">
        <v>4420</v>
      </c>
      <c r="R238" s="163" t="s">
        <v>4420</v>
      </c>
      <c r="S238" s="163" t="s">
        <v>5792</v>
      </c>
      <c r="T238" s="163" t="s">
        <v>4420</v>
      </c>
      <c r="U238" s="163" t="s">
        <v>5792</v>
      </c>
      <c r="V238" s="163" t="s">
        <v>4559</v>
      </c>
      <c r="W238" s="18">
        <v>8</v>
      </c>
      <c r="X238" s="230">
        <v>0</v>
      </c>
      <c r="Y238" s="18">
        <v>0</v>
      </c>
      <c r="Z238" s="306" t="s">
        <v>4345</v>
      </c>
      <c r="AA238" s="21">
        <f>INDEX('[2]Cross-Section Database'!$C$2:$V$2928,MATCH(Z238,'[2]Cross-Section Database'!$B$2:$B$2928,0),3)</f>
        <v>222.2</v>
      </c>
      <c r="AB238" s="21">
        <f>INDEX('[2]Cross-Section Database'!$C$2:$V$2928,MATCH(Z238,'[2]Cross-Section Database'!$B$2:$B$2928,0),4)</f>
        <v>209.1</v>
      </c>
      <c r="AC238" s="21">
        <f>INDEX('[2]Cross-Section Database'!$C$2:$V$2928,MATCH(Z238,'[2]Cross-Section Database'!$B$2:$B$2928,0),6)</f>
        <v>20.5</v>
      </c>
      <c r="AD238" s="21">
        <f>INDEX('[2]Cross-Section Database'!$C$2:$V$2928,MATCH(Z238,'[2]Cross-Section Database'!$B$2:$B$2928,0),5)</f>
        <v>12.7</v>
      </c>
      <c r="AE238" s="21">
        <v>1000</v>
      </c>
      <c r="AF238" s="306" t="s">
        <v>6291</v>
      </c>
      <c r="AG238" s="21">
        <f>INDEX('[2]Cross-Section Database'!$C$2:$V$2928,MATCH(AF238,'[2]Cross-Section Database'!$B$2:$B$2928,0),3)</f>
        <v>256</v>
      </c>
      <c r="AH238" s="21">
        <f>INDEX('[2]Cross-Section Database'!$C$2:$V$2928,MATCH(AF238,'[2]Cross-Section Database'!$B$2:$B$2928,0),4)</f>
        <v>146.4</v>
      </c>
      <c r="AI238" s="21">
        <f>INDEX('[2]Cross-Section Database'!$C$2:$V$2928,MATCH(AF238,'[2]Cross-Section Database'!$B$2:$B$2928,0),6)</f>
        <v>10.9</v>
      </c>
      <c r="AJ238" s="21">
        <f>INDEX('[2]Cross-Section Database'!$C$2:$V$2928,MATCH(AF238,'[2]Cross-Section Database'!$B$2:$B$2928,0),5)</f>
        <v>6.3</v>
      </c>
      <c r="AK238" s="21">
        <v>1000</v>
      </c>
      <c r="AL238" s="21">
        <f>INDEX('[2]Cross-Section Database'!$C$2:$V$3928,MATCH(AF238,'[2]Cross-Section Database'!$B$2:$B$3928,0),11)</f>
        <v>55370000</v>
      </c>
      <c r="AM238" s="24">
        <f>INDEX('[2]Cross-Section Database'!$C$2:$V$3928,MATCH(AF238,'[2]Cross-Section Database'!$B$2:$B$3928,0),12)</f>
        <v>483200</v>
      </c>
      <c r="AN238" s="21">
        <v>20</v>
      </c>
      <c r="AO238" s="21">
        <v>200</v>
      </c>
      <c r="AP238" s="21">
        <v>275</v>
      </c>
      <c r="AQ238" s="21">
        <f t="shared" si="121"/>
        <v>9.5</v>
      </c>
      <c r="AR238" s="21">
        <f t="shared" si="122"/>
        <v>9.5</v>
      </c>
      <c r="AS238" s="306" t="s">
        <v>5807</v>
      </c>
      <c r="AT238" s="163" t="s">
        <v>4716</v>
      </c>
      <c r="AU238" s="21">
        <f t="shared" si="133"/>
        <v>12.5</v>
      </c>
      <c r="AV238" s="163">
        <v>16</v>
      </c>
      <c r="AW238" s="163">
        <f t="shared" si="124"/>
        <v>157</v>
      </c>
      <c r="AX238" s="21">
        <f t="shared" si="132"/>
        <v>45.05</v>
      </c>
      <c r="AY238" s="21">
        <f t="shared" si="127"/>
        <v>45.05</v>
      </c>
      <c r="AZ238" s="21">
        <v>0</v>
      </c>
      <c r="BA238" s="21">
        <v>90</v>
      </c>
      <c r="BB238" s="21">
        <f t="shared" si="125"/>
        <v>184.89999999999998</v>
      </c>
      <c r="BC238" s="15" t="s">
        <v>6313</v>
      </c>
      <c r="BD238" s="163" t="s">
        <v>6209</v>
      </c>
      <c r="BE238" s="163" t="s">
        <v>6209</v>
      </c>
      <c r="BF238" s="163">
        <v>2</v>
      </c>
      <c r="BG238" s="163">
        <v>4</v>
      </c>
      <c r="BH238" s="202" t="s">
        <v>5792</v>
      </c>
      <c r="BI238" s="203" t="s">
        <v>5792</v>
      </c>
      <c r="BJ238" s="203" t="s">
        <v>5792</v>
      </c>
      <c r="BK238" s="203" t="s">
        <v>5792</v>
      </c>
      <c r="BL238" s="203" t="s">
        <v>5792</v>
      </c>
      <c r="BM238" s="203" t="s">
        <v>5792</v>
      </c>
      <c r="BN238" s="203" t="s">
        <v>5792</v>
      </c>
      <c r="BO238" s="203" t="s">
        <v>5792</v>
      </c>
      <c r="BP238" s="202" t="s">
        <v>5792</v>
      </c>
      <c r="BQ238" s="203" t="s">
        <v>5792</v>
      </c>
      <c r="BR238" s="203" t="s">
        <v>5792</v>
      </c>
      <c r="BS238" s="203" t="s">
        <v>5792</v>
      </c>
      <c r="BT238" s="203" t="s">
        <v>5792</v>
      </c>
      <c r="BU238" s="203" t="s">
        <v>5792</v>
      </c>
      <c r="BV238" s="218" t="s">
        <v>5792</v>
      </c>
      <c r="BW238" s="203" t="s">
        <v>5792</v>
      </c>
      <c r="BX238" s="203" t="s">
        <v>5792</v>
      </c>
      <c r="BY238" s="203" t="s">
        <v>5792</v>
      </c>
      <c r="BZ238" s="203" t="s">
        <v>5792</v>
      </c>
      <c r="CA238" s="203" t="s">
        <v>5792</v>
      </c>
      <c r="CB238" s="218" t="s">
        <v>5792</v>
      </c>
      <c r="CC238" s="60" t="s">
        <v>5665</v>
      </c>
      <c r="CD238" s="60">
        <v>275</v>
      </c>
      <c r="CE238" s="33">
        <f>CE235</f>
        <v>283.14666666666665</v>
      </c>
      <c r="CF238" s="60">
        <v>430</v>
      </c>
      <c r="CG238" s="33">
        <f>CG235</f>
        <v>468.12666666666672</v>
      </c>
      <c r="CH238" s="67">
        <v>200000</v>
      </c>
      <c r="CI238" s="60" t="s">
        <v>5665</v>
      </c>
      <c r="CJ238" s="60">
        <v>275</v>
      </c>
      <c r="CK238" s="47">
        <f>(290.65+281.97+303.76)/3</f>
        <v>292.12666666666667</v>
      </c>
      <c r="CL238" s="60">
        <v>430</v>
      </c>
      <c r="CM238" s="47">
        <f>(424.34+413.54+405.99)/3</f>
        <v>414.62333333333328</v>
      </c>
      <c r="CN238" s="67">
        <v>200000</v>
      </c>
      <c r="CO238" s="60" t="s">
        <v>5665</v>
      </c>
      <c r="CP238" s="60">
        <v>275</v>
      </c>
      <c r="CQ238" s="47">
        <f>(304.04+339.82)/2</f>
        <v>321.93</v>
      </c>
      <c r="CR238" s="60">
        <v>430</v>
      </c>
      <c r="CS238" s="47">
        <f>(480.44+436.58)/2</f>
        <v>458.51</v>
      </c>
      <c r="CT238" s="61">
        <v>200000</v>
      </c>
      <c r="CU238" s="207" t="s">
        <v>5792</v>
      </c>
      <c r="CV238" s="208" t="s">
        <v>5792</v>
      </c>
      <c r="CW238" s="208" t="s">
        <v>5792</v>
      </c>
      <c r="CX238" s="209" t="s">
        <v>5792</v>
      </c>
      <c r="CY238" s="207" t="s">
        <v>5792</v>
      </c>
      <c r="CZ238" s="208" t="s">
        <v>5792</v>
      </c>
      <c r="DA238" s="209" t="s">
        <v>5792</v>
      </c>
      <c r="DB238" s="283" t="s">
        <v>5792</v>
      </c>
      <c r="DC238" s="163">
        <v>8.8000000000000007</v>
      </c>
      <c r="DD238" s="163">
        <v>640</v>
      </c>
      <c r="DE238" s="60">
        <v>694</v>
      </c>
      <c r="DF238" s="60">
        <v>800</v>
      </c>
      <c r="DG238" s="60">
        <v>849</v>
      </c>
      <c r="DH238" s="61">
        <v>200000</v>
      </c>
      <c r="DI238" s="41" t="s">
        <v>4759</v>
      </c>
      <c r="DJ238" s="306" t="s">
        <v>4435</v>
      </c>
      <c r="DK238" s="297" t="s">
        <v>4566</v>
      </c>
    </row>
    <row r="239" spans="1:115">
      <c r="A239" s="306">
        <v>234</v>
      </c>
      <c r="B239" s="326"/>
      <c r="C239" s="326"/>
      <c r="D239" s="343"/>
      <c r="E239" s="343"/>
      <c r="F239" s="326"/>
      <c r="G239" s="337"/>
      <c r="H239" s="337"/>
      <c r="I239" s="337"/>
      <c r="J239" s="314" t="s">
        <v>5944</v>
      </c>
      <c r="K239" s="306" t="s">
        <v>6318</v>
      </c>
      <c r="L239" s="163" t="s">
        <v>6061</v>
      </c>
      <c r="M239" s="306" t="s">
        <v>4509</v>
      </c>
      <c r="N239" s="163" t="s">
        <v>4703</v>
      </c>
      <c r="O239" s="18" t="s">
        <v>4507</v>
      </c>
      <c r="P239" s="163" t="s">
        <v>6312</v>
      </c>
      <c r="Q239" s="163" t="s">
        <v>4420</v>
      </c>
      <c r="R239" s="163" t="s">
        <v>4420</v>
      </c>
      <c r="S239" s="163" t="s">
        <v>5792</v>
      </c>
      <c r="T239" s="163" t="s">
        <v>4420</v>
      </c>
      <c r="U239" s="163" t="s">
        <v>5792</v>
      </c>
      <c r="V239" s="163" t="s">
        <v>4559</v>
      </c>
      <c r="W239" s="18">
        <v>8</v>
      </c>
      <c r="X239" s="230">
        <v>0</v>
      </c>
      <c r="Y239" s="18">
        <v>0</v>
      </c>
      <c r="Z239" s="306" t="s">
        <v>4345</v>
      </c>
      <c r="AA239" s="21">
        <f>INDEX('[2]Cross-Section Database'!$C$2:$V$2928,MATCH(Z239,'[2]Cross-Section Database'!$B$2:$B$2928,0),3)</f>
        <v>222.2</v>
      </c>
      <c r="AB239" s="21">
        <f>INDEX('[2]Cross-Section Database'!$C$2:$V$2928,MATCH(Z239,'[2]Cross-Section Database'!$B$2:$B$2928,0),4)</f>
        <v>209.1</v>
      </c>
      <c r="AC239" s="21">
        <f>INDEX('[2]Cross-Section Database'!$C$2:$V$2928,MATCH(Z239,'[2]Cross-Section Database'!$B$2:$B$2928,0),6)</f>
        <v>20.5</v>
      </c>
      <c r="AD239" s="21">
        <f>INDEX('[2]Cross-Section Database'!$C$2:$V$2928,MATCH(Z239,'[2]Cross-Section Database'!$B$2:$B$2928,0),5)</f>
        <v>12.7</v>
      </c>
      <c r="AE239" s="21">
        <v>1000</v>
      </c>
      <c r="AF239" s="306" t="s">
        <v>6291</v>
      </c>
      <c r="AG239" s="21">
        <f>INDEX('[2]Cross-Section Database'!$C$2:$V$2928,MATCH(AF239,'[2]Cross-Section Database'!$B$2:$B$2928,0),3)</f>
        <v>256</v>
      </c>
      <c r="AH239" s="21">
        <f>INDEX('[2]Cross-Section Database'!$C$2:$V$2928,MATCH(AF239,'[2]Cross-Section Database'!$B$2:$B$2928,0),4)</f>
        <v>146.4</v>
      </c>
      <c r="AI239" s="21">
        <f>INDEX('[2]Cross-Section Database'!$C$2:$V$2928,MATCH(AF239,'[2]Cross-Section Database'!$B$2:$B$2928,0),6)</f>
        <v>10.9</v>
      </c>
      <c r="AJ239" s="21">
        <f>INDEX('[2]Cross-Section Database'!$C$2:$V$2928,MATCH(AF239,'[2]Cross-Section Database'!$B$2:$B$2928,0),5)</f>
        <v>6.3</v>
      </c>
      <c r="AK239" s="21">
        <v>1000</v>
      </c>
      <c r="AL239" s="21">
        <f>INDEX('[2]Cross-Section Database'!$C$2:$V$3928,MATCH(AF239,'[2]Cross-Section Database'!$B$2:$B$3928,0),11)</f>
        <v>55370000</v>
      </c>
      <c r="AM239" s="24">
        <f>INDEX('[2]Cross-Section Database'!$C$2:$V$3928,MATCH(AF239,'[2]Cross-Section Database'!$B$2:$B$3928,0),12)</f>
        <v>483200</v>
      </c>
      <c r="AN239" s="21">
        <v>20</v>
      </c>
      <c r="AO239" s="21">
        <v>200</v>
      </c>
      <c r="AP239" s="21">
        <v>275</v>
      </c>
      <c r="AQ239" s="21">
        <f t="shared" si="121"/>
        <v>9.5</v>
      </c>
      <c r="AR239" s="21">
        <f t="shared" si="122"/>
        <v>9.5</v>
      </c>
      <c r="AS239" s="306" t="s">
        <v>5807</v>
      </c>
      <c r="AT239" s="163" t="s">
        <v>4718</v>
      </c>
      <c r="AU239" s="21">
        <f xml:space="preserve"> 100/AV239/0.25</f>
        <v>25</v>
      </c>
      <c r="AV239" s="163">
        <v>16</v>
      </c>
      <c r="AW239" s="163">
        <f t="shared" si="124"/>
        <v>157</v>
      </c>
      <c r="AX239" s="21">
        <f t="shared" si="132"/>
        <v>45.05</v>
      </c>
      <c r="AY239" s="21">
        <f t="shared" si="127"/>
        <v>45.05</v>
      </c>
      <c r="AZ239" s="21">
        <v>0</v>
      </c>
      <c r="BA239" s="21">
        <v>90</v>
      </c>
      <c r="BB239" s="21">
        <f t="shared" si="125"/>
        <v>184.89999999999998</v>
      </c>
      <c r="BC239" s="15" t="s">
        <v>6313</v>
      </c>
      <c r="BD239" s="163" t="s">
        <v>6209</v>
      </c>
      <c r="BE239" s="163" t="s">
        <v>6209</v>
      </c>
      <c r="BF239" s="163">
        <v>2</v>
      </c>
      <c r="BG239" s="163">
        <v>4</v>
      </c>
      <c r="BH239" s="202" t="s">
        <v>5792</v>
      </c>
      <c r="BI239" s="203" t="s">
        <v>5792</v>
      </c>
      <c r="BJ239" s="203" t="s">
        <v>5792</v>
      </c>
      <c r="BK239" s="203" t="s">
        <v>5792</v>
      </c>
      <c r="BL239" s="203" t="s">
        <v>5792</v>
      </c>
      <c r="BM239" s="203" t="s">
        <v>5792</v>
      </c>
      <c r="BN239" s="203" t="s">
        <v>5792</v>
      </c>
      <c r="BO239" s="203" t="s">
        <v>5792</v>
      </c>
      <c r="BP239" s="202" t="s">
        <v>5792</v>
      </c>
      <c r="BQ239" s="203" t="s">
        <v>5792</v>
      </c>
      <c r="BR239" s="203" t="s">
        <v>5792</v>
      </c>
      <c r="BS239" s="203" t="s">
        <v>5792</v>
      </c>
      <c r="BT239" s="203" t="s">
        <v>5792</v>
      </c>
      <c r="BU239" s="203" t="s">
        <v>5792</v>
      </c>
      <c r="BV239" s="218" t="s">
        <v>5792</v>
      </c>
      <c r="BW239" s="203" t="s">
        <v>5792</v>
      </c>
      <c r="BX239" s="203" t="s">
        <v>5792</v>
      </c>
      <c r="BY239" s="203" t="s">
        <v>5792</v>
      </c>
      <c r="BZ239" s="203" t="s">
        <v>5792</v>
      </c>
      <c r="CA239" s="203" t="s">
        <v>5792</v>
      </c>
      <c r="CB239" s="218" t="s">
        <v>5792</v>
      </c>
      <c r="CC239" s="60" t="s">
        <v>5665</v>
      </c>
      <c r="CD239" s="60">
        <v>275</v>
      </c>
      <c r="CE239" s="33">
        <f>CE235</f>
        <v>283.14666666666665</v>
      </c>
      <c r="CF239" s="60">
        <v>430</v>
      </c>
      <c r="CG239" s="33">
        <f>CG235</f>
        <v>468.12666666666672</v>
      </c>
      <c r="CH239" s="67">
        <v>200000</v>
      </c>
      <c r="CI239" s="60" t="s">
        <v>5665</v>
      </c>
      <c r="CJ239" s="60">
        <v>275</v>
      </c>
      <c r="CK239" s="33">
        <f>CK238</f>
        <v>292.12666666666667</v>
      </c>
      <c r="CL239" s="60">
        <v>430</v>
      </c>
      <c r="CM239" s="33">
        <f>CM238</f>
        <v>414.62333333333328</v>
      </c>
      <c r="CN239" s="67">
        <v>200000</v>
      </c>
      <c r="CO239" s="60" t="s">
        <v>5665</v>
      </c>
      <c r="CP239" s="60">
        <v>275</v>
      </c>
      <c r="CQ239" s="33">
        <f>CQ238</f>
        <v>321.93</v>
      </c>
      <c r="CR239" s="60">
        <v>430</v>
      </c>
      <c r="CS239" s="33">
        <f>CS238</f>
        <v>458.51</v>
      </c>
      <c r="CT239" s="61">
        <v>200000</v>
      </c>
      <c r="CU239" s="207" t="s">
        <v>5792</v>
      </c>
      <c r="CV239" s="208" t="s">
        <v>5792</v>
      </c>
      <c r="CW239" s="208" t="s">
        <v>5792</v>
      </c>
      <c r="CX239" s="209" t="s">
        <v>5792</v>
      </c>
      <c r="CY239" s="207" t="s">
        <v>5792</v>
      </c>
      <c r="CZ239" s="208" t="s">
        <v>5792</v>
      </c>
      <c r="DA239" s="209" t="s">
        <v>5792</v>
      </c>
      <c r="DB239" s="283" t="s">
        <v>5792</v>
      </c>
      <c r="DC239" s="163">
        <v>8.8000000000000007</v>
      </c>
      <c r="DD239" s="163">
        <v>640</v>
      </c>
      <c r="DE239" s="60">
        <v>694</v>
      </c>
      <c r="DF239" s="60">
        <v>800</v>
      </c>
      <c r="DG239" s="60">
        <v>849</v>
      </c>
      <c r="DH239" s="61">
        <v>200000</v>
      </c>
      <c r="DI239" s="41" t="s">
        <v>4759</v>
      </c>
      <c r="DJ239" s="306" t="s">
        <v>4435</v>
      </c>
      <c r="DK239" s="297" t="s">
        <v>4566</v>
      </c>
    </row>
    <row r="240" spans="1:115">
      <c r="A240" s="306">
        <v>235</v>
      </c>
      <c r="B240" s="326"/>
      <c r="C240" s="326"/>
      <c r="D240" s="343"/>
      <c r="E240" s="343"/>
      <c r="F240" s="326"/>
      <c r="G240" s="337"/>
      <c r="H240" s="337"/>
      <c r="I240" s="337"/>
      <c r="J240" s="314" t="s">
        <v>5945</v>
      </c>
      <c r="K240" s="306" t="s">
        <v>6318</v>
      </c>
      <c r="L240" s="163" t="s">
        <v>6061</v>
      </c>
      <c r="M240" s="306" t="s">
        <v>4509</v>
      </c>
      <c r="N240" s="163" t="s">
        <v>4703</v>
      </c>
      <c r="O240" s="18" t="s">
        <v>4507</v>
      </c>
      <c r="P240" s="163" t="s">
        <v>6312</v>
      </c>
      <c r="Q240" s="163" t="s">
        <v>4420</v>
      </c>
      <c r="R240" s="163" t="s">
        <v>4420</v>
      </c>
      <c r="S240" s="163" t="s">
        <v>5792</v>
      </c>
      <c r="T240" s="163" t="s">
        <v>4420</v>
      </c>
      <c r="U240" s="163" t="s">
        <v>5792</v>
      </c>
      <c r="V240" s="163" t="s">
        <v>4559</v>
      </c>
      <c r="W240" s="18">
        <v>8</v>
      </c>
      <c r="X240" s="230">
        <v>0</v>
      </c>
      <c r="Y240" s="18">
        <v>0</v>
      </c>
      <c r="Z240" s="306" t="s">
        <v>4345</v>
      </c>
      <c r="AA240" s="21">
        <f>INDEX('[2]Cross-Section Database'!$C$2:$V$2928,MATCH(Z240,'[2]Cross-Section Database'!$B$2:$B$2928,0),3)</f>
        <v>222.2</v>
      </c>
      <c r="AB240" s="21">
        <f>INDEX('[2]Cross-Section Database'!$C$2:$V$2928,MATCH(Z240,'[2]Cross-Section Database'!$B$2:$B$2928,0),4)</f>
        <v>209.1</v>
      </c>
      <c r="AC240" s="21">
        <f>INDEX('[2]Cross-Section Database'!$C$2:$V$2928,MATCH(Z240,'[2]Cross-Section Database'!$B$2:$B$2928,0),6)</f>
        <v>20.5</v>
      </c>
      <c r="AD240" s="21">
        <f>INDEX('[2]Cross-Section Database'!$C$2:$V$2928,MATCH(Z240,'[2]Cross-Section Database'!$B$2:$B$2928,0),5)</f>
        <v>12.7</v>
      </c>
      <c r="AE240" s="21">
        <v>1000</v>
      </c>
      <c r="AF240" s="306" t="s">
        <v>6291</v>
      </c>
      <c r="AG240" s="21">
        <f>INDEX('[2]Cross-Section Database'!$C$2:$V$2928,MATCH(AF240,'[2]Cross-Section Database'!$B$2:$B$2928,0),3)</f>
        <v>256</v>
      </c>
      <c r="AH240" s="21">
        <f>INDEX('[2]Cross-Section Database'!$C$2:$V$2928,MATCH(AF240,'[2]Cross-Section Database'!$B$2:$B$2928,0),4)</f>
        <v>146.4</v>
      </c>
      <c r="AI240" s="21">
        <f>INDEX('[2]Cross-Section Database'!$C$2:$V$2928,MATCH(AF240,'[2]Cross-Section Database'!$B$2:$B$2928,0),6)</f>
        <v>10.9</v>
      </c>
      <c r="AJ240" s="21">
        <f>INDEX('[2]Cross-Section Database'!$C$2:$V$2928,MATCH(AF240,'[2]Cross-Section Database'!$B$2:$B$2928,0),5)</f>
        <v>6.3</v>
      </c>
      <c r="AK240" s="21">
        <v>1000</v>
      </c>
      <c r="AL240" s="21">
        <f>INDEX('[2]Cross-Section Database'!$C$2:$V$3928,MATCH(AF240,'[2]Cross-Section Database'!$B$2:$B$3928,0),11)</f>
        <v>55370000</v>
      </c>
      <c r="AM240" s="24">
        <f>INDEX('[2]Cross-Section Database'!$C$2:$V$3928,MATCH(AF240,'[2]Cross-Section Database'!$B$2:$B$3928,0),12)</f>
        <v>483200</v>
      </c>
      <c r="AN240" s="21">
        <v>20</v>
      </c>
      <c r="AO240" s="21">
        <v>200</v>
      </c>
      <c r="AP240" s="21">
        <v>275</v>
      </c>
      <c r="AQ240" s="21">
        <f t="shared" si="121"/>
        <v>9.5</v>
      </c>
      <c r="AR240" s="21">
        <f t="shared" si="122"/>
        <v>9.5</v>
      </c>
      <c r="AS240" s="306" t="s">
        <v>5807</v>
      </c>
      <c r="AT240" s="163" t="s">
        <v>4716</v>
      </c>
      <c r="AU240" s="21">
        <f t="shared" si="133"/>
        <v>12.5</v>
      </c>
      <c r="AV240" s="163">
        <v>16</v>
      </c>
      <c r="AW240" s="163">
        <f t="shared" si="124"/>
        <v>157</v>
      </c>
      <c r="AX240" s="21">
        <f t="shared" si="132"/>
        <v>45.05</v>
      </c>
      <c r="AY240" s="21">
        <f t="shared" si="127"/>
        <v>45.05</v>
      </c>
      <c r="AZ240" s="21">
        <v>0</v>
      </c>
      <c r="BA240" s="21">
        <v>90</v>
      </c>
      <c r="BB240" s="21">
        <f t="shared" si="125"/>
        <v>184.89999999999998</v>
      </c>
      <c r="BC240" s="15" t="s">
        <v>6313</v>
      </c>
      <c r="BD240" s="163" t="s">
        <v>6209</v>
      </c>
      <c r="BE240" s="163" t="s">
        <v>6209</v>
      </c>
      <c r="BF240" s="163">
        <v>2</v>
      </c>
      <c r="BG240" s="163">
        <v>4</v>
      </c>
      <c r="BH240" s="202" t="s">
        <v>5792</v>
      </c>
      <c r="BI240" s="203" t="s">
        <v>5792</v>
      </c>
      <c r="BJ240" s="203" t="s">
        <v>5792</v>
      </c>
      <c r="BK240" s="203" t="s">
        <v>5792</v>
      </c>
      <c r="BL240" s="203" t="s">
        <v>5792</v>
      </c>
      <c r="BM240" s="203" t="s">
        <v>5792</v>
      </c>
      <c r="BN240" s="203" t="s">
        <v>5792</v>
      </c>
      <c r="BO240" s="203" t="s">
        <v>5792</v>
      </c>
      <c r="BP240" s="202" t="s">
        <v>5792</v>
      </c>
      <c r="BQ240" s="203" t="s">
        <v>5792</v>
      </c>
      <c r="BR240" s="203" t="s">
        <v>5792</v>
      </c>
      <c r="BS240" s="203" t="s">
        <v>5792</v>
      </c>
      <c r="BT240" s="203" t="s">
        <v>5792</v>
      </c>
      <c r="BU240" s="203" t="s">
        <v>5792</v>
      </c>
      <c r="BV240" s="218" t="s">
        <v>5792</v>
      </c>
      <c r="BW240" s="203" t="s">
        <v>5792</v>
      </c>
      <c r="BX240" s="203" t="s">
        <v>5792</v>
      </c>
      <c r="BY240" s="203" t="s">
        <v>5792</v>
      </c>
      <c r="BZ240" s="203" t="s">
        <v>5792</v>
      </c>
      <c r="CA240" s="203" t="s">
        <v>5792</v>
      </c>
      <c r="CB240" s="218" t="s">
        <v>5792</v>
      </c>
      <c r="CC240" s="60" t="s">
        <v>5665</v>
      </c>
      <c r="CD240" s="60">
        <v>275</v>
      </c>
      <c r="CE240" s="33">
        <f>CE235</f>
        <v>283.14666666666665</v>
      </c>
      <c r="CF240" s="60">
        <v>430</v>
      </c>
      <c r="CG240" s="33">
        <f>CG235</f>
        <v>468.12666666666672</v>
      </c>
      <c r="CH240" s="67">
        <v>200000</v>
      </c>
      <c r="CI240" s="60" t="s">
        <v>5665</v>
      </c>
      <c r="CJ240" s="60">
        <v>275</v>
      </c>
      <c r="CK240" s="33">
        <f>CK238</f>
        <v>292.12666666666667</v>
      </c>
      <c r="CL240" s="60">
        <v>430</v>
      </c>
      <c r="CM240" s="33">
        <f>CM238</f>
        <v>414.62333333333328</v>
      </c>
      <c r="CN240" s="67">
        <v>200000</v>
      </c>
      <c r="CO240" s="60" t="s">
        <v>5665</v>
      </c>
      <c r="CP240" s="60">
        <v>275</v>
      </c>
      <c r="CQ240" s="33">
        <f>CQ238</f>
        <v>321.93</v>
      </c>
      <c r="CR240" s="60">
        <v>430</v>
      </c>
      <c r="CS240" s="33">
        <f>CS238</f>
        <v>458.51</v>
      </c>
      <c r="CT240" s="61">
        <v>200000</v>
      </c>
      <c r="CU240" s="207" t="s">
        <v>5792</v>
      </c>
      <c r="CV240" s="208" t="s">
        <v>5792</v>
      </c>
      <c r="CW240" s="208" t="s">
        <v>5792</v>
      </c>
      <c r="CX240" s="209" t="s">
        <v>5792</v>
      </c>
      <c r="CY240" s="207" t="s">
        <v>5792</v>
      </c>
      <c r="CZ240" s="208" t="s">
        <v>5792</v>
      </c>
      <c r="DA240" s="209" t="s">
        <v>5792</v>
      </c>
      <c r="DB240" s="283" t="s">
        <v>5792</v>
      </c>
      <c r="DC240" s="163">
        <v>8.8000000000000007</v>
      </c>
      <c r="DD240" s="163">
        <v>640</v>
      </c>
      <c r="DE240" s="60">
        <v>694</v>
      </c>
      <c r="DF240" s="60">
        <v>800</v>
      </c>
      <c r="DG240" s="60">
        <v>849</v>
      </c>
      <c r="DH240" s="61">
        <v>200000</v>
      </c>
      <c r="DI240" s="41" t="s">
        <v>15</v>
      </c>
      <c r="DJ240" s="306" t="s">
        <v>4435</v>
      </c>
      <c r="DK240" s="297" t="s">
        <v>4566</v>
      </c>
    </row>
    <row r="241" spans="1:115">
      <c r="A241" s="306">
        <v>236</v>
      </c>
      <c r="B241" s="326"/>
      <c r="C241" s="326"/>
      <c r="D241" s="343"/>
      <c r="E241" s="343"/>
      <c r="F241" s="326"/>
      <c r="G241" s="337"/>
      <c r="H241" s="337"/>
      <c r="I241" s="337"/>
      <c r="J241" s="41" t="s">
        <v>5946</v>
      </c>
      <c r="K241" s="306" t="s">
        <v>6314</v>
      </c>
      <c r="L241" s="163" t="s">
        <v>5792</v>
      </c>
      <c r="M241" s="306" t="s">
        <v>4509</v>
      </c>
      <c r="N241" s="163" t="s">
        <v>4703</v>
      </c>
      <c r="O241" s="18" t="s">
        <v>4507</v>
      </c>
      <c r="P241" s="163" t="s">
        <v>6312</v>
      </c>
      <c r="Q241" s="163" t="s">
        <v>4420</v>
      </c>
      <c r="R241" s="163" t="s">
        <v>4420</v>
      </c>
      <c r="S241" s="163" t="s">
        <v>5792</v>
      </c>
      <c r="T241" s="163" t="s">
        <v>4420</v>
      </c>
      <c r="U241" s="163" t="s">
        <v>5792</v>
      </c>
      <c r="V241" s="163" t="s">
        <v>4559</v>
      </c>
      <c r="W241" s="18">
        <v>8</v>
      </c>
      <c r="X241" s="230">
        <v>0</v>
      </c>
      <c r="Y241" s="18">
        <v>0</v>
      </c>
      <c r="Z241" s="306" t="s">
        <v>6325</v>
      </c>
      <c r="AA241" s="21">
        <f>INDEX('[2]Cross-Section Database'!$C$2:$V$2928,MATCH(Z241,'[2]Cross-Section Database'!$B$2:$B$2928,0),3)</f>
        <v>222.2</v>
      </c>
      <c r="AB241" s="21">
        <f>INDEX('[2]Cross-Section Database'!$C$2:$V$2928,MATCH(Z241,'[2]Cross-Section Database'!$B$2:$B$2928,0),4)</f>
        <v>209.1</v>
      </c>
      <c r="AC241" s="21">
        <f>INDEX('[2]Cross-Section Database'!$C$2:$V$2928,MATCH(Z241,'[2]Cross-Section Database'!$B$2:$B$2928,0),6)</f>
        <v>20.5</v>
      </c>
      <c r="AD241" s="21">
        <f>INDEX('[2]Cross-Section Database'!$C$2:$V$2928,MATCH(Z241,'[2]Cross-Section Database'!$B$2:$B$2928,0),5)</f>
        <v>12.7</v>
      </c>
      <c r="AE241" s="21">
        <v>1000</v>
      </c>
      <c r="AF241" s="306" t="s">
        <v>6291</v>
      </c>
      <c r="AG241" s="21">
        <f>INDEX('[2]Cross-Section Database'!$C$2:$V$2928,MATCH(AF241,'[2]Cross-Section Database'!$B$2:$B$2928,0),3)</f>
        <v>256</v>
      </c>
      <c r="AH241" s="21">
        <f>INDEX('[2]Cross-Section Database'!$C$2:$V$2928,MATCH(AF241,'[2]Cross-Section Database'!$B$2:$B$2928,0),4)</f>
        <v>146.4</v>
      </c>
      <c r="AI241" s="21">
        <f>INDEX('[2]Cross-Section Database'!$C$2:$V$2928,MATCH(AF241,'[2]Cross-Section Database'!$B$2:$B$2928,0),6)</f>
        <v>10.9</v>
      </c>
      <c r="AJ241" s="21">
        <f>INDEX('[2]Cross-Section Database'!$C$2:$V$2928,MATCH(AF241,'[2]Cross-Section Database'!$B$2:$B$2928,0),5)</f>
        <v>6.3</v>
      </c>
      <c r="AK241" s="21">
        <v>1000</v>
      </c>
      <c r="AL241" s="21">
        <f>INDEX('[2]Cross-Section Database'!$C$2:$V$3928,MATCH(AF241,'[2]Cross-Section Database'!$B$2:$B$3928,0),11)</f>
        <v>55370000</v>
      </c>
      <c r="AM241" s="24">
        <f>INDEX('[2]Cross-Section Database'!$C$2:$V$3928,MATCH(AF241,'[2]Cross-Section Database'!$B$2:$B$3928,0),12)</f>
        <v>483200</v>
      </c>
      <c r="AN241" s="21">
        <v>10</v>
      </c>
      <c r="AO241" s="21">
        <v>200</v>
      </c>
      <c r="AP241" s="21">
        <v>275</v>
      </c>
      <c r="AQ241" s="21">
        <f t="shared" si="121"/>
        <v>9.5</v>
      </c>
      <c r="AR241" s="21">
        <f t="shared" si="122"/>
        <v>9.5</v>
      </c>
      <c r="AS241" s="306" t="s">
        <v>5807</v>
      </c>
      <c r="AT241" s="163" t="s">
        <v>4716</v>
      </c>
      <c r="AU241" s="21">
        <f t="shared" si="133"/>
        <v>10</v>
      </c>
      <c r="AV241" s="163">
        <v>20</v>
      </c>
      <c r="AW241" s="163">
        <f t="shared" si="124"/>
        <v>245</v>
      </c>
      <c r="AX241" s="21">
        <f t="shared" si="132"/>
        <v>45.05</v>
      </c>
      <c r="AY241" s="21">
        <f t="shared" si="127"/>
        <v>45.05</v>
      </c>
      <c r="AZ241" s="21">
        <v>60</v>
      </c>
      <c r="BA241" s="21">
        <v>90</v>
      </c>
      <c r="BB241" s="21">
        <f t="shared" si="125"/>
        <v>124.89999999999998</v>
      </c>
      <c r="BC241" s="15" t="s">
        <v>6313</v>
      </c>
      <c r="BD241" s="163" t="s">
        <v>6209</v>
      </c>
      <c r="BE241" s="163" t="s">
        <v>6209</v>
      </c>
      <c r="BF241" s="163">
        <v>2</v>
      </c>
      <c r="BG241" s="163">
        <v>4</v>
      </c>
      <c r="BH241" s="202" t="s">
        <v>5792</v>
      </c>
      <c r="BI241" s="203" t="s">
        <v>5792</v>
      </c>
      <c r="BJ241" s="203" t="s">
        <v>5792</v>
      </c>
      <c r="BK241" s="203" t="s">
        <v>5792</v>
      </c>
      <c r="BL241" s="203" t="s">
        <v>5792</v>
      </c>
      <c r="BM241" s="203" t="s">
        <v>5792</v>
      </c>
      <c r="BN241" s="203" t="s">
        <v>5792</v>
      </c>
      <c r="BO241" s="203" t="s">
        <v>5792</v>
      </c>
      <c r="BP241" s="202" t="s">
        <v>5792</v>
      </c>
      <c r="BQ241" s="203" t="s">
        <v>5792</v>
      </c>
      <c r="BR241" s="203" t="s">
        <v>5792</v>
      </c>
      <c r="BS241" s="203" t="s">
        <v>5792</v>
      </c>
      <c r="BT241" s="203" t="s">
        <v>5792</v>
      </c>
      <c r="BU241" s="203" t="s">
        <v>5792</v>
      </c>
      <c r="BV241" s="218" t="s">
        <v>5792</v>
      </c>
      <c r="BW241" s="203" t="s">
        <v>5792</v>
      </c>
      <c r="BX241" s="203" t="s">
        <v>5792</v>
      </c>
      <c r="BY241" s="203" t="s">
        <v>5792</v>
      </c>
      <c r="BZ241" s="203" t="s">
        <v>5792</v>
      </c>
      <c r="CA241" s="203" t="s">
        <v>5792</v>
      </c>
      <c r="CB241" s="218" t="s">
        <v>5792</v>
      </c>
      <c r="CC241" s="60" t="s">
        <v>5665</v>
      </c>
      <c r="CD241" s="60">
        <v>275</v>
      </c>
      <c r="CE241" s="47">
        <f>(265.39+270.37)/2</f>
        <v>267.88</v>
      </c>
      <c r="CF241" s="60">
        <v>430</v>
      </c>
      <c r="CG241" s="47">
        <f>(470.74+461.11)/2</f>
        <v>465.92500000000001</v>
      </c>
      <c r="CH241" s="141">
        <f>(210869.3+166656.1)/2</f>
        <v>188762.7</v>
      </c>
      <c r="CI241" s="60" t="s">
        <v>5665</v>
      </c>
      <c r="CJ241" s="60">
        <v>275</v>
      </c>
      <c r="CK241" s="47">
        <f>(241.1+330.56)/2</f>
        <v>285.83</v>
      </c>
      <c r="CL241" s="60">
        <v>430</v>
      </c>
      <c r="CM241" s="47">
        <f>(348.52+429.25)/2</f>
        <v>388.88499999999999</v>
      </c>
      <c r="CN241" s="69">
        <v>201698.5</v>
      </c>
      <c r="CO241" s="60" t="s">
        <v>5665</v>
      </c>
      <c r="CP241" s="60">
        <v>275</v>
      </c>
      <c r="CQ241" s="47">
        <f>(317.16+310.78)/2</f>
        <v>313.97000000000003</v>
      </c>
      <c r="CR241" s="47">
        <v>430</v>
      </c>
      <c r="CS241" s="47">
        <f>(487.18+477.8)/2</f>
        <v>482.49</v>
      </c>
      <c r="CT241" s="97">
        <f>(194473.9+196650.4)/2</f>
        <v>195562.15</v>
      </c>
      <c r="CU241" s="207" t="s">
        <v>5792</v>
      </c>
      <c r="CV241" s="208" t="s">
        <v>5792</v>
      </c>
      <c r="CW241" s="208" t="s">
        <v>5792</v>
      </c>
      <c r="CX241" s="209" t="s">
        <v>5792</v>
      </c>
      <c r="CY241" s="207" t="s">
        <v>5792</v>
      </c>
      <c r="CZ241" s="208" t="s">
        <v>5792</v>
      </c>
      <c r="DA241" s="209" t="s">
        <v>5792</v>
      </c>
      <c r="DB241" s="283" t="s">
        <v>5792</v>
      </c>
      <c r="DC241" s="163">
        <v>8.8000000000000007</v>
      </c>
      <c r="DD241" s="163">
        <v>640</v>
      </c>
      <c r="DE241" s="60">
        <v>604</v>
      </c>
      <c r="DF241" s="60">
        <v>800</v>
      </c>
      <c r="DG241" s="60">
        <v>749</v>
      </c>
      <c r="DH241" s="61">
        <v>200000</v>
      </c>
      <c r="DI241" s="41" t="s">
        <v>5843</v>
      </c>
      <c r="DJ241" s="306" t="s">
        <v>4435</v>
      </c>
      <c r="DK241" s="297" t="s">
        <v>4566</v>
      </c>
    </row>
    <row r="242" spans="1:115">
      <c r="A242" s="306">
        <v>237</v>
      </c>
      <c r="B242" s="326"/>
      <c r="C242" s="326"/>
      <c r="D242" s="343"/>
      <c r="E242" s="343"/>
      <c r="F242" s="326"/>
      <c r="G242" s="337"/>
      <c r="H242" s="337"/>
      <c r="I242" s="337"/>
      <c r="J242" s="314" t="s">
        <v>5947</v>
      </c>
      <c r="K242" s="306" t="s">
        <v>6318</v>
      </c>
      <c r="L242" s="163" t="s">
        <v>6061</v>
      </c>
      <c r="M242" s="306" t="s">
        <v>4509</v>
      </c>
      <c r="N242" s="163" t="s">
        <v>4703</v>
      </c>
      <c r="O242" s="18" t="s">
        <v>4507</v>
      </c>
      <c r="P242" s="163" t="s">
        <v>6312</v>
      </c>
      <c r="Q242" s="163" t="s">
        <v>4420</v>
      </c>
      <c r="R242" s="163" t="s">
        <v>4420</v>
      </c>
      <c r="S242" s="163" t="s">
        <v>5792</v>
      </c>
      <c r="T242" s="163" t="s">
        <v>4420</v>
      </c>
      <c r="U242" s="163" t="s">
        <v>5792</v>
      </c>
      <c r="V242" s="163" t="s">
        <v>4559</v>
      </c>
      <c r="W242" s="18">
        <v>8</v>
      </c>
      <c r="X242" s="230">
        <v>0</v>
      </c>
      <c r="Y242" s="18">
        <v>0</v>
      </c>
      <c r="Z242" s="306" t="s">
        <v>6325</v>
      </c>
      <c r="AA242" s="21">
        <f>INDEX('[2]Cross-Section Database'!$C$2:$V$2928,MATCH(Z242,'[2]Cross-Section Database'!$B$2:$B$2928,0),3)</f>
        <v>222.2</v>
      </c>
      <c r="AB242" s="21">
        <f>INDEX('[2]Cross-Section Database'!$C$2:$V$2928,MATCH(Z242,'[2]Cross-Section Database'!$B$2:$B$2928,0),4)</f>
        <v>209.1</v>
      </c>
      <c r="AC242" s="21">
        <f>INDEX('[2]Cross-Section Database'!$C$2:$V$2928,MATCH(Z242,'[2]Cross-Section Database'!$B$2:$B$2928,0),6)</f>
        <v>20.5</v>
      </c>
      <c r="AD242" s="21">
        <f>INDEX('[2]Cross-Section Database'!$C$2:$V$2928,MATCH(Z242,'[2]Cross-Section Database'!$B$2:$B$2928,0),5)</f>
        <v>12.7</v>
      </c>
      <c r="AE242" s="21">
        <v>1000</v>
      </c>
      <c r="AF242" s="306" t="s">
        <v>6291</v>
      </c>
      <c r="AG242" s="21">
        <f>INDEX('[2]Cross-Section Database'!$C$2:$V$2928,MATCH(AF242,'[2]Cross-Section Database'!$B$2:$B$2928,0),3)</f>
        <v>256</v>
      </c>
      <c r="AH242" s="21">
        <f>INDEX('[2]Cross-Section Database'!$C$2:$V$2928,MATCH(AF242,'[2]Cross-Section Database'!$B$2:$B$2928,0),4)</f>
        <v>146.4</v>
      </c>
      <c r="AI242" s="21">
        <f>INDEX('[2]Cross-Section Database'!$C$2:$V$2928,MATCH(AF242,'[2]Cross-Section Database'!$B$2:$B$2928,0),6)</f>
        <v>10.9</v>
      </c>
      <c r="AJ242" s="21">
        <f>INDEX('[2]Cross-Section Database'!$C$2:$V$2928,MATCH(AF242,'[2]Cross-Section Database'!$B$2:$B$2928,0),5)</f>
        <v>6.3</v>
      </c>
      <c r="AK242" s="21">
        <v>1000</v>
      </c>
      <c r="AL242" s="21">
        <f>INDEX('[2]Cross-Section Database'!$C$2:$V$3928,MATCH(AF242,'[2]Cross-Section Database'!$B$2:$B$3928,0),11)</f>
        <v>55370000</v>
      </c>
      <c r="AM242" s="24">
        <f>INDEX('[2]Cross-Section Database'!$C$2:$V$3928,MATCH(AF242,'[2]Cross-Section Database'!$B$2:$B$3928,0),12)</f>
        <v>483200</v>
      </c>
      <c r="AN242" s="21">
        <v>10</v>
      </c>
      <c r="AO242" s="21">
        <v>200</v>
      </c>
      <c r="AP242" s="21">
        <v>275</v>
      </c>
      <c r="AQ242" s="21">
        <f t="shared" si="121"/>
        <v>9.5</v>
      </c>
      <c r="AR242" s="21">
        <f t="shared" si="122"/>
        <v>9.5</v>
      </c>
      <c r="AS242" s="306" t="s">
        <v>5807</v>
      </c>
      <c r="AT242" s="163" t="s">
        <v>4716</v>
      </c>
      <c r="AU242" s="21">
        <f t="shared" si="133"/>
        <v>10</v>
      </c>
      <c r="AV242" s="163">
        <v>20</v>
      </c>
      <c r="AW242" s="163">
        <f t="shared" si="124"/>
        <v>245</v>
      </c>
      <c r="AX242" s="21">
        <f t="shared" si="132"/>
        <v>45.05</v>
      </c>
      <c r="AY242" s="21">
        <f t="shared" si="127"/>
        <v>45.05</v>
      </c>
      <c r="AZ242" s="21">
        <v>60</v>
      </c>
      <c r="BA242" s="21">
        <v>90</v>
      </c>
      <c r="BB242" s="21">
        <f t="shared" si="125"/>
        <v>124.89999999999998</v>
      </c>
      <c r="BC242" s="15" t="s">
        <v>6313</v>
      </c>
      <c r="BD242" s="163" t="s">
        <v>6209</v>
      </c>
      <c r="BE242" s="163" t="s">
        <v>6209</v>
      </c>
      <c r="BF242" s="163">
        <v>2</v>
      </c>
      <c r="BG242" s="163">
        <v>4</v>
      </c>
      <c r="BH242" s="202" t="s">
        <v>5792</v>
      </c>
      <c r="BI242" s="203" t="s">
        <v>5792</v>
      </c>
      <c r="BJ242" s="203" t="s">
        <v>5792</v>
      </c>
      <c r="BK242" s="203" t="s">
        <v>5792</v>
      </c>
      <c r="BL242" s="203" t="s">
        <v>5792</v>
      </c>
      <c r="BM242" s="203" t="s">
        <v>5792</v>
      </c>
      <c r="BN242" s="203" t="s">
        <v>5792</v>
      </c>
      <c r="BO242" s="203" t="s">
        <v>5792</v>
      </c>
      <c r="BP242" s="202" t="s">
        <v>5792</v>
      </c>
      <c r="BQ242" s="203" t="s">
        <v>5792</v>
      </c>
      <c r="BR242" s="203" t="s">
        <v>5792</v>
      </c>
      <c r="BS242" s="203" t="s">
        <v>5792</v>
      </c>
      <c r="BT242" s="203" t="s">
        <v>5792</v>
      </c>
      <c r="BU242" s="203" t="s">
        <v>5792</v>
      </c>
      <c r="BV242" s="218" t="s">
        <v>5792</v>
      </c>
      <c r="BW242" s="203" t="s">
        <v>5792</v>
      </c>
      <c r="BX242" s="203" t="s">
        <v>5792</v>
      </c>
      <c r="BY242" s="203" t="s">
        <v>5792</v>
      </c>
      <c r="BZ242" s="203" t="s">
        <v>5792</v>
      </c>
      <c r="CA242" s="203" t="s">
        <v>5792</v>
      </c>
      <c r="CB242" s="218" t="s">
        <v>5792</v>
      </c>
      <c r="CC242" s="60" t="s">
        <v>5665</v>
      </c>
      <c r="CD242" s="60">
        <v>275</v>
      </c>
      <c r="CE242" s="33">
        <f>CE241</f>
        <v>267.88</v>
      </c>
      <c r="CF242" s="60">
        <v>430</v>
      </c>
      <c r="CG242" s="33">
        <f>CG241</f>
        <v>465.92500000000001</v>
      </c>
      <c r="CH242" s="67">
        <f>CH241</f>
        <v>188762.7</v>
      </c>
      <c r="CI242" s="60" t="s">
        <v>5665</v>
      </c>
      <c r="CJ242" s="60">
        <v>275</v>
      </c>
      <c r="CK242" s="33">
        <f>CK241</f>
        <v>285.83</v>
      </c>
      <c r="CL242" s="60">
        <v>430</v>
      </c>
      <c r="CM242" s="33">
        <f>CM241</f>
        <v>388.88499999999999</v>
      </c>
      <c r="CN242" s="67">
        <f>CN241</f>
        <v>201698.5</v>
      </c>
      <c r="CO242" s="60" t="s">
        <v>5665</v>
      </c>
      <c r="CP242" s="60">
        <v>275</v>
      </c>
      <c r="CQ242" s="33">
        <f>(317.16+310.78)/2</f>
        <v>313.97000000000003</v>
      </c>
      <c r="CR242" s="60">
        <v>430</v>
      </c>
      <c r="CS242" s="33">
        <f>(487.18+477.8)/2</f>
        <v>482.49</v>
      </c>
      <c r="CT242" s="61">
        <f>(194473.9+196650.4)/2</f>
        <v>195562.15</v>
      </c>
      <c r="CU242" s="207" t="s">
        <v>5792</v>
      </c>
      <c r="CV242" s="208" t="s">
        <v>5792</v>
      </c>
      <c r="CW242" s="208" t="s">
        <v>5792</v>
      </c>
      <c r="CX242" s="209" t="s">
        <v>5792</v>
      </c>
      <c r="CY242" s="207" t="s">
        <v>5792</v>
      </c>
      <c r="CZ242" s="208" t="s">
        <v>5792</v>
      </c>
      <c r="DA242" s="209" t="s">
        <v>5792</v>
      </c>
      <c r="DB242" s="283" t="s">
        <v>5792</v>
      </c>
      <c r="DC242" s="163">
        <v>8.8000000000000007</v>
      </c>
      <c r="DD242" s="163">
        <v>640</v>
      </c>
      <c r="DE242" s="60">
        <v>604</v>
      </c>
      <c r="DF242" s="60">
        <v>800</v>
      </c>
      <c r="DG242" s="60">
        <v>749</v>
      </c>
      <c r="DH242" s="61">
        <v>200000</v>
      </c>
      <c r="DI242" s="41" t="s">
        <v>5836</v>
      </c>
      <c r="DJ242" s="306" t="s">
        <v>4435</v>
      </c>
      <c r="DK242" s="297" t="s">
        <v>4566</v>
      </c>
    </row>
    <row r="243" spans="1:115">
      <c r="A243" s="306">
        <v>238</v>
      </c>
      <c r="B243" s="326"/>
      <c r="C243" s="326"/>
      <c r="D243" s="343"/>
      <c r="E243" s="343"/>
      <c r="F243" s="326"/>
      <c r="G243" s="337"/>
      <c r="H243" s="337"/>
      <c r="I243" s="337"/>
      <c r="J243" s="314" t="s">
        <v>5948</v>
      </c>
      <c r="K243" s="306" t="s">
        <v>6318</v>
      </c>
      <c r="L243" s="163" t="s">
        <v>6061</v>
      </c>
      <c r="M243" s="306" t="s">
        <v>4509</v>
      </c>
      <c r="N243" s="163" t="s">
        <v>4703</v>
      </c>
      <c r="O243" s="18" t="s">
        <v>4507</v>
      </c>
      <c r="P243" s="163" t="s">
        <v>6312</v>
      </c>
      <c r="Q243" s="163" t="s">
        <v>4420</v>
      </c>
      <c r="R243" s="163" t="s">
        <v>4420</v>
      </c>
      <c r="S243" s="163" t="s">
        <v>5792</v>
      </c>
      <c r="T243" s="163" t="s">
        <v>4420</v>
      </c>
      <c r="U243" s="163" t="s">
        <v>5792</v>
      </c>
      <c r="V243" s="60" t="s">
        <v>4559</v>
      </c>
      <c r="W243" s="142">
        <v>8</v>
      </c>
      <c r="X243" s="230">
        <v>0</v>
      </c>
      <c r="Y243" s="18">
        <v>0</v>
      </c>
      <c r="Z243" s="306" t="s">
        <v>4345</v>
      </c>
      <c r="AA243" s="21">
        <f>INDEX('[2]Cross-Section Database'!$C$2:$V$2928,MATCH(Z243,'[2]Cross-Section Database'!$B$2:$B$2928,0),3)</f>
        <v>222.2</v>
      </c>
      <c r="AB243" s="21">
        <f>INDEX('[2]Cross-Section Database'!$C$2:$V$2928,MATCH(Z243,'[2]Cross-Section Database'!$B$2:$B$2928,0),4)</f>
        <v>209.1</v>
      </c>
      <c r="AC243" s="21">
        <f>INDEX('[2]Cross-Section Database'!$C$2:$V$2928,MATCH(Z243,'[2]Cross-Section Database'!$B$2:$B$2928,0),6)</f>
        <v>20.5</v>
      </c>
      <c r="AD243" s="21">
        <f>INDEX('[2]Cross-Section Database'!$C$2:$V$2928,MATCH(Z243,'[2]Cross-Section Database'!$B$2:$B$2928,0),5)</f>
        <v>12.7</v>
      </c>
      <c r="AE243" s="21">
        <v>1000</v>
      </c>
      <c r="AF243" s="306" t="s">
        <v>6291</v>
      </c>
      <c r="AG243" s="21">
        <f>INDEX('[2]Cross-Section Database'!$C$2:$V$2928,MATCH(AF243,'[2]Cross-Section Database'!$B$2:$B$2928,0),3)</f>
        <v>256</v>
      </c>
      <c r="AH243" s="21">
        <f>INDEX('[2]Cross-Section Database'!$C$2:$V$2928,MATCH(AF243,'[2]Cross-Section Database'!$B$2:$B$2928,0),4)</f>
        <v>146.4</v>
      </c>
      <c r="AI243" s="21">
        <f>INDEX('[2]Cross-Section Database'!$C$2:$V$2928,MATCH(AF243,'[2]Cross-Section Database'!$B$2:$B$2928,0),6)</f>
        <v>10.9</v>
      </c>
      <c r="AJ243" s="21">
        <f>INDEX('[2]Cross-Section Database'!$C$2:$V$2928,MATCH(AF243,'[2]Cross-Section Database'!$B$2:$B$2928,0),5)</f>
        <v>6.3</v>
      </c>
      <c r="AK243" s="21">
        <v>1000</v>
      </c>
      <c r="AL243" s="21">
        <f>INDEX('[2]Cross-Section Database'!$C$2:$V$3928,MATCH(AF243,'[2]Cross-Section Database'!$B$2:$B$3928,0),11)</f>
        <v>55370000</v>
      </c>
      <c r="AM243" s="24">
        <f>INDEX('[2]Cross-Section Database'!$C$2:$V$3928,MATCH(AF243,'[2]Cross-Section Database'!$B$2:$B$3928,0),12)</f>
        <v>483200</v>
      </c>
      <c r="AN243" s="21">
        <v>15</v>
      </c>
      <c r="AO243" s="21">
        <v>200</v>
      </c>
      <c r="AP243" s="21">
        <v>275</v>
      </c>
      <c r="AQ243" s="21">
        <f t="shared" si="121"/>
        <v>9.5</v>
      </c>
      <c r="AR243" s="21">
        <f t="shared" si="122"/>
        <v>9.5</v>
      </c>
      <c r="AS243" s="306" t="s">
        <v>5807</v>
      </c>
      <c r="AT243" s="163" t="s">
        <v>4716</v>
      </c>
      <c r="AU243" s="163">
        <f t="shared" si="133"/>
        <v>10</v>
      </c>
      <c r="AV243" s="163">
        <v>20</v>
      </c>
      <c r="AW243" s="163">
        <f t="shared" si="124"/>
        <v>245</v>
      </c>
      <c r="AX243" s="21">
        <f t="shared" si="132"/>
        <v>45.05</v>
      </c>
      <c r="AY243" s="21">
        <f t="shared" si="127"/>
        <v>45.05</v>
      </c>
      <c r="AZ243" s="21">
        <v>60</v>
      </c>
      <c r="BA243" s="21">
        <v>90</v>
      </c>
      <c r="BB243" s="21">
        <f t="shared" si="125"/>
        <v>124.89999999999998</v>
      </c>
      <c r="BC243" s="15" t="s">
        <v>6313</v>
      </c>
      <c r="BD243" s="163" t="s">
        <v>6209</v>
      </c>
      <c r="BE243" s="163" t="s">
        <v>6209</v>
      </c>
      <c r="BF243" s="163">
        <v>2</v>
      </c>
      <c r="BG243" s="163">
        <v>4</v>
      </c>
      <c r="BH243" s="202" t="s">
        <v>5792</v>
      </c>
      <c r="BI243" s="203" t="s">
        <v>5792</v>
      </c>
      <c r="BJ243" s="203" t="s">
        <v>5792</v>
      </c>
      <c r="BK243" s="203" t="s">
        <v>5792</v>
      </c>
      <c r="BL243" s="203" t="s">
        <v>5792</v>
      </c>
      <c r="BM243" s="203" t="s">
        <v>5792</v>
      </c>
      <c r="BN243" s="203" t="s">
        <v>5792</v>
      </c>
      <c r="BO243" s="203" t="s">
        <v>5792</v>
      </c>
      <c r="BP243" s="202" t="s">
        <v>5792</v>
      </c>
      <c r="BQ243" s="203" t="s">
        <v>5792</v>
      </c>
      <c r="BR243" s="203" t="s">
        <v>5792</v>
      </c>
      <c r="BS243" s="203" t="s">
        <v>5792</v>
      </c>
      <c r="BT243" s="203" t="s">
        <v>5792</v>
      </c>
      <c r="BU243" s="203" t="s">
        <v>5792</v>
      </c>
      <c r="BV243" s="218" t="s">
        <v>5792</v>
      </c>
      <c r="BW243" s="203" t="s">
        <v>5792</v>
      </c>
      <c r="BX243" s="203" t="s">
        <v>5792</v>
      </c>
      <c r="BY243" s="203" t="s">
        <v>5792</v>
      </c>
      <c r="BZ243" s="203" t="s">
        <v>5792</v>
      </c>
      <c r="CA243" s="203" t="s">
        <v>5792</v>
      </c>
      <c r="CB243" s="218" t="s">
        <v>5792</v>
      </c>
      <c r="CC243" s="60" t="s">
        <v>5665</v>
      </c>
      <c r="CD243" s="60">
        <v>275</v>
      </c>
      <c r="CE243" s="33">
        <f>CE242</f>
        <v>267.88</v>
      </c>
      <c r="CF243" s="60">
        <v>430</v>
      </c>
      <c r="CG243" s="33">
        <f>CG242</f>
        <v>465.92500000000001</v>
      </c>
      <c r="CH243" s="67">
        <f>CH241</f>
        <v>188762.7</v>
      </c>
      <c r="CI243" s="60" t="s">
        <v>5665</v>
      </c>
      <c r="CJ243" s="60">
        <v>275</v>
      </c>
      <c r="CK243" s="47">
        <f>CK245</f>
        <v>271.22500000000002</v>
      </c>
      <c r="CL243" s="60">
        <v>430</v>
      </c>
      <c r="CM243" s="47">
        <f>CM245</f>
        <v>430.21000000000004</v>
      </c>
      <c r="CN243" s="141">
        <f>CN245</f>
        <v>193940.4</v>
      </c>
      <c r="CO243" s="60" t="s">
        <v>5665</v>
      </c>
      <c r="CP243" s="60">
        <v>275</v>
      </c>
      <c r="CQ243" s="47">
        <f>(304.87+272.88)/2</f>
        <v>288.875</v>
      </c>
      <c r="CR243" s="47">
        <v>430</v>
      </c>
      <c r="CS243" s="47">
        <f>(525.66+485.21)/2</f>
        <v>505.43499999999995</v>
      </c>
      <c r="CT243" s="141">
        <f>(209215.9+186593.3)/2</f>
        <v>197904.59999999998</v>
      </c>
      <c r="CU243" s="207" t="s">
        <v>5792</v>
      </c>
      <c r="CV243" s="208" t="s">
        <v>5792</v>
      </c>
      <c r="CW243" s="208" t="s">
        <v>5792</v>
      </c>
      <c r="CX243" s="209" t="s">
        <v>5792</v>
      </c>
      <c r="CY243" s="207" t="s">
        <v>5792</v>
      </c>
      <c r="CZ243" s="208" t="s">
        <v>5792</v>
      </c>
      <c r="DA243" s="209" t="s">
        <v>5792</v>
      </c>
      <c r="DB243" s="283" t="s">
        <v>5792</v>
      </c>
      <c r="DC243" s="163">
        <v>8.8000000000000007</v>
      </c>
      <c r="DD243" s="163">
        <v>640</v>
      </c>
      <c r="DE243" s="60">
        <v>604</v>
      </c>
      <c r="DF243" s="60">
        <v>800</v>
      </c>
      <c r="DG243" s="60">
        <v>749</v>
      </c>
      <c r="DH243" s="61">
        <v>200000</v>
      </c>
      <c r="DI243" s="41" t="s">
        <v>4759</v>
      </c>
      <c r="DJ243" s="306" t="s">
        <v>4435</v>
      </c>
      <c r="DK243" s="297" t="s">
        <v>4566</v>
      </c>
    </row>
    <row r="244" spans="1:115">
      <c r="A244" s="306">
        <v>239</v>
      </c>
      <c r="B244" s="326"/>
      <c r="C244" s="326"/>
      <c r="D244" s="343"/>
      <c r="E244" s="343"/>
      <c r="F244" s="326"/>
      <c r="G244" s="337"/>
      <c r="H244" s="337"/>
      <c r="I244" s="337"/>
      <c r="J244" s="314" t="s">
        <v>5949</v>
      </c>
      <c r="K244" s="306" t="s">
        <v>6318</v>
      </c>
      <c r="L244" s="163" t="s">
        <v>6061</v>
      </c>
      <c r="M244" s="306" t="s">
        <v>4509</v>
      </c>
      <c r="N244" s="163" t="s">
        <v>4703</v>
      </c>
      <c r="O244" s="18" t="s">
        <v>4507</v>
      </c>
      <c r="P244" s="163" t="s">
        <v>6312</v>
      </c>
      <c r="Q244" s="163" t="s">
        <v>4420</v>
      </c>
      <c r="R244" s="163" t="s">
        <v>4420</v>
      </c>
      <c r="S244" s="163" t="s">
        <v>5792</v>
      </c>
      <c r="T244" s="163" t="s">
        <v>4420</v>
      </c>
      <c r="U244" s="163" t="s">
        <v>5792</v>
      </c>
      <c r="V244" s="60" t="s">
        <v>4559</v>
      </c>
      <c r="W244" s="142">
        <v>8</v>
      </c>
      <c r="X244" s="230">
        <v>0</v>
      </c>
      <c r="Y244" s="18">
        <v>0</v>
      </c>
      <c r="Z244" s="306" t="s">
        <v>4345</v>
      </c>
      <c r="AA244" s="21">
        <f>INDEX('[2]Cross-Section Database'!$C$2:$V$2928,MATCH(Z244,'[2]Cross-Section Database'!$B$2:$B$2928,0),3)</f>
        <v>222.2</v>
      </c>
      <c r="AB244" s="21">
        <f>INDEX('[2]Cross-Section Database'!$C$2:$V$2928,MATCH(Z244,'[2]Cross-Section Database'!$B$2:$B$2928,0),4)</f>
        <v>209.1</v>
      </c>
      <c r="AC244" s="21">
        <f>INDEX('[2]Cross-Section Database'!$C$2:$V$2928,MATCH(Z244,'[2]Cross-Section Database'!$B$2:$B$2928,0),6)</f>
        <v>20.5</v>
      </c>
      <c r="AD244" s="21">
        <f>INDEX('[2]Cross-Section Database'!$C$2:$V$2928,MATCH(Z244,'[2]Cross-Section Database'!$B$2:$B$2928,0),5)</f>
        <v>12.7</v>
      </c>
      <c r="AE244" s="21">
        <v>1000</v>
      </c>
      <c r="AF244" s="306" t="s">
        <v>6291</v>
      </c>
      <c r="AG244" s="21">
        <f>INDEX('[2]Cross-Section Database'!$C$2:$V$2928,MATCH(AF244,'[2]Cross-Section Database'!$B$2:$B$2928,0),3)</f>
        <v>256</v>
      </c>
      <c r="AH244" s="21">
        <f>INDEX('[2]Cross-Section Database'!$C$2:$V$2928,MATCH(AF244,'[2]Cross-Section Database'!$B$2:$B$2928,0),4)</f>
        <v>146.4</v>
      </c>
      <c r="AI244" s="21">
        <f>INDEX('[2]Cross-Section Database'!$C$2:$V$2928,MATCH(AF244,'[2]Cross-Section Database'!$B$2:$B$2928,0),6)</f>
        <v>10.9</v>
      </c>
      <c r="AJ244" s="21">
        <f>INDEX('[2]Cross-Section Database'!$C$2:$V$2928,MATCH(AF244,'[2]Cross-Section Database'!$B$2:$B$2928,0),5)</f>
        <v>6.3</v>
      </c>
      <c r="AK244" s="21">
        <v>1000</v>
      </c>
      <c r="AL244" s="21">
        <f>INDEX('[2]Cross-Section Database'!$C$2:$V$3928,MATCH(AF244,'[2]Cross-Section Database'!$B$2:$B$3928,0),11)</f>
        <v>55370000</v>
      </c>
      <c r="AM244" s="24">
        <f>INDEX('[2]Cross-Section Database'!$C$2:$V$3928,MATCH(AF244,'[2]Cross-Section Database'!$B$2:$B$3928,0),12)</f>
        <v>483200</v>
      </c>
      <c r="AN244" s="21">
        <v>15</v>
      </c>
      <c r="AO244" s="21">
        <v>200</v>
      </c>
      <c r="AP244" s="21">
        <v>275</v>
      </c>
      <c r="AQ244" s="21">
        <f t="shared" si="121"/>
        <v>9.5</v>
      </c>
      <c r="AR244" s="21">
        <f t="shared" si="122"/>
        <v>9.5</v>
      </c>
      <c r="AS244" s="306" t="s">
        <v>5807</v>
      </c>
      <c r="AT244" s="163" t="s">
        <v>4716</v>
      </c>
      <c r="AU244" s="163">
        <f t="shared" si="133"/>
        <v>10</v>
      </c>
      <c r="AV244" s="163">
        <v>20</v>
      </c>
      <c r="AW244" s="163">
        <f t="shared" si="124"/>
        <v>245</v>
      </c>
      <c r="AX244" s="21">
        <f t="shared" si="132"/>
        <v>45.05</v>
      </c>
      <c r="AY244" s="21">
        <f t="shared" si="127"/>
        <v>45.05</v>
      </c>
      <c r="AZ244" s="21">
        <v>60</v>
      </c>
      <c r="BA244" s="21">
        <v>90</v>
      </c>
      <c r="BB244" s="21">
        <f t="shared" si="125"/>
        <v>124.89999999999998</v>
      </c>
      <c r="BC244" s="15" t="s">
        <v>6313</v>
      </c>
      <c r="BD244" s="163" t="s">
        <v>6209</v>
      </c>
      <c r="BE244" s="163" t="s">
        <v>6209</v>
      </c>
      <c r="BF244" s="163">
        <v>2</v>
      </c>
      <c r="BG244" s="163">
        <v>4</v>
      </c>
      <c r="BH244" s="202" t="s">
        <v>5792</v>
      </c>
      <c r="BI244" s="203" t="s">
        <v>5792</v>
      </c>
      <c r="BJ244" s="203" t="s">
        <v>5792</v>
      </c>
      <c r="BK244" s="203" t="s">
        <v>5792</v>
      </c>
      <c r="BL244" s="203" t="s">
        <v>5792</v>
      </c>
      <c r="BM244" s="203" t="s">
        <v>5792</v>
      </c>
      <c r="BN244" s="203" t="s">
        <v>5792</v>
      </c>
      <c r="BO244" s="203" t="s">
        <v>5792</v>
      </c>
      <c r="BP244" s="202" t="s">
        <v>5792</v>
      </c>
      <c r="BQ244" s="203" t="s">
        <v>5792</v>
      </c>
      <c r="BR244" s="203" t="s">
        <v>5792</v>
      </c>
      <c r="BS244" s="203" t="s">
        <v>5792</v>
      </c>
      <c r="BT244" s="203" t="s">
        <v>5792</v>
      </c>
      <c r="BU244" s="203" t="s">
        <v>5792</v>
      </c>
      <c r="BV244" s="218" t="s">
        <v>5792</v>
      </c>
      <c r="BW244" s="203" t="s">
        <v>5792</v>
      </c>
      <c r="BX244" s="203" t="s">
        <v>5792</v>
      </c>
      <c r="BY244" s="203" t="s">
        <v>5792</v>
      </c>
      <c r="BZ244" s="203" t="s">
        <v>5792</v>
      </c>
      <c r="CA244" s="203" t="s">
        <v>5792</v>
      </c>
      <c r="CB244" s="218" t="s">
        <v>5792</v>
      </c>
      <c r="CC244" s="60" t="s">
        <v>5665</v>
      </c>
      <c r="CD244" s="60">
        <v>275</v>
      </c>
      <c r="CE244" s="33">
        <f>CE243</f>
        <v>267.88</v>
      </c>
      <c r="CF244" s="60">
        <v>430</v>
      </c>
      <c r="CG244" s="33">
        <f>CG243</f>
        <v>465.92500000000001</v>
      </c>
      <c r="CH244" s="67">
        <f>CH241</f>
        <v>188762.7</v>
      </c>
      <c r="CI244" s="60" t="s">
        <v>5665</v>
      </c>
      <c r="CJ244" s="60">
        <v>275</v>
      </c>
      <c r="CK244" s="32">
        <v>360</v>
      </c>
      <c r="CL244" s="60">
        <v>430</v>
      </c>
      <c r="CM244" s="32">
        <v>530</v>
      </c>
      <c r="CN244" s="67">
        <f>CN245</f>
        <v>193940.4</v>
      </c>
      <c r="CO244" s="60" t="s">
        <v>5665</v>
      </c>
      <c r="CP244" s="60">
        <v>275</v>
      </c>
      <c r="CQ244" s="33">
        <f>(304.87+272.88)/2</f>
        <v>288.875</v>
      </c>
      <c r="CR244" s="47">
        <v>430</v>
      </c>
      <c r="CS244" s="33">
        <f>(525.66+485.21)/2</f>
        <v>505.43499999999995</v>
      </c>
      <c r="CT244" s="61">
        <f>(209215.9+186593.3)/2</f>
        <v>197904.59999999998</v>
      </c>
      <c r="CU244" s="207" t="s">
        <v>5792</v>
      </c>
      <c r="CV244" s="208" t="s">
        <v>5792</v>
      </c>
      <c r="CW244" s="208" t="s">
        <v>5792</v>
      </c>
      <c r="CX244" s="209" t="s">
        <v>5792</v>
      </c>
      <c r="CY244" s="207" t="s">
        <v>5792</v>
      </c>
      <c r="CZ244" s="208" t="s">
        <v>5792</v>
      </c>
      <c r="DA244" s="209" t="s">
        <v>5792</v>
      </c>
      <c r="DB244" s="283" t="s">
        <v>5792</v>
      </c>
      <c r="DC244" s="163">
        <v>8.8000000000000007</v>
      </c>
      <c r="DD244" s="163">
        <v>640</v>
      </c>
      <c r="DE244" s="60">
        <v>604</v>
      </c>
      <c r="DF244" s="60">
        <v>800</v>
      </c>
      <c r="DG244" s="60">
        <v>749</v>
      </c>
      <c r="DH244" s="61">
        <v>200000</v>
      </c>
      <c r="DI244" s="41" t="s">
        <v>4759</v>
      </c>
      <c r="DJ244" s="306" t="s">
        <v>4435</v>
      </c>
      <c r="DK244" s="297" t="s">
        <v>4566</v>
      </c>
    </row>
    <row r="245" spans="1:115">
      <c r="A245" s="306">
        <v>240</v>
      </c>
      <c r="B245" s="326"/>
      <c r="C245" s="326"/>
      <c r="D245" s="343"/>
      <c r="E245" s="343"/>
      <c r="F245" s="326"/>
      <c r="G245" s="337"/>
      <c r="H245" s="337"/>
      <c r="I245" s="337"/>
      <c r="J245" s="41" t="s">
        <v>5950</v>
      </c>
      <c r="K245" s="306" t="s">
        <v>6314</v>
      </c>
      <c r="L245" s="163" t="s">
        <v>5792</v>
      </c>
      <c r="M245" s="306" t="s">
        <v>4509</v>
      </c>
      <c r="N245" s="163" t="s">
        <v>4703</v>
      </c>
      <c r="O245" s="18" t="s">
        <v>4507</v>
      </c>
      <c r="P245" s="163" t="s">
        <v>6312</v>
      </c>
      <c r="Q245" s="163" t="s">
        <v>4420</v>
      </c>
      <c r="R245" s="163" t="s">
        <v>4420</v>
      </c>
      <c r="S245" s="163" t="s">
        <v>5792</v>
      </c>
      <c r="T245" s="163" t="s">
        <v>4420</v>
      </c>
      <c r="U245" s="163" t="s">
        <v>5792</v>
      </c>
      <c r="V245" s="60" t="s">
        <v>4559</v>
      </c>
      <c r="W245" s="142">
        <v>8</v>
      </c>
      <c r="X245" s="230">
        <v>0</v>
      </c>
      <c r="Y245" s="18">
        <v>0</v>
      </c>
      <c r="Z245" s="306" t="s">
        <v>6315</v>
      </c>
      <c r="AA245" s="21">
        <f>INDEX('[2]Cross-Section Database'!$C$2:$V$2928,MATCH(Z245,'[2]Cross-Section Database'!$B$2:$B$2928,0),3)</f>
        <v>206.2</v>
      </c>
      <c r="AB245" s="21">
        <f>INDEX('[2]Cross-Section Database'!$C$2:$V$2928,MATCH(Z245,'[2]Cross-Section Database'!$B$2:$B$2928,0),4)</f>
        <v>204.3</v>
      </c>
      <c r="AC245" s="21">
        <f>INDEX('[2]Cross-Section Database'!$C$2:$V$2928,MATCH(Z245,'[2]Cross-Section Database'!$B$2:$B$2928,0),6)</f>
        <v>12.5</v>
      </c>
      <c r="AD245" s="21">
        <f>INDEX('[2]Cross-Section Database'!$C$2:$V$2928,MATCH(Z245,'[2]Cross-Section Database'!$B$2:$B$2928,0),5)</f>
        <v>7.9</v>
      </c>
      <c r="AE245" s="21">
        <v>1000</v>
      </c>
      <c r="AF245" s="306" t="s">
        <v>6291</v>
      </c>
      <c r="AG245" s="21">
        <f>INDEX('[2]Cross-Section Database'!$C$2:$V$2928,MATCH(AF245,'[2]Cross-Section Database'!$B$2:$B$2928,0),3)</f>
        <v>256</v>
      </c>
      <c r="AH245" s="21">
        <f>INDEX('[2]Cross-Section Database'!$C$2:$V$2928,MATCH(AF245,'[2]Cross-Section Database'!$B$2:$B$2928,0),4)</f>
        <v>146.4</v>
      </c>
      <c r="AI245" s="21">
        <f>INDEX('[2]Cross-Section Database'!$C$2:$V$2928,MATCH(AF245,'[2]Cross-Section Database'!$B$2:$B$2928,0),6)</f>
        <v>10.9</v>
      </c>
      <c r="AJ245" s="21">
        <f>INDEX('[2]Cross-Section Database'!$C$2:$V$2928,MATCH(AF245,'[2]Cross-Section Database'!$B$2:$B$2928,0),5)</f>
        <v>6.3</v>
      </c>
      <c r="AK245" s="21">
        <v>1000</v>
      </c>
      <c r="AL245" s="21">
        <f>INDEX('[2]Cross-Section Database'!$C$2:$V$3928,MATCH(AF245,'[2]Cross-Section Database'!$B$2:$B$3928,0),11)</f>
        <v>55370000</v>
      </c>
      <c r="AM245" s="24">
        <f>INDEX('[2]Cross-Section Database'!$C$2:$V$3928,MATCH(AF245,'[2]Cross-Section Database'!$B$2:$B$3928,0),12)</f>
        <v>483200</v>
      </c>
      <c r="AN245" s="21">
        <v>12</v>
      </c>
      <c r="AO245" s="21">
        <v>200</v>
      </c>
      <c r="AP245" s="21">
        <v>275</v>
      </c>
      <c r="AQ245" s="21">
        <f t="shared" si="121"/>
        <v>9.5</v>
      </c>
      <c r="AR245" s="21">
        <f t="shared" si="122"/>
        <v>9.5</v>
      </c>
      <c r="AS245" s="306" t="s">
        <v>5807</v>
      </c>
      <c r="AT245" s="163" t="s">
        <v>4716</v>
      </c>
      <c r="AU245" s="163">
        <f t="shared" si="133"/>
        <v>10</v>
      </c>
      <c r="AV245" s="163">
        <v>20</v>
      </c>
      <c r="AW245" s="163">
        <f t="shared" si="124"/>
        <v>245</v>
      </c>
      <c r="AX245" s="21">
        <f t="shared" si="132"/>
        <v>45.05</v>
      </c>
      <c r="AY245" s="21">
        <f t="shared" si="127"/>
        <v>45.05</v>
      </c>
      <c r="AZ245" s="21">
        <v>60</v>
      </c>
      <c r="BA245" s="21">
        <v>90</v>
      </c>
      <c r="BB245" s="21">
        <f t="shared" si="125"/>
        <v>124.89999999999998</v>
      </c>
      <c r="BC245" s="15" t="s">
        <v>6313</v>
      </c>
      <c r="BD245" s="163" t="s">
        <v>6209</v>
      </c>
      <c r="BE245" s="163" t="s">
        <v>6209</v>
      </c>
      <c r="BF245" s="163">
        <v>2</v>
      </c>
      <c r="BG245" s="163">
        <v>4</v>
      </c>
      <c r="BH245" s="202" t="s">
        <v>5792</v>
      </c>
      <c r="BI245" s="203" t="s">
        <v>5792</v>
      </c>
      <c r="BJ245" s="203" t="s">
        <v>5792</v>
      </c>
      <c r="BK245" s="203" t="s">
        <v>5792</v>
      </c>
      <c r="BL245" s="203" t="s">
        <v>5792</v>
      </c>
      <c r="BM245" s="203" t="s">
        <v>5792</v>
      </c>
      <c r="BN245" s="203" t="s">
        <v>5792</v>
      </c>
      <c r="BO245" s="203" t="s">
        <v>5792</v>
      </c>
      <c r="BP245" s="202" t="s">
        <v>5792</v>
      </c>
      <c r="BQ245" s="203" t="s">
        <v>5792</v>
      </c>
      <c r="BR245" s="203" t="s">
        <v>5792</v>
      </c>
      <c r="BS245" s="203" t="s">
        <v>5792</v>
      </c>
      <c r="BT245" s="203" t="s">
        <v>5792</v>
      </c>
      <c r="BU245" s="203" t="s">
        <v>5792</v>
      </c>
      <c r="BV245" s="218" t="s">
        <v>5792</v>
      </c>
      <c r="BW245" s="203" t="s">
        <v>5792</v>
      </c>
      <c r="BX245" s="203" t="s">
        <v>5792</v>
      </c>
      <c r="BY245" s="203" t="s">
        <v>5792</v>
      </c>
      <c r="BZ245" s="203" t="s">
        <v>5792</v>
      </c>
      <c r="CA245" s="203" t="s">
        <v>5792</v>
      </c>
      <c r="CB245" s="218" t="s">
        <v>5792</v>
      </c>
      <c r="CC245" s="60" t="s">
        <v>5665</v>
      </c>
      <c r="CD245" s="60">
        <v>275</v>
      </c>
      <c r="CE245" s="47">
        <f>(340.28+311.71)/2</f>
        <v>325.995</v>
      </c>
      <c r="CF245" s="60">
        <v>430</v>
      </c>
      <c r="CG245" s="47">
        <f>(508.55+389.08)/2</f>
        <v>448.815</v>
      </c>
      <c r="CH245" s="141">
        <f>(202745+199174.5)/2</f>
        <v>200959.75</v>
      </c>
      <c r="CI245" s="60" t="s">
        <v>5665</v>
      </c>
      <c r="CJ245" s="60">
        <v>275</v>
      </c>
      <c r="CK245" s="47">
        <f>(235.62+306.83)/2</f>
        <v>271.22500000000002</v>
      </c>
      <c r="CL245" s="60">
        <v>430</v>
      </c>
      <c r="CM245" s="47">
        <f>(410.41+450.01)/2</f>
        <v>430.21000000000004</v>
      </c>
      <c r="CN245" s="69">
        <v>193940.4</v>
      </c>
      <c r="CO245" s="60" t="s">
        <v>5665</v>
      </c>
      <c r="CP245" s="60">
        <v>275</v>
      </c>
      <c r="CQ245" s="47">
        <v>287.33999999999997</v>
      </c>
      <c r="CR245" s="47">
        <v>430</v>
      </c>
      <c r="CS245" s="47">
        <v>397.15</v>
      </c>
      <c r="CT245" s="97">
        <v>200136.4</v>
      </c>
      <c r="CU245" s="207" t="s">
        <v>5792</v>
      </c>
      <c r="CV245" s="208" t="s">
        <v>5792</v>
      </c>
      <c r="CW245" s="208" t="s">
        <v>5792</v>
      </c>
      <c r="CX245" s="209" t="s">
        <v>5792</v>
      </c>
      <c r="CY245" s="207" t="s">
        <v>5792</v>
      </c>
      <c r="CZ245" s="208" t="s">
        <v>5792</v>
      </c>
      <c r="DA245" s="209" t="s">
        <v>5792</v>
      </c>
      <c r="DB245" s="283" t="s">
        <v>5792</v>
      </c>
      <c r="DC245" s="163">
        <v>8.8000000000000007</v>
      </c>
      <c r="DD245" s="163">
        <v>640</v>
      </c>
      <c r="DE245" s="60">
        <v>604</v>
      </c>
      <c r="DF245" s="60">
        <v>800</v>
      </c>
      <c r="DG245" s="60">
        <v>749</v>
      </c>
      <c r="DH245" s="61">
        <v>200000</v>
      </c>
      <c r="DI245" s="29" t="s">
        <v>4765</v>
      </c>
      <c r="DJ245" s="306" t="s">
        <v>4435</v>
      </c>
      <c r="DK245" s="297" t="s">
        <v>4566</v>
      </c>
    </row>
    <row r="246" spans="1:115">
      <c r="A246" s="306">
        <v>241</v>
      </c>
      <c r="B246" s="326"/>
      <c r="C246" s="326"/>
      <c r="D246" s="343"/>
      <c r="E246" s="343"/>
      <c r="F246" s="326"/>
      <c r="G246" s="337"/>
      <c r="H246" s="337"/>
      <c r="I246" s="337"/>
      <c r="J246" s="314" t="s">
        <v>5951</v>
      </c>
      <c r="K246" s="306" t="s">
        <v>6318</v>
      </c>
      <c r="L246" s="163" t="s">
        <v>6061</v>
      </c>
      <c r="M246" s="306" t="s">
        <v>4509</v>
      </c>
      <c r="N246" s="163" t="s">
        <v>4703</v>
      </c>
      <c r="O246" s="18" t="s">
        <v>4507</v>
      </c>
      <c r="P246" s="163" t="s">
        <v>6312</v>
      </c>
      <c r="Q246" s="163" t="s">
        <v>4420</v>
      </c>
      <c r="R246" s="163" t="s">
        <v>4420</v>
      </c>
      <c r="S246" s="163" t="s">
        <v>5792</v>
      </c>
      <c r="T246" s="163" t="s">
        <v>4420</v>
      </c>
      <c r="U246" s="163" t="s">
        <v>5792</v>
      </c>
      <c r="V246" s="60" t="s">
        <v>4559</v>
      </c>
      <c r="W246" s="142">
        <v>8</v>
      </c>
      <c r="X246" s="230">
        <v>0</v>
      </c>
      <c r="Y246" s="18">
        <v>0</v>
      </c>
      <c r="Z246" s="306" t="s">
        <v>6315</v>
      </c>
      <c r="AA246" s="21">
        <f>INDEX('[2]Cross-Section Database'!$C$2:$V$2928,MATCH(Z246,'[2]Cross-Section Database'!$B$2:$B$2928,0),3)</f>
        <v>206.2</v>
      </c>
      <c r="AB246" s="21">
        <f>INDEX('[2]Cross-Section Database'!$C$2:$V$2928,MATCH(Z246,'[2]Cross-Section Database'!$B$2:$B$2928,0),4)</f>
        <v>204.3</v>
      </c>
      <c r="AC246" s="21">
        <f>INDEX('[2]Cross-Section Database'!$C$2:$V$2928,MATCH(Z246,'[2]Cross-Section Database'!$B$2:$B$2928,0),6)</f>
        <v>12.5</v>
      </c>
      <c r="AD246" s="21">
        <f>INDEX('[2]Cross-Section Database'!$C$2:$V$2928,MATCH(Z246,'[2]Cross-Section Database'!$B$2:$B$2928,0),5)</f>
        <v>7.9</v>
      </c>
      <c r="AE246" s="21">
        <v>1000</v>
      </c>
      <c r="AF246" s="306" t="s">
        <v>6291</v>
      </c>
      <c r="AG246" s="21">
        <f>INDEX('[2]Cross-Section Database'!$C$2:$V$2928,MATCH(AF246,'[2]Cross-Section Database'!$B$2:$B$2928,0),3)</f>
        <v>256</v>
      </c>
      <c r="AH246" s="21">
        <f>INDEX('[2]Cross-Section Database'!$C$2:$V$2928,MATCH(AF246,'[2]Cross-Section Database'!$B$2:$B$2928,0),4)</f>
        <v>146.4</v>
      </c>
      <c r="AI246" s="21">
        <f>INDEX('[2]Cross-Section Database'!$C$2:$V$2928,MATCH(AF246,'[2]Cross-Section Database'!$B$2:$B$2928,0),6)</f>
        <v>10.9</v>
      </c>
      <c r="AJ246" s="21">
        <f>INDEX('[2]Cross-Section Database'!$C$2:$V$2928,MATCH(AF246,'[2]Cross-Section Database'!$B$2:$B$2928,0),5)</f>
        <v>6.3</v>
      </c>
      <c r="AK246" s="21">
        <v>1000</v>
      </c>
      <c r="AL246" s="21">
        <f>INDEX('[2]Cross-Section Database'!$C$2:$V$3928,MATCH(AF246,'[2]Cross-Section Database'!$B$2:$B$3928,0),11)</f>
        <v>55370000</v>
      </c>
      <c r="AM246" s="24">
        <f>INDEX('[2]Cross-Section Database'!$C$2:$V$3928,MATCH(AF246,'[2]Cross-Section Database'!$B$2:$B$3928,0),12)</f>
        <v>483200</v>
      </c>
      <c r="AN246" s="21">
        <v>12</v>
      </c>
      <c r="AO246" s="21">
        <v>200</v>
      </c>
      <c r="AP246" s="21">
        <v>275</v>
      </c>
      <c r="AQ246" s="21">
        <f t="shared" si="121"/>
        <v>9.5</v>
      </c>
      <c r="AR246" s="21">
        <f t="shared" si="122"/>
        <v>9.5</v>
      </c>
      <c r="AS246" s="306" t="s">
        <v>5807</v>
      </c>
      <c r="AT246" s="163" t="s">
        <v>4716</v>
      </c>
      <c r="AU246" s="163">
        <f t="shared" si="133"/>
        <v>10</v>
      </c>
      <c r="AV246" s="163">
        <v>20</v>
      </c>
      <c r="AW246" s="163">
        <f t="shared" si="124"/>
        <v>245</v>
      </c>
      <c r="AX246" s="21">
        <f t="shared" si="132"/>
        <v>45.05</v>
      </c>
      <c r="AY246" s="21">
        <f t="shared" si="127"/>
        <v>45.05</v>
      </c>
      <c r="AZ246" s="21">
        <v>60</v>
      </c>
      <c r="BA246" s="21">
        <v>90</v>
      </c>
      <c r="BB246" s="21">
        <f t="shared" si="125"/>
        <v>124.89999999999998</v>
      </c>
      <c r="BC246" s="15" t="s">
        <v>6313</v>
      </c>
      <c r="BD246" s="163" t="s">
        <v>6209</v>
      </c>
      <c r="BE246" s="163" t="s">
        <v>6209</v>
      </c>
      <c r="BF246" s="163">
        <v>2</v>
      </c>
      <c r="BG246" s="163">
        <v>4</v>
      </c>
      <c r="BH246" s="202" t="s">
        <v>5792</v>
      </c>
      <c r="BI246" s="203" t="s">
        <v>5792</v>
      </c>
      <c r="BJ246" s="203" t="s">
        <v>5792</v>
      </c>
      <c r="BK246" s="203" t="s">
        <v>5792</v>
      </c>
      <c r="BL246" s="203" t="s">
        <v>5792</v>
      </c>
      <c r="BM246" s="203" t="s">
        <v>5792</v>
      </c>
      <c r="BN246" s="203" t="s">
        <v>5792</v>
      </c>
      <c r="BO246" s="203" t="s">
        <v>5792</v>
      </c>
      <c r="BP246" s="202" t="s">
        <v>5792</v>
      </c>
      <c r="BQ246" s="203" t="s">
        <v>5792</v>
      </c>
      <c r="BR246" s="203" t="s">
        <v>5792</v>
      </c>
      <c r="BS246" s="203" t="s">
        <v>5792</v>
      </c>
      <c r="BT246" s="203" t="s">
        <v>5792</v>
      </c>
      <c r="BU246" s="203" t="s">
        <v>5792</v>
      </c>
      <c r="BV246" s="218" t="s">
        <v>5792</v>
      </c>
      <c r="BW246" s="203" t="s">
        <v>5792</v>
      </c>
      <c r="BX246" s="203" t="s">
        <v>5792</v>
      </c>
      <c r="BY246" s="203" t="s">
        <v>5792</v>
      </c>
      <c r="BZ246" s="203" t="s">
        <v>5792</v>
      </c>
      <c r="CA246" s="203" t="s">
        <v>5792</v>
      </c>
      <c r="CB246" s="218" t="s">
        <v>5792</v>
      </c>
      <c r="CC246" s="60" t="s">
        <v>5665</v>
      </c>
      <c r="CD246" s="60">
        <v>275</v>
      </c>
      <c r="CE246" s="33">
        <f>CE245</f>
        <v>325.995</v>
      </c>
      <c r="CF246" s="60">
        <v>430</v>
      </c>
      <c r="CG246" s="33">
        <f>CG245</f>
        <v>448.815</v>
      </c>
      <c r="CH246" s="67">
        <f>CH245</f>
        <v>200959.75</v>
      </c>
      <c r="CI246" s="60" t="s">
        <v>5665</v>
      </c>
      <c r="CJ246" s="60">
        <v>275</v>
      </c>
      <c r="CK246" s="33">
        <f>CK245</f>
        <v>271.22500000000002</v>
      </c>
      <c r="CL246" s="60">
        <v>430</v>
      </c>
      <c r="CM246" s="33">
        <f>CM245</f>
        <v>430.21000000000004</v>
      </c>
      <c r="CN246" s="67">
        <f>CN245</f>
        <v>193940.4</v>
      </c>
      <c r="CO246" s="60" t="s">
        <v>5665</v>
      </c>
      <c r="CP246" s="60">
        <v>275</v>
      </c>
      <c r="CQ246" s="33">
        <v>287.33999999999997</v>
      </c>
      <c r="CR246" s="47">
        <v>430</v>
      </c>
      <c r="CS246" s="33">
        <v>397.15</v>
      </c>
      <c r="CT246" s="61">
        <v>200136.4</v>
      </c>
      <c r="CU246" s="207" t="s">
        <v>5792</v>
      </c>
      <c r="CV246" s="208" t="s">
        <v>5792</v>
      </c>
      <c r="CW246" s="208" t="s">
        <v>5792</v>
      </c>
      <c r="CX246" s="209" t="s">
        <v>5792</v>
      </c>
      <c r="CY246" s="207" t="s">
        <v>5792</v>
      </c>
      <c r="CZ246" s="208" t="s">
        <v>5792</v>
      </c>
      <c r="DA246" s="209" t="s">
        <v>5792</v>
      </c>
      <c r="DB246" s="283" t="s">
        <v>5792</v>
      </c>
      <c r="DC246" s="163">
        <v>8.8000000000000007</v>
      </c>
      <c r="DD246" s="163">
        <v>640</v>
      </c>
      <c r="DE246" s="60">
        <v>604</v>
      </c>
      <c r="DF246" s="60">
        <v>800</v>
      </c>
      <c r="DG246" s="60">
        <v>749</v>
      </c>
      <c r="DH246" s="61">
        <v>200000</v>
      </c>
      <c r="DI246" s="29" t="s">
        <v>4797</v>
      </c>
      <c r="DJ246" s="306" t="s">
        <v>4435</v>
      </c>
      <c r="DK246" s="297" t="s">
        <v>4566</v>
      </c>
    </row>
    <row r="247" spans="1:115">
      <c r="A247" s="306">
        <v>242</v>
      </c>
      <c r="B247" s="326"/>
      <c r="C247" s="326"/>
      <c r="D247" s="343"/>
      <c r="E247" s="343"/>
      <c r="F247" s="326"/>
      <c r="G247" s="337"/>
      <c r="H247" s="337"/>
      <c r="I247" s="337"/>
      <c r="J247" s="41" t="s">
        <v>5952</v>
      </c>
      <c r="K247" s="306" t="s">
        <v>6314</v>
      </c>
      <c r="L247" s="163" t="s">
        <v>5792</v>
      </c>
      <c r="M247" s="306" t="s">
        <v>4509</v>
      </c>
      <c r="N247" s="163" t="s">
        <v>4703</v>
      </c>
      <c r="O247" s="18" t="s">
        <v>4507</v>
      </c>
      <c r="P247" s="163" t="s">
        <v>6312</v>
      </c>
      <c r="Q247" s="163" t="s">
        <v>4420</v>
      </c>
      <c r="R247" s="163" t="s">
        <v>4420</v>
      </c>
      <c r="S247" s="163" t="s">
        <v>5792</v>
      </c>
      <c r="T247" s="163" t="s">
        <v>4420</v>
      </c>
      <c r="U247" s="163" t="s">
        <v>5792</v>
      </c>
      <c r="V247" s="60" t="s">
        <v>4559</v>
      </c>
      <c r="W247" s="142">
        <v>8</v>
      </c>
      <c r="X247" s="230">
        <v>0</v>
      </c>
      <c r="Y247" s="18">
        <v>0</v>
      </c>
      <c r="Z247" s="306" t="s">
        <v>4345</v>
      </c>
      <c r="AA247" s="21">
        <f>INDEX('[2]Cross-Section Database'!$C$2:$V$2928,MATCH(Z247,'[2]Cross-Section Database'!$B$2:$B$2928,0),3)</f>
        <v>222.2</v>
      </c>
      <c r="AB247" s="21">
        <f>INDEX('[2]Cross-Section Database'!$C$2:$V$2928,MATCH(Z247,'[2]Cross-Section Database'!$B$2:$B$2928,0),4)</f>
        <v>209.1</v>
      </c>
      <c r="AC247" s="21">
        <f>INDEX('[2]Cross-Section Database'!$C$2:$V$2928,MATCH(Z247,'[2]Cross-Section Database'!$B$2:$B$2928,0),6)</f>
        <v>20.5</v>
      </c>
      <c r="AD247" s="21">
        <f>INDEX('[2]Cross-Section Database'!$C$2:$V$2928,MATCH(Z247,'[2]Cross-Section Database'!$B$2:$B$2928,0),5)</f>
        <v>12.7</v>
      </c>
      <c r="AE247" s="21">
        <v>1000</v>
      </c>
      <c r="AF247" s="306" t="s">
        <v>6291</v>
      </c>
      <c r="AG247" s="21">
        <f>INDEX('[2]Cross-Section Database'!$C$2:$V$2928,MATCH(AF247,'[2]Cross-Section Database'!$B$2:$B$2928,0),3)</f>
        <v>256</v>
      </c>
      <c r="AH247" s="21">
        <f>INDEX('[2]Cross-Section Database'!$C$2:$V$2928,MATCH(AF247,'[2]Cross-Section Database'!$B$2:$B$2928,0),4)</f>
        <v>146.4</v>
      </c>
      <c r="AI247" s="21">
        <f>INDEX('[2]Cross-Section Database'!$C$2:$V$2928,MATCH(AF247,'[2]Cross-Section Database'!$B$2:$B$2928,0),6)</f>
        <v>10.9</v>
      </c>
      <c r="AJ247" s="21">
        <f>INDEX('[2]Cross-Section Database'!$C$2:$V$2928,MATCH(AF247,'[2]Cross-Section Database'!$B$2:$B$2928,0),5)</f>
        <v>6.3</v>
      </c>
      <c r="AK247" s="21">
        <v>1000</v>
      </c>
      <c r="AL247" s="21">
        <f>INDEX('[2]Cross-Section Database'!$C$2:$V$3928,MATCH(AF247,'[2]Cross-Section Database'!$B$2:$B$3928,0),11)</f>
        <v>55370000</v>
      </c>
      <c r="AM247" s="24">
        <f>INDEX('[2]Cross-Section Database'!$C$2:$V$3928,MATCH(AF247,'[2]Cross-Section Database'!$B$2:$B$3928,0),12)</f>
        <v>483200</v>
      </c>
      <c r="AN247" s="21">
        <v>12</v>
      </c>
      <c r="AO247" s="21">
        <v>200</v>
      </c>
      <c r="AP247" s="21">
        <v>275</v>
      </c>
      <c r="AQ247" s="21">
        <f t="shared" si="121"/>
        <v>9.5</v>
      </c>
      <c r="AR247" s="21">
        <f t="shared" si="122"/>
        <v>9.5</v>
      </c>
      <c r="AS247" s="306" t="s">
        <v>5807</v>
      </c>
      <c r="AT247" s="163" t="s">
        <v>4563</v>
      </c>
      <c r="AU247" s="163">
        <f xml:space="preserve"> 200/AV247/0.25</f>
        <v>40</v>
      </c>
      <c r="AV247" s="163">
        <v>20</v>
      </c>
      <c r="AW247" s="163">
        <f t="shared" si="124"/>
        <v>245</v>
      </c>
      <c r="AX247" s="21">
        <f t="shared" si="132"/>
        <v>45.05</v>
      </c>
      <c r="AY247" s="21">
        <f t="shared" si="127"/>
        <v>45.05</v>
      </c>
      <c r="AZ247" s="21">
        <v>60</v>
      </c>
      <c r="BA247" s="21">
        <v>90</v>
      </c>
      <c r="BB247" s="21">
        <f t="shared" si="125"/>
        <v>124.89999999999998</v>
      </c>
      <c r="BC247" s="15" t="s">
        <v>6313</v>
      </c>
      <c r="BD247" s="163" t="s">
        <v>6209</v>
      </c>
      <c r="BE247" s="163" t="s">
        <v>6209</v>
      </c>
      <c r="BF247" s="163">
        <v>2</v>
      </c>
      <c r="BG247" s="163">
        <v>4</v>
      </c>
      <c r="BH247" s="202" t="s">
        <v>5792</v>
      </c>
      <c r="BI247" s="203" t="s">
        <v>5792</v>
      </c>
      <c r="BJ247" s="203" t="s">
        <v>5792</v>
      </c>
      <c r="BK247" s="203" t="s">
        <v>5792</v>
      </c>
      <c r="BL247" s="203" t="s">
        <v>5792</v>
      </c>
      <c r="BM247" s="203" t="s">
        <v>5792</v>
      </c>
      <c r="BN247" s="203" t="s">
        <v>5792</v>
      </c>
      <c r="BO247" s="203" t="s">
        <v>5792</v>
      </c>
      <c r="BP247" s="202" t="s">
        <v>5792</v>
      </c>
      <c r="BQ247" s="203" t="s">
        <v>5792</v>
      </c>
      <c r="BR247" s="203" t="s">
        <v>5792</v>
      </c>
      <c r="BS247" s="203" t="s">
        <v>5792</v>
      </c>
      <c r="BT247" s="203" t="s">
        <v>5792</v>
      </c>
      <c r="BU247" s="203" t="s">
        <v>5792</v>
      </c>
      <c r="BV247" s="218" t="s">
        <v>5792</v>
      </c>
      <c r="BW247" s="203" t="s">
        <v>5792</v>
      </c>
      <c r="BX247" s="203" t="s">
        <v>5792</v>
      </c>
      <c r="BY247" s="203" t="s">
        <v>5792</v>
      </c>
      <c r="BZ247" s="203" t="s">
        <v>5792</v>
      </c>
      <c r="CA247" s="203" t="s">
        <v>5792</v>
      </c>
      <c r="CB247" s="218" t="s">
        <v>5792</v>
      </c>
      <c r="CC247" s="60" t="s">
        <v>5665</v>
      </c>
      <c r="CD247" s="60">
        <v>275</v>
      </c>
      <c r="CE247" s="47">
        <f>(254.25+271.12)/2</f>
        <v>262.685</v>
      </c>
      <c r="CF247" s="60">
        <v>430</v>
      </c>
      <c r="CG247" s="47">
        <f>(469.13+457.67)/2</f>
        <v>463.4</v>
      </c>
      <c r="CH247" s="141">
        <f>(228039.1+180155)/2</f>
        <v>204097.05</v>
      </c>
      <c r="CI247" s="60" t="s">
        <v>5665</v>
      </c>
      <c r="CJ247" s="60">
        <v>275</v>
      </c>
      <c r="CK247" s="47">
        <f>(254.25+271.12)/2</f>
        <v>262.685</v>
      </c>
      <c r="CL247" s="60">
        <v>430</v>
      </c>
      <c r="CM247" s="47">
        <f>(469.13+457.67)/2</f>
        <v>463.4</v>
      </c>
      <c r="CN247" s="69">
        <v>204097</v>
      </c>
      <c r="CO247" s="60" t="s">
        <v>5665</v>
      </c>
      <c r="CP247" s="60">
        <v>275</v>
      </c>
      <c r="CQ247" s="47">
        <v>224.25</v>
      </c>
      <c r="CR247" s="47">
        <v>430</v>
      </c>
      <c r="CS247" s="47">
        <v>350.12</v>
      </c>
      <c r="CT247" s="61">
        <v>200000</v>
      </c>
      <c r="CU247" s="207" t="s">
        <v>5792</v>
      </c>
      <c r="CV247" s="208" t="s">
        <v>5792</v>
      </c>
      <c r="CW247" s="208" t="s">
        <v>5792</v>
      </c>
      <c r="CX247" s="209" t="s">
        <v>5792</v>
      </c>
      <c r="CY247" s="207" t="s">
        <v>5792</v>
      </c>
      <c r="CZ247" s="208" t="s">
        <v>5792</v>
      </c>
      <c r="DA247" s="209" t="s">
        <v>5792</v>
      </c>
      <c r="DB247" s="283" t="s">
        <v>5792</v>
      </c>
      <c r="DC247" s="163">
        <v>10.9</v>
      </c>
      <c r="DD247" s="163">
        <v>900</v>
      </c>
      <c r="DE247" s="60">
        <v>918</v>
      </c>
      <c r="DF247" s="60">
        <v>1000</v>
      </c>
      <c r="DG247" s="60">
        <v>1040</v>
      </c>
      <c r="DH247" s="61">
        <v>200000</v>
      </c>
      <c r="DI247" s="29" t="s">
        <v>5832</v>
      </c>
      <c r="DJ247" s="306" t="s">
        <v>4435</v>
      </c>
      <c r="DK247" s="297" t="s">
        <v>4566</v>
      </c>
    </row>
    <row r="248" spans="1:115" ht="15.6" customHeight="1" thickBot="1">
      <c r="A248" s="306">
        <v>243</v>
      </c>
      <c r="B248" s="327"/>
      <c r="C248" s="327"/>
      <c r="D248" s="344"/>
      <c r="E248" s="344"/>
      <c r="F248" s="327"/>
      <c r="G248" s="338"/>
      <c r="H248" s="338"/>
      <c r="I248" s="338"/>
      <c r="J248" s="314" t="s">
        <v>5953</v>
      </c>
      <c r="K248" s="306" t="s">
        <v>6318</v>
      </c>
      <c r="L248" s="163" t="s">
        <v>6061</v>
      </c>
      <c r="M248" s="306" t="s">
        <v>4509</v>
      </c>
      <c r="N248" s="163" t="s">
        <v>4703</v>
      </c>
      <c r="O248" s="18" t="s">
        <v>4507</v>
      </c>
      <c r="P248" s="163" t="s">
        <v>6312</v>
      </c>
      <c r="Q248" s="163" t="s">
        <v>4420</v>
      </c>
      <c r="R248" s="163" t="s">
        <v>4420</v>
      </c>
      <c r="S248" s="163" t="s">
        <v>5792</v>
      </c>
      <c r="T248" s="163" t="s">
        <v>4420</v>
      </c>
      <c r="U248" s="163" t="s">
        <v>5792</v>
      </c>
      <c r="V248" s="60" t="s">
        <v>4559</v>
      </c>
      <c r="W248" s="142">
        <v>8</v>
      </c>
      <c r="X248" s="235">
        <v>0</v>
      </c>
      <c r="Y248" s="14">
        <v>0</v>
      </c>
      <c r="Z248" s="143" t="s">
        <v>4345</v>
      </c>
      <c r="AA248" s="23">
        <f>INDEX('[2]Cross-Section Database'!$C$2:$V$2928,MATCH(Z248,'[2]Cross-Section Database'!$B$2:$B$2928,0),3)</f>
        <v>222.2</v>
      </c>
      <c r="AB248" s="23">
        <f>INDEX('[2]Cross-Section Database'!$C$2:$V$2928,MATCH(Z248,'[2]Cross-Section Database'!$B$2:$B$2928,0),4)</f>
        <v>209.1</v>
      </c>
      <c r="AC248" s="23">
        <f>INDEX('[2]Cross-Section Database'!$C$2:$V$2928,MATCH(Z248,'[2]Cross-Section Database'!$B$2:$B$2928,0),6)</f>
        <v>20.5</v>
      </c>
      <c r="AD248" s="23">
        <f>INDEX('[2]Cross-Section Database'!$C$2:$V$2928,MATCH(Z248,'[2]Cross-Section Database'!$B$2:$B$2928,0),5)</f>
        <v>12.7</v>
      </c>
      <c r="AE248" s="23">
        <v>1000</v>
      </c>
      <c r="AF248" s="143" t="s">
        <v>6291</v>
      </c>
      <c r="AG248" s="23">
        <f>INDEX('[2]Cross-Section Database'!$C$2:$V$2928,MATCH(AF248,'[2]Cross-Section Database'!$B$2:$B$2928,0),3)</f>
        <v>256</v>
      </c>
      <c r="AH248" s="23">
        <f>INDEX('[2]Cross-Section Database'!$C$2:$V$2928,MATCH(AF248,'[2]Cross-Section Database'!$B$2:$B$2928,0),4)</f>
        <v>146.4</v>
      </c>
      <c r="AI248" s="23">
        <f>INDEX('[2]Cross-Section Database'!$C$2:$V$2928,MATCH(AF248,'[2]Cross-Section Database'!$B$2:$B$2928,0),6)</f>
        <v>10.9</v>
      </c>
      <c r="AJ248" s="23">
        <f>INDEX('[2]Cross-Section Database'!$C$2:$V$2928,MATCH(AF248,'[2]Cross-Section Database'!$B$2:$B$2928,0),5)</f>
        <v>6.3</v>
      </c>
      <c r="AK248" s="23">
        <v>1000</v>
      </c>
      <c r="AL248" s="23">
        <f>INDEX('[2]Cross-Section Database'!$C$2:$V$3928,MATCH(AF248,'[2]Cross-Section Database'!$B$2:$B$3928,0),11)</f>
        <v>55370000</v>
      </c>
      <c r="AM248" s="25">
        <f>INDEX('[2]Cross-Section Database'!$C$2:$V$3928,MATCH(AF248,'[2]Cross-Section Database'!$B$2:$B$3928,0),12)</f>
        <v>483200</v>
      </c>
      <c r="AN248" s="23">
        <v>12</v>
      </c>
      <c r="AO248" s="23">
        <v>200</v>
      </c>
      <c r="AP248" s="23">
        <v>275</v>
      </c>
      <c r="AQ248" s="23">
        <f t="shared" si="121"/>
        <v>9.5</v>
      </c>
      <c r="AR248" s="23">
        <f t="shared" si="122"/>
        <v>9.5</v>
      </c>
      <c r="AS248" s="143" t="s">
        <v>5807</v>
      </c>
      <c r="AT248" s="164" t="s">
        <v>4717</v>
      </c>
      <c r="AU248" s="164">
        <f xml:space="preserve"> 100/AV248/0.25</f>
        <v>20</v>
      </c>
      <c r="AV248" s="164">
        <v>20</v>
      </c>
      <c r="AW248" s="164">
        <f t="shared" si="124"/>
        <v>245</v>
      </c>
      <c r="AX248" s="23">
        <f t="shared" si="132"/>
        <v>45.05</v>
      </c>
      <c r="AY248" s="23">
        <f t="shared" si="127"/>
        <v>45.05</v>
      </c>
      <c r="AZ248" s="23">
        <v>60</v>
      </c>
      <c r="BA248" s="23">
        <v>90</v>
      </c>
      <c r="BB248" s="23">
        <f t="shared" si="125"/>
        <v>124.89999999999998</v>
      </c>
      <c r="BC248" s="19" t="s">
        <v>6313</v>
      </c>
      <c r="BD248" s="164" t="s">
        <v>6209</v>
      </c>
      <c r="BE248" s="164" t="s">
        <v>6209</v>
      </c>
      <c r="BF248" s="164">
        <v>2</v>
      </c>
      <c r="BG248" s="164">
        <v>4</v>
      </c>
      <c r="BH248" s="197" t="s">
        <v>5792</v>
      </c>
      <c r="BI248" s="198" t="s">
        <v>5792</v>
      </c>
      <c r="BJ248" s="198" t="s">
        <v>5792</v>
      </c>
      <c r="BK248" s="198" t="s">
        <v>5792</v>
      </c>
      <c r="BL248" s="198" t="s">
        <v>5792</v>
      </c>
      <c r="BM248" s="198" t="s">
        <v>5792</v>
      </c>
      <c r="BN248" s="198" t="s">
        <v>5792</v>
      </c>
      <c r="BO248" s="198" t="s">
        <v>5792</v>
      </c>
      <c r="BP248" s="197" t="s">
        <v>5792</v>
      </c>
      <c r="BQ248" s="198" t="s">
        <v>5792</v>
      </c>
      <c r="BR248" s="198" t="s">
        <v>5792</v>
      </c>
      <c r="BS248" s="198" t="s">
        <v>5792</v>
      </c>
      <c r="BT248" s="198" t="s">
        <v>5792</v>
      </c>
      <c r="BU248" s="198" t="s">
        <v>5792</v>
      </c>
      <c r="BV248" s="220" t="s">
        <v>5792</v>
      </c>
      <c r="BW248" s="198" t="s">
        <v>5792</v>
      </c>
      <c r="BX248" s="198" t="s">
        <v>5792</v>
      </c>
      <c r="BY248" s="198" t="s">
        <v>5792</v>
      </c>
      <c r="BZ248" s="198" t="s">
        <v>5792</v>
      </c>
      <c r="CA248" s="198" t="s">
        <v>5792</v>
      </c>
      <c r="CB248" s="220" t="s">
        <v>5792</v>
      </c>
      <c r="CC248" s="87" t="s">
        <v>5665</v>
      </c>
      <c r="CD248" s="87">
        <v>275</v>
      </c>
      <c r="CE248" s="35">
        <f>CE247</f>
        <v>262.685</v>
      </c>
      <c r="CF248" s="87">
        <v>430</v>
      </c>
      <c r="CG248" s="35">
        <f>CG247</f>
        <v>463.4</v>
      </c>
      <c r="CH248" s="70">
        <f>CH247</f>
        <v>204097.05</v>
      </c>
      <c r="CI248" s="87" t="s">
        <v>5665</v>
      </c>
      <c r="CJ248" s="87">
        <v>275</v>
      </c>
      <c r="CK248" s="35">
        <f>CK247</f>
        <v>262.685</v>
      </c>
      <c r="CL248" s="87">
        <v>430</v>
      </c>
      <c r="CM248" s="35">
        <f>CM247</f>
        <v>463.4</v>
      </c>
      <c r="CN248" s="70">
        <f>CN247</f>
        <v>204097</v>
      </c>
      <c r="CO248" s="87" t="s">
        <v>5665</v>
      </c>
      <c r="CP248" s="87">
        <v>275</v>
      </c>
      <c r="CQ248" s="34">
        <v>224</v>
      </c>
      <c r="CR248" s="87">
        <v>430</v>
      </c>
      <c r="CS248" s="34">
        <v>350</v>
      </c>
      <c r="CT248" s="77">
        <v>200000</v>
      </c>
      <c r="CU248" s="207" t="s">
        <v>5792</v>
      </c>
      <c r="CV248" s="208" t="s">
        <v>5792</v>
      </c>
      <c r="CW248" s="208" t="s">
        <v>5792</v>
      </c>
      <c r="CX248" s="209" t="s">
        <v>5792</v>
      </c>
      <c r="CY248" s="207" t="s">
        <v>5792</v>
      </c>
      <c r="CZ248" s="208" t="s">
        <v>5792</v>
      </c>
      <c r="DA248" s="209" t="s">
        <v>5792</v>
      </c>
      <c r="DB248" s="284" t="s">
        <v>5792</v>
      </c>
      <c r="DC248" s="164">
        <v>10.9</v>
      </c>
      <c r="DD248" s="164">
        <v>900</v>
      </c>
      <c r="DE248" s="87">
        <v>918</v>
      </c>
      <c r="DF248" s="87">
        <v>1000</v>
      </c>
      <c r="DG248" s="87">
        <v>1040</v>
      </c>
      <c r="DH248" s="77">
        <v>200000</v>
      </c>
      <c r="DI248" s="27" t="s">
        <v>5832</v>
      </c>
      <c r="DJ248" s="306" t="s">
        <v>4435</v>
      </c>
      <c r="DK248" s="297" t="s">
        <v>4566</v>
      </c>
    </row>
    <row r="249" spans="1:115" ht="15.6" customHeight="1">
      <c r="A249" s="305">
        <v>244</v>
      </c>
      <c r="B249" s="325">
        <v>34</v>
      </c>
      <c r="C249" s="325">
        <v>2003</v>
      </c>
      <c r="D249" s="345" t="s">
        <v>4801</v>
      </c>
      <c r="E249" s="333" t="s">
        <v>4852</v>
      </c>
      <c r="F249" s="325">
        <v>11</v>
      </c>
      <c r="G249" s="328" t="s">
        <v>5918</v>
      </c>
      <c r="H249" s="325" t="s">
        <v>5917</v>
      </c>
      <c r="I249" s="325" t="s">
        <v>6245</v>
      </c>
      <c r="J249" s="313" t="s">
        <v>4614</v>
      </c>
      <c r="K249" s="305" t="s">
        <v>4383</v>
      </c>
      <c r="L249" s="162" t="s">
        <v>5792</v>
      </c>
      <c r="M249" s="305" t="s">
        <v>4508</v>
      </c>
      <c r="N249" s="162" t="s">
        <v>4702</v>
      </c>
      <c r="O249" s="17" t="s">
        <v>4507</v>
      </c>
      <c r="P249" s="162" t="s">
        <v>4470</v>
      </c>
      <c r="Q249" s="162" t="s">
        <v>4420</v>
      </c>
      <c r="R249" s="162" t="s">
        <v>6170</v>
      </c>
      <c r="S249" s="162">
        <v>15</v>
      </c>
      <c r="T249" s="162" t="s">
        <v>4420</v>
      </c>
      <c r="U249" s="162" t="s">
        <v>5792</v>
      </c>
      <c r="V249" s="162" t="s">
        <v>4559</v>
      </c>
      <c r="W249" s="17">
        <v>10</v>
      </c>
      <c r="X249" s="230">
        <v>0</v>
      </c>
      <c r="Y249" s="18">
        <v>0</v>
      </c>
      <c r="Z249" s="305" t="s">
        <v>4341</v>
      </c>
      <c r="AA249" s="16">
        <f>INDEX('[2]Cross-Section Database'!$C$2:$V$2928,MATCH(Z249,'[2]Cross-Section Database'!$B$2:$B$2928,0),3)</f>
        <v>203.2</v>
      </c>
      <c r="AB249" s="16">
        <f>INDEX('[2]Cross-Section Database'!$C$2:$V$2928,MATCH(Z249,'[2]Cross-Section Database'!$B$2:$B$2928,0),4)</f>
        <v>203.6</v>
      </c>
      <c r="AC249" s="16">
        <f>INDEX('[2]Cross-Section Database'!$C$2:$V$2928,MATCH(Z249,'[2]Cross-Section Database'!$B$2:$B$2928,0),6)</f>
        <v>11</v>
      </c>
      <c r="AD249" s="16">
        <f>INDEX('[2]Cross-Section Database'!$C$2:$V$2928,MATCH(Z249,'[2]Cross-Section Database'!$B$2:$B$2928,0),5)</f>
        <v>7.2</v>
      </c>
      <c r="AE249" s="16">
        <v>3470</v>
      </c>
      <c r="AF249" s="305" t="s">
        <v>4219</v>
      </c>
      <c r="AG249" s="16">
        <f>INDEX('[2]Cross-Section Database'!$C$2:$V$2928,MATCH(AF249,'[2]Cross-Section Database'!$B$2:$B$2928,0),3)</f>
        <v>310.39999999999998</v>
      </c>
      <c r="AH249" s="16">
        <f>INDEX('[2]Cross-Section Database'!$C$2:$V$2928,MATCH(AF249,'[2]Cross-Section Database'!$B$2:$B$2928,0),4)</f>
        <v>166.9</v>
      </c>
      <c r="AI249" s="16">
        <f>INDEX('[2]Cross-Section Database'!$C$2:$V$2928,MATCH(AF249,'[2]Cross-Section Database'!$B$2:$B$2928,0),6)</f>
        <v>13.7</v>
      </c>
      <c r="AJ249" s="16">
        <f>INDEX('[2]Cross-Section Database'!$C$2:$V$2928,MATCH(AF249,'[2]Cross-Section Database'!$B$2:$B$2928,0),5)</f>
        <v>7.9</v>
      </c>
      <c r="AK249" s="16">
        <v>1500</v>
      </c>
      <c r="AL249" s="16">
        <f>INDEX('[2]Cross-Section Database'!$C$2:$V$3928,MATCH(AF249,'[2]Cross-Section Database'!$B$2:$B$3928,0),11)</f>
        <v>117000000</v>
      </c>
      <c r="AM249" s="26">
        <f>INDEX('[2]Cross-Section Database'!$C$2:$V$3928,MATCH(AF249,'[2]Cross-Section Database'!$B$2:$B$3928,0),12)</f>
        <v>846100</v>
      </c>
      <c r="AN249" s="16">
        <v>12</v>
      </c>
      <c r="AO249" s="16">
        <v>175</v>
      </c>
      <c r="AP249" s="16">
        <v>330</v>
      </c>
      <c r="AQ249" s="16">
        <f t="shared" si="121"/>
        <v>9.8000000000000114</v>
      </c>
      <c r="AR249" s="16">
        <f t="shared" si="122"/>
        <v>9.8000000000000114</v>
      </c>
      <c r="AS249" s="305" t="s">
        <v>5807</v>
      </c>
      <c r="AT249" s="162" t="s">
        <v>4563</v>
      </c>
      <c r="AU249" s="1">
        <f xml:space="preserve"> 200/AV249/0.25</f>
        <v>40</v>
      </c>
      <c r="AV249" s="162">
        <v>20</v>
      </c>
      <c r="AW249" s="162">
        <f t="shared" si="124"/>
        <v>245</v>
      </c>
      <c r="AX249" s="16">
        <v>60</v>
      </c>
      <c r="AY249" s="16">
        <f t="shared" si="127"/>
        <v>60</v>
      </c>
      <c r="AZ249" s="16">
        <v>0</v>
      </c>
      <c r="BA249" s="16">
        <v>90</v>
      </c>
      <c r="BB249" s="16">
        <f t="shared" si="125"/>
        <v>210</v>
      </c>
      <c r="BC249" s="22" t="s">
        <v>4470</v>
      </c>
      <c r="BD249" s="162" t="s">
        <v>6209</v>
      </c>
      <c r="BE249" s="162" t="s">
        <v>6209</v>
      </c>
      <c r="BF249" s="162">
        <v>2</v>
      </c>
      <c r="BG249" s="162">
        <v>4</v>
      </c>
      <c r="BH249" s="305">
        <v>120</v>
      </c>
      <c r="BI249" s="162">
        <v>1500</v>
      </c>
      <c r="BJ249" s="201" t="s">
        <v>5792</v>
      </c>
      <c r="BK249" s="201" t="s">
        <v>5792</v>
      </c>
      <c r="BL249" s="201" t="s">
        <v>5792</v>
      </c>
      <c r="BM249" s="201" t="s">
        <v>5792</v>
      </c>
      <c r="BN249" s="201" t="s">
        <v>5792</v>
      </c>
      <c r="BO249" s="201" t="s">
        <v>5792</v>
      </c>
      <c r="BP249" s="305" t="s">
        <v>5856</v>
      </c>
      <c r="BQ249" s="162">
        <v>7</v>
      </c>
      <c r="BR249" s="162">
        <v>1</v>
      </c>
      <c r="BS249" s="162">
        <v>19</v>
      </c>
      <c r="BT249" s="162">
        <v>100</v>
      </c>
      <c r="BU249" s="162">
        <v>90</v>
      </c>
      <c r="BV249" s="17">
        <v>240</v>
      </c>
      <c r="BW249" s="162" t="s">
        <v>4573</v>
      </c>
      <c r="BX249" s="162" t="s">
        <v>4583</v>
      </c>
      <c r="BY249" s="16">
        <v>0</v>
      </c>
      <c r="BZ249" s="16">
        <f>8*PI()*12^2/4</f>
        <v>904.77868423386042</v>
      </c>
      <c r="CA249" s="162">
        <v>30</v>
      </c>
      <c r="CB249" s="133">
        <f>8*PI()*12^2/4/BH249/BI249</f>
        <v>5.0265482457436689E-3</v>
      </c>
      <c r="CC249" s="106" t="s">
        <v>4449</v>
      </c>
      <c r="CD249" s="162">
        <v>235</v>
      </c>
      <c r="CE249" s="162">
        <v>287</v>
      </c>
      <c r="CF249" s="162">
        <v>360</v>
      </c>
      <c r="CG249" s="16">
        <v>443.5</v>
      </c>
      <c r="CH249" s="66">
        <v>200000</v>
      </c>
      <c r="CI249" s="106" t="s">
        <v>4449</v>
      </c>
      <c r="CJ249" s="162">
        <v>235</v>
      </c>
      <c r="CK249" s="16">
        <v>266.5</v>
      </c>
      <c r="CL249" s="162">
        <v>360</v>
      </c>
      <c r="CM249" s="16">
        <v>451.5</v>
      </c>
      <c r="CN249" s="66">
        <v>200000</v>
      </c>
      <c r="CO249" s="30" t="s">
        <v>4449</v>
      </c>
      <c r="CP249" s="65">
        <v>235</v>
      </c>
      <c r="CQ249" s="162">
        <v>231</v>
      </c>
      <c r="CR249" s="72">
        <v>360</v>
      </c>
      <c r="CS249" s="162">
        <v>392</v>
      </c>
      <c r="CT249" s="66">
        <v>200000</v>
      </c>
      <c r="CU249" s="305" t="s">
        <v>5797</v>
      </c>
      <c r="CV249" s="16">
        <v>38</v>
      </c>
      <c r="CW249" s="31">
        <v>2.9</v>
      </c>
      <c r="CX249" s="80">
        <v>22900</v>
      </c>
      <c r="CY249" s="162">
        <v>572</v>
      </c>
      <c r="CZ249" s="30">
        <v>650</v>
      </c>
      <c r="DA249" s="66">
        <v>200000</v>
      </c>
      <c r="DB249" s="282" t="s">
        <v>5792</v>
      </c>
      <c r="DC249" s="162">
        <v>8.8000000000000007</v>
      </c>
      <c r="DD249" s="162">
        <v>640</v>
      </c>
      <c r="DE249" s="30">
        <v>730</v>
      </c>
      <c r="DF249" s="162">
        <v>800</v>
      </c>
      <c r="DG249" s="32">
        <v>940</v>
      </c>
      <c r="DH249" s="66">
        <v>205000</v>
      </c>
      <c r="DI249" s="129" t="s">
        <v>5845</v>
      </c>
      <c r="DJ249" s="305" t="s">
        <v>4435</v>
      </c>
      <c r="DK249" s="296" t="s">
        <v>4566</v>
      </c>
    </row>
    <row r="250" spans="1:115">
      <c r="A250" s="306">
        <v>245</v>
      </c>
      <c r="B250" s="326"/>
      <c r="C250" s="326"/>
      <c r="D250" s="346"/>
      <c r="E250" s="334"/>
      <c r="F250" s="326"/>
      <c r="G250" s="329"/>
      <c r="H250" s="326"/>
      <c r="I250" s="326"/>
      <c r="J250" s="309" t="s">
        <v>4615</v>
      </c>
      <c r="K250" s="306" t="s">
        <v>4383</v>
      </c>
      <c r="L250" s="163" t="s">
        <v>5792</v>
      </c>
      <c r="M250" s="306" t="s">
        <v>4508</v>
      </c>
      <c r="N250" s="163" t="s">
        <v>4702</v>
      </c>
      <c r="O250" s="18" t="s">
        <v>4507</v>
      </c>
      <c r="P250" s="163" t="s">
        <v>4470</v>
      </c>
      <c r="Q250" s="163" t="s">
        <v>4420</v>
      </c>
      <c r="R250" s="163" t="s">
        <v>6170</v>
      </c>
      <c r="S250" s="163">
        <v>15</v>
      </c>
      <c r="T250" s="163" t="s">
        <v>4420</v>
      </c>
      <c r="U250" s="163" t="s">
        <v>5792</v>
      </c>
      <c r="V250" s="163" t="s">
        <v>4559</v>
      </c>
      <c r="W250" s="18">
        <v>10</v>
      </c>
      <c r="X250" s="230">
        <v>0</v>
      </c>
      <c r="Y250" s="18">
        <v>0</v>
      </c>
      <c r="Z250" s="306" t="s">
        <v>4341</v>
      </c>
      <c r="AA250" s="21">
        <f>INDEX('[2]Cross-Section Database'!$C$2:$V$2928,MATCH(Z250,'[2]Cross-Section Database'!$B$2:$B$2928,0),3)</f>
        <v>203.2</v>
      </c>
      <c r="AB250" s="21">
        <f>INDEX('[2]Cross-Section Database'!$C$2:$V$2928,MATCH(Z250,'[2]Cross-Section Database'!$B$2:$B$2928,0),4)</f>
        <v>203.6</v>
      </c>
      <c r="AC250" s="21">
        <f>INDEX('[2]Cross-Section Database'!$C$2:$V$2928,MATCH(Z250,'[2]Cross-Section Database'!$B$2:$B$2928,0),6)</f>
        <v>11</v>
      </c>
      <c r="AD250" s="21">
        <f>INDEX('[2]Cross-Section Database'!$C$2:$V$2928,MATCH(Z250,'[2]Cross-Section Database'!$B$2:$B$2928,0),5)</f>
        <v>7.2</v>
      </c>
      <c r="AE250" s="21">
        <v>3470</v>
      </c>
      <c r="AF250" s="306" t="s">
        <v>4219</v>
      </c>
      <c r="AG250" s="21">
        <f>INDEX('[2]Cross-Section Database'!$C$2:$V$2928,MATCH(AF250,'[2]Cross-Section Database'!$B$2:$B$2928,0),3)</f>
        <v>310.39999999999998</v>
      </c>
      <c r="AH250" s="21">
        <f>INDEX('[2]Cross-Section Database'!$C$2:$V$2928,MATCH(AF250,'[2]Cross-Section Database'!$B$2:$B$2928,0),4)</f>
        <v>166.9</v>
      </c>
      <c r="AI250" s="21">
        <f>INDEX('[2]Cross-Section Database'!$C$2:$V$2928,MATCH(AF250,'[2]Cross-Section Database'!$B$2:$B$2928,0),6)</f>
        <v>13.7</v>
      </c>
      <c r="AJ250" s="21">
        <f>INDEX('[2]Cross-Section Database'!$C$2:$V$2928,MATCH(AF250,'[2]Cross-Section Database'!$B$2:$B$2928,0),5)</f>
        <v>7.9</v>
      </c>
      <c r="AK250" s="21">
        <v>1500</v>
      </c>
      <c r="AL250" s="21">
        <f>INDEX('[2]Cross-Section Database'!$C$2:$V$3928,MATCH(AF250,'[2]Cross-Section Database'!$B$2:$B$3928,0),11)</f>
        <v>117000000</v>
      </c>
      <c r="AM250" s="24">
        <f>INDEX('[2]Cross-Section Database'!$C$2:$V$3928,MATCH(AF250,'[2]Cross-Section Database'!$B$2:$B$3928,0),12)</f>
        <v>846100</v>
      </c>
      <c r="AN250" s="21">
        <v>12</v>
      </c>
      <c r="AO250" s="21">
        <v>175</v>
      </c>
      <c r="AP250" s="21">
        <v>330</v>
      </c>
      <c r="AQ250" s="21">
        <v>10</v>
      </c>
      <c r="AR250" s="21">
        <f t="shared" si="122"/>
        <v>9.8000000000000114</v>
      </c>
      <c r="AS250" s="306" t="s">
        <v>5807</v>
      </c>
      <c r="AT250" s="163" t="s">
        <v>4563</v>
      </c>
      <c r="AU250" s="44">
        <f t="shared" ref="AU250:AU259" si="134" xml:space="preserve"> 200/AV250/0.25</f>
        <v>40</v>
      </c>
      <c r="AV250" s="163">
        <v>20</v>
      </c>
      <c r="AW250" s="163">
        <f t="shared" si="124"/>
        <v>245</v>
      </c>
      <c r="AX250" s="21">
        <v>60</v>
      </c>
      <c r="AY250" s="21">
        <f t="shared" si="127"/>
        <v>60</v>
      </c>
      <c r="AZ250" s="21">
        <v>0</v>
      </c>
      <c r="BA250" s="21">
        <v>90</v>
      </c>
      <c r="BB250" s="21">
        <f t="shared" si="125"/>
        <v>210</v>
      </c>
      <c r="BC250" s="15" t="s">
        <v>4470</v>
      </c>
      <c r="BD250" s="163" t="s">
        <v>6209</v>
      </c>
      <c r="BE250" s="163" t="s">
        <v>6209</v>
      </c>
      <c r="BF250" s="163">
        <v>2</v>
      </c>
      <c r="BG250" s="163">
        <v>4</v>
      </c>
      <c r="BH250" s="306">
        <v>120</v>
      </c>
      <c r="BI250" s="163">
        <v>1500</v>
      </c>
      <c r="BJ250" s="203" t="s">
        <v>5792</v>
      </c>
      <c r="BK250" s="203" t="s">
        <v>5792</v>
      </c>
      <c r="BL250" s="203" t="s">
        <v>5792</v>
      </c>
      <c r="BM250" s="203" t="s">
        <v>5792</v>
      </c>
      <c r="BN250" s="203" t="s">
        <v>5792</v>
      </c>
      <c r="BO250" s="203" t="s">
        <v>5792</v>
      </c>
      <c r="BP250" s="306" t="s">
        <v>5856</v>
      </c>
      <c r="BQ250" s="163">
        <v>14</v>
      </c>
      <c r="BR250" s="163">
        <v>2</v>
      </c>
      <c r="BS250" s="163">
        <v>19</v>
      </c>
      <c r="BT250" s="163">
        <v>100</v>
      </c>
      <c r="BU250" s="163">
        <v>90</v>
      </c>
      <c r="BV250" s="18">
        <v>240</v>
      </c>
      <c r="BW250" s="163" t="s">
        <v>4573</v>
      </c>
      <c r="BX250" s="163" t="s">
        <v>4620</v>
      </c>
      <c r="BY250" s="21">
        <v>0</v>
      </c>
      <c r="BZ250" s="21">
        <f>10*PI()*16^2/4</f>
        <v>2010.6192982974676</v>
      </c>
      <c r="CA250" s="163">
        <v>30</v>
      </c>
      <c r="CB250" s="134">
        <f>10*PI()*16^2/4/BH250/BI250</f>
        <v>1.1170107212763708E-2</v>
      </c>
      <c r="CC250" s="107" t="s">
        <v>4449</v>
      </c>
      <c r="CD250" s="163">
        <v>235</v>
      </c>
      <c r="CE250" s="163">
        <v>287</v>
      </c>
      <c r="CF250" s="163">
        <v>360</v>
      </c>
      <c r="CG250" s="21">
        <v>443.5</v>
      </c>
      <c r="CH250" s="67">
        <v>200000</v>
      </c>
      <c r="CI250" s="107" t="s">
        <v>4449</v>
      </c>
      <c r="CJ250" s="163">
        <v>235</v>
      </c>
      <c r="CK250" s="21">
        <v>266.5</v>
      </c>
      <c r="CL250" s="163">
        <v>360</v>
      </c>
      <c r="CM250" s="21">
        <v>451.5</v>
      </c>
      <c r="CN250" s="67">
        <v>200000</v>
      </c>
      <c r="CO250" s="32" t="s">
        <v>4449</v>
      </c>
      <c r="CP250" s="60">
        <v>235</v>
      </c>
      <c r="CQ250" s="163">
        <v>231</v>
      </c>
      <c r="CR250" s="47">
        <v>360</v>
      </c>
      <c r="CS250" s="163">
        <v>392</v>
      </c>
      <c r="CT250" s="67">
        <v>200000</v>
      </c>
      <c r="CU250" s="306" t="s">
        <v>5797</v>
      </c>
      <c r="CV250" s="21">
        <v>29.4</v>
      </c>
      <c r="CW250" s="33">
        <v>2.9</v>
      </c>
      <c r="CX250" s="68">
        <v>20300</v>
      </c>
      <c r="CY250" s="163">
        <v>579</v>
      </c>
      <c r="CZ250" s="32">
        <v>650</v>
      </c>
      <c r="DA250" s="67">
        <v>200000</v>
      </c>
      <c r="DB250" s="283" t="s">
        <v>5792</v>
      </c>
      <c r="DC250" s="163">
        <v>8.8000000000000007</v>
      </c>
      <c r="DD250" s="163">
        <v>640</v>
      </c>
      <c r="DE250" s="32">
        <v>730</v>
      </c>
      <c r="DF250" s="163">
        <v>800</v>
      </c>
      <c r="DG250" s="32">
        <v>940</v>
      </c>
      <c r="DH250" s="67">
        <v>205000</v>
      </c>
      <c r="DI250" s="131" t="s">
        <v>4800</v>
      </c>
      <c r="DJ250" s="306" t="s">
        <v>4435</v>
      </c>
      <c r="DK250" s="297" t="s">
        <v>4566</v>
      </c>
    </row>
    <row r="251" spans="1:115">
      <c r="A251" s="306">
        <v>246</v>
      </c>
      <c r="B251" s="326"/>
      <c r="C251" s="326"/>
      <c r="D251" s="346"/>
      <c r="E251" s="334"/>
      <c r="F251" s="326"/>
      <c r="G251" s="329"/>
      <c r="H251" s="326"/>
      <c r="I251" s="326"/>
      <c r="J251" s="309" t="s">
        <v>4616</v>
      </c>
      <c r="K251" s="306" t="s">
        <v>4383</v>
      </c>
      <c r="L251" s="163" t="s">
        <v>5792</v>
      </c>
      <c r="M251" s="306" t="s">
        <v>4508</v>
      </c>
      <c r="N251" s="163" t="s">
        <v>4702</v>
      </c>
      <c r="O251" s="18" t="s">
        <v>4507</v>
      </c>
      <c r="P251" s="163" t="s">
        <v>4470</v>
      </c>
      <c r="Q251" s="163" t="s">
        <v>4420</v>
      </c>
      <c r="R251" s="163" t="s">
        <v>6170</v>
      </c>
      <c r="S251" s="163">
        <v>15</v>
      </c>
      <c r="T251" s="163" t="s">
        <v>4420</v>
      </c>
      <c r="U251" s="163" t="s">
        <v>5792</v>
      </c>
      <c r="V251" s="163" t="s">
        <v>4559</v>
      </c>
      <c r="W251" s="18">
        <v>10</v>
      </c>
      <c r="X251" s="230">
        <v>0</v>
      </c>
      <c r="Y251" s="18">
        <v>0</v>
      </c>
      <c r="Z251" s="306" t="s">
        <v>4341</v>
      </c>
      <c r="AA251" s="21">
        <f>INDEX('[2]Cross-Section Database'!$C$2:$V$2928,MATCH(Z251,'[2]Cross-Section Database'!$B$2:$B$2928,0),3)</f>
        <v>203.2</v>
      </c>
      <c r="AB251" s="21">
        <f>INDEX('[2]Cross-Section Database'!$C$2:$V$2928,MATCH(Z251,'[2]Cross-Section Database'!$B$2:$B$2928,0),4)</f>
        <v>203.6</v>
      </c>
      <c r="AC251" s="21">
        <f>INDEX('[2]Cross-Section Database'!$C$2:$V$2928,MATCH(Z251,'[2]Cross-Section Database'!$B$2:$B$2928,0),6)</f>
        <v>11</v>
      </c>
      <c r="AD251" s="21">
        <f>INDEX('[2]Cross-Section Database'!$C$2:$V$2928,MATCH(Z251,'[2]Cross-Section Database'!$B$2:$B$2928,0),5)</f>
        <v>7.2</v>
      </c>
      <c r="AE251" s="21">
        <v>3470</v>
      </c>
      <c r="AF251" s="306" t="s">
        <v>4219</v>
      </c>
      <c r="AG251" s="21">
        <f>INDEX('[2]Cross-Section Database'!$C$2:$V$2928,MATCH(AF251,'[2]Cross-Section Database'!$B$2:$B$2928,0),3)</f>
        <v>310.39999999999998</v>
      </c>
      <c r="AH251" s="21">
        <f>INDEX('[2]Cross-Section Database'!$C$2:$V$2928,MATCH(AF251,'[2]Cross-Section Database'!$B$2:$B$2928,0),4)</f>
        <v>166.9</v>
      </c>
      <c r="AI251" s="21">
        <f>INDEX('[2]Cross-Section Database'!$C$2:$V$2928,MATCH(AF251,'[2]Cross-Section Database'!$B$2:$B$2928,0),6)</f>
        <v>13.7</v>
      </c>
      <c r="AJ251" s="21">
        <f>INDEX('[2]Cross-Section Database'!$C$2:$V$2928,MATCH(AF251,'[2]Cross-Section Database'!$B$2:$B$2928,0),5)</f>
        <v>7.9</v>
      </c>
      <c r="AK251" s="21">
        <v>1500</v>
      </c>
      <c r="AL251" s="21">
        <f>INDEX('[2]Cross-Section Database'!$C$2:$V$3928,MATCH(AF251,'[2]Cross-Section Database'!$B$2:$B$3928,0),11)</f>
        <v>117000000</v>
      </c>
      <c r="AM251" s="24">
        <f>INDEX('[2]Cross-Section Database'!$C$2:$V$3928,MATCH(AF251,'[2]Cross-Section Database'!$B$2:$B$3928,0),12)</f>
        <v>846100</v>
      </c>
      <c r="AN251" s="21">
        <v>12</v>
      </c>
      <c r="AO251" s="21">
        <v>175</v>
      </c>
      <c r="AP251" s="21">
        <v>330</v>
      </c>
      <c r="AQ251" s="21">
        <v>10</v>
      </c>
      <c r="AR251" s="21">
        <f t="shared" si="122"/>
        <v>9.8000000000000114</v>
      </c>
      <c r="AS251" s="306" t="s">
        <v>5807</v>
      </c>
      <c r="AT251" s="163" t="s">
        <v>4563</v>
      </c>
      <c r="AU251" s="163">
        <f t="shared" si="134"/>
        <v>40</v>
      </c>
      <c r="AV251" s="163">
        <v>20</v>
      </c>
      <c r="AW251" s="163">
        <f t="shared" si="124"/>
        <v>245</v>
      </c>
      <c r="AX251" s="21">
        <v>60</v>
      </c>
      <c r="AY251" s="21">
        <f t="shared" si="127"/>
        <v>60</v>
      </c>
      <c r="AZ251" s="21">
        <v>0</v>
      </c>
      <c r="BA251" s="21">
        <v>90</v>
      </c>
      <c r="BB251" s="21">
        <f t="shared" si="125"/>
        <v>210</v>
      </c>
      <c r="BC251" s="15" t="s">
        <v>4470</v>
      </c>
      <c r="BD251" s="163" t="s">
        <v>6209</v>
      </c>
      <c r="BE251" s="163" t="s">
        <v>6209</v>
      </c>
      <c r="BF251" s="163">
        <v>2</v>
      </c>
      <c r="BG251" s="163">
        <v>4</v>
      </c>
      <c r="BH251" s="306">
        <v>120</v>
      </c>
      <c r="BI251" s="163">
        <v>1500</v>
      </c>
      <c r="BJ251" s="203" t="s">
        <v>5792</v>
      </c>
      <c r="BK251" s="203" t="s">
        <v>5792</v>
      </c>
      <c r="BL251" s="203" t="s">
        <v>5792</v>
      </c>
      <c r="BM251" s="203" t="s">
        <v>5792</v>
      </c>
      <c r="BN251" s="203" t="s">
        <v>5792</v>
      </c>
      <c r="BO251" s="203" t="s">
        <v>5792</v>
      </c>
      <c r="BP251" s="306" t="s">
        <v>5856</v>
      </c>
      <c r="BQ251" s="163">
        <v>20</v>
      </c>
      <c r="BR251" s="163">
        <v>2</v>
      </c>
      <c r="BS251" s="163">
        <v>19</v>
      </c>
      <c r="BT251" s="163">
        <v>100</v>
      </c>
      <c r="BU251" s="163">
        <v>90</v>
      </c>
      <c r="BV251" s="18">
        <v>160</v>
      </c>
      <c r="BW251" s="163" t="s">
        <v>4573</v>
      </c>
      <c r="BX251" s="163" t="s">
        <v>4621</v>
      </c>
      <c r="BY251" s="21">
        <v>0</v>
      </c>
      <c r="BZ251" s="21">
        <f>14*PI()*16^2/4</f>
        <v>2814.8670176164546</v>
      </c>
      <c r="CA251" s="163">
        <v>30</v>
      </c>
      <c r="CB251" s="134">
        <f>14*PI()*16^2/4/BH251/BI251</f>
        <v>1.5638150097869192E-2</v>
      </c>
      <c r="CC251" s="107" t="s">
        <v>4449</v>
      </c>
      <c r="CD251" s="163">
        <v>235</v>
      </c>
      <c r="CE251" s="163">
        <v>287</v>
      </c>
      <c r="CF251" s="163">
        <v>360</v>
      </c>
      <c r="CG251" s="21">
        <v>443.5</v>
      </c>
      <c r="CH251" s="67">
        <v>200000</v>
      </c>
      <c r="CI251" s="107" t="s">
        <v>4449</v>
      </c>
      <c r="CJ251" s="163">
        <v>235</v>
      </c>
      <c r="CK251" s="21">
        <v>266.5</v>
      </c>
      <c r="CL251" s="163">
        <v>360</v>
      </c>
      <c r="CM251" s="21">
        <v>451.5</v>
      </c>
      <c r="CN251" s="67">
        <v>200000</v>
      </c>
      <c r="CO251" s="32" t="s">
        <v>4449</v>
      </c>
      <c r="CP251" s="60">
        <v>235</v>
      </c>
      <c r="CQ251" s="163">
        <v>231</v>
      </c>
      <c r="CR251" s="47">
        <v>360</v>
      </c>
      <c r="CS251" s="163">
        <v>392</v>
      </c>
      <c r="CT251" s="67">
        <v>200000</v>
      </c>
      <c r="CU251" s="306" t="s">
        <v>5797</v>
      </c>
      <c r="CV251" s="21">
        <v>34.200000000000003</v>
      </c>
      <c r="CW251" s="33">
        <v>2.9</v>
      </c>
      <c r="CX251" s="68">
        <v>24100</v>
      </c>
      <c r="CY251" s="163">
        <v>579</v>
      </c>
      <c r="CZ251" s="32">
        <v>650</v>
      </c>
      <c r="DA251" s="67">
        <v>200000</v>
      </c>
      <c r="DB251" s="283" t="s">
        <v>5792</v>
      </c>
      <c r="DC251" s="163">
        <v>8.8000000000000007</v>
      </c>
      <c r="DD251" s="163">
        <v>640</v>
      </c>
      <c r="DE251" s="32">
        <v>730</v>
      </c>
      <c r="DF251" s="163">
        <v>800</v>
      </c>
      <c r="DG251" s="32">
        <v>940</v>
      </c>
      <c r="DH251" s="67">
        <v>205000</v>
      </c>
      <c r="DI251" s="131" t="s">
        <v>4800</v>
      </c>
      <c r="DJ251" s="306" t="s">
        <v>4435</v>
      </c>
      <c r="DK251" s="297" t="s">
        <v>4566</v>
      </c>
    </row>
    <row r="252" spans="1:115">
      <c r="A252" s="306">
        <v>247</v>
      </c>
      <c r="B252" s="326"/>
      <c r="C252" s="326"/>
      <c r="D252" s="346"/>
      <c r="E252" s="334"/>
      <c r="F252" s="326"/>
      <c r="G252" s="329"/>
      <c r="H252" s="326"/>
      <c r="I252" s="326"/>
      <c r="J252" s="309" t="s">
        <v>4617</v>
      </c>
      <c r="K252" s="306" t="s">
        <v>4383</v>
      </c>
      <c r="L252" s="163" t="s">
        <v>5792</v>
      </c>
      <c r="M252" s="306" t="s">
        <v>4508</v>
      </c>
      <c r="N252" s="163" t="s">
        <v>4702</v>
      </c>
      <c r="O252" s="18" t="s">
        <v>4507</v>
      </c>
      <c r="P252" s="163" t="s">
        <v>4470</v>
      </c>
      <c r="Q252" s="163" t="s">
        <v>4420</v>
      </c>
      <c r="R252" s="163" t="s">
        <v>4420</v>
      </c>
      <c r="S252" s="163" t="s">
        <v>5792</v>
      </c>
      <c r="T252" s="163" t="s">
        <v>4420</v>
      </c>
      <c r="U252" s="163" t="s">
        <v>5792</v>
      </c>
      <c r="V252" s="163" t="s">
        <v>4559</v>
      </c>
      <c r="W252" s="18">
        <v>10</v>
      </c>
      <c r="X252" s="230">
        <v>0</v>
      </c>
      <c r="Y252" s="18">
        <v>0</v>
      </c>
      <c r="Z252" s="306" t="s">
        <v>4341</v>
      </c>
      <c r="AA252" s="21">
        <f>INDEX('[2]Cross-Section Database'!$C$2:$V$2928,MATCH(Z252,'[2]Cross-Section Database'!$B$2:$B$2928,0),3)</f>
        <v>203.2</v>
      </c>
      <c r="AB252" s="21">
        <f>INDEX('[2]Cross-Section Database'!$C$2:$V$2928,MATCH(Z252,'[2]Cross-Section Database'!$B$2:$B$2928,0),4)</f>
        <v>203.6</v>
      </c>
      <c r="AC252" s="21">
        <f>INDEX('[2]Cross-Section Database'!$C$2:$V$2928,MATCH(Z252,'[2]Cross-Section Database'!$B$2:$B$2928,0),6)</f>
        <v>11</v>
      </c>
      <c r="AD252" s="21">
        <f>INDEX('[2]Cross-Section Database'!$C$2:$V$2928,MATCH(Z252,'[2]Cross-Section Database'!$B$2:$B$2928,0),5)</f>
        <v>7.2</v>
      </c>
      <c r="AE252" s="21">
        <v>3470</v>
      </c>
      <c r="AF252" s="306" t="s">
        <v>4219</v>
      </c>
      <c r="AG252" s="21">
        <f>INDEX('[2]Cross-Section Database'!$C$2:$V$2928,MATCH(AF252,'[2]Cross-Section Database'!$B$2:$B$2928,0),3)</f>
        <v>310.39999999999998</v>
      </c>
      <c r="AH252" s="21">
        <f>INDEX('[2]Cross-Section Database'!$C$2:$V$2928,MATCH(AF252,'[2]Cross-Section Database'!$B$2:$B$2928,0),4)</f>
        <v>166.9</v>
      </c>
      <c r="AI252" s="21">
        <f>INDEX('[2]Cross-Section Database'!$C$2:$V$2928,MATCH(AF252,'[2]Cross-Section Database'!$B$2:$B$2928,0),6)</f>
        <v>13.7</v>
      </c>
      <c r="AJ252" s="21">
        <f>INDEX('[2]Cross-Section Database'!$C$2:$V$2928,MATCH(AF252,'[2]Cross-Section Database'!$B$2:$B$2928,0),5)</f>
        <v>7.9</v>
      </c>
      <c r="AK252" s="21">
        <v>1500</v>
      </c>
      <c r="AL252" s="21">
        <f>INDEX('[2]Cross-Section Database'!$C$2:$V$3928,MATCH(AF252,'[2]Cross-Section Database'!$B$2:$B$3928,0),11)</f>
        <v>117000000</v>
      </c>
      <c r="AM252" s="24">
        <f>INDEX('[2]Cross-Section Database'!$C$2:$V$3928,MATCH(AF252,'[2]Cross-Section Database'!$B$2:$B$3928,0),12)</f>
        <v>846100</v>
      </c>
      <c r="AN252" s="21">
        <v>12</v>
      </c>
      <c r="AO252" s="21">
        <v>175</v>
      </c>
      <c r="AP252" s="21">
        <v>330</v>
      </c>
      <c r="AQ252" s="21">
        <v>10</v>
      </c>
      <c r="AR252" s="21">
        <f t="shared" si="122"/>
        <v>9.8000000000000114</v>
      </c>
      <c r="AS252" s="306" t="s">
        <v>5807</v>
      </c>
      <c r="AT252" s="163" t="s">
        <v>4563</v>
      </c>
      <c r="AU252" s="163">
        <f t="shared" si="134"/>
        <v>40</v>
      </c>
      <c r="AV252" s="163">
        <v>20</v>
      </c>
      <c r="AW252" s="163">
        <f t="shared" si="124"/>
        <v>245</v>
      </c>
      <c r="AX252" s="21">
        <v>60</v>
      </c>
      <c r="AY252" s="21">
        <f t="shared" si="127"/>
        <v>60</v>
      </c>
      <c r="AZ252" s="21">
        <v>0</v>
      </c>
      <c r="BA252" s="21">
        <v>90</v>
      </c>
      <c r="BB252" s="21">
        <f t="shared" si="125"/>
        <v>210</v>
      </c>
      <c r="BC252" s="15" t="s">
        <v>4470</v>
      </c>
      <c r="BD252" s="163" t="s">
        <v>6209</v>
      </c>
      <c r="BE252" s="163" t="s">
        <v>6209</v>
      </c>
      <c r="BF252" s="163">
        <v>2</v>
      </c>
      <c r="BG252" s="163">
        <v>4</v>
      </c>
      <c r="BH252" s="306">
        <v>120</v>
      </c>
      <c r="BI252" s="163">
        <v>1500</v>
      </c>
      <c r="BJ252" s="203" t="s">
        <v>5792</v>
      </c>
      <c r="BK252" s="203" t="s">
        <v>5792</v>
      </c>
      <c r="BL252" s="203" t="s">
        <v>5792</v>
      </c>
      <c r="BM252" s="203" t="s">
        <v>5792</v>
      </c>
      <c r="BN252" s="203" t="s">
        <v>5792</v>
      </c>
      <c r="BO252" s="203" t="s">
        <v>5792</v>
      </c>
      <c r="BP252" s="306" t="s">
        <v>5856</v>
      </c>
      <c r="BQ252" s="163">
        <v>14</v>
      </c>
      <c r="BR252" s="163">
        <v>2</v>
      </c>
      <c r="BS252" s="163">
        <v>19</v>
      </c>
      <c r="BT252" s="163">
        <v>100</v>
      </c>
      <c r="BU252" s="163">
        <v>90</v>
      </c>
      <c r="BV252" s="18">
        <v>240</v>
      </c>
      <c r="BW252" s="163" t="s">
        <v>4573</v>
      </c>
      <c r="BX252" s="163" t="s">
        <v>4620</v>
      </c>
      <c r="BY252" s="21">
        <v>0</v>
      </c>
      <c r="BZ252" s="21">
        <f>10*PI()*16^2/4</f>
        <v>2010.6192982974676</v>
      </c>
      <c r="CA252" s="163">
        <v>30</v>
      </c>
      <c r="CB252" s="134">
        <f>10*PI()*16^2/4/BH252/BI252</f>
        <v>1.1170107212763708E-2</v>
      </c>
      <c r="CC252" s="107" t="s">
        <v>4449</v>
      </c>
      <c r="CD252" s="163">
        <v>235</v>
      </c>
      <c r="CE252" s="163">
        <v>287</v>
      </c>
      <c r="CF252" s="163">
        <v>360</v>
      </c>
      <c r="CG252" s="21">
        <v>443.5</v>
      </c>
      <c r="CH252" s="67">
        <v>200000</v>
      </c>
      <c r="CI252" s="107" t="s">
        <v>4449</v>
      </c>
      <c r="CJ252" s="163">
        <v>235</v>
      </c>
      <c r="CK252" s="21">
        <v>266.5</v>
      </c>
      <c r="CL252" s="163">
        <v>360</v>
      </c>
      <c r="CM252" s="21">
        <v>451.5</v>
      </c>
      <c r="CN252" s="67">
        <v>200000</v>
      </c>
      <c r="CO252" s="32" t="s">
        <v>4449</v>
      </c>
      <c r="CP252" s="60">
        <v>235</v>
      </c>
      <c r="CQ252" s="163">
        <v>231</v>
      </c>
      <c r="CR252" s="47">
        <v>360</v>
      </c>
      <c r="CS252" s="163">
        <v>392</v>
      </c>
      <c r="CT252" s="67">
        <v>200000</v>
      </c>
      <c r="CU252" s="306" t="s">
        <v>5797</v>
      </c>
      <c r="CV252" s="21">
        <v>30</v>
      </c>
      <c r="CW252" s="33">
        <v>2.9</v>
      </c>
      <c r="CX252" s="68">
        <v>20500</v>
      </c>
      <c r="CY252" s="163">
        <v>579</v>
      </c>
      <c r="CZ252" s="32">
        <v>650</v>
      </c>
      <c r="DA252" s="67">
        <v>200000</v>
      </c>
      <c r="DB252" s="283" t="s">
        <v>5792</v>
      </c>
      <c r="DC252" s="163">
        <v>8.8000000000000007</v>
      </c>
      <c r="DD252" s="163">
        <v>640</v>
      </c>
      <c r="DE252" s="32">
        <v>730</v>
      </c>
      <c r="DF252" s="163">
        <v>800</v>
      </c>
      <c r="DG252" s="32">
        <v>940</v>
      </c>
      <c r="DH252" s="67">
        <v>205000</v>
      </c>
      <c r="DI252" s="131" t="s">
        <v>4776</v>
      </c>
      <c r="DJ252" s="306" t="s">
        <v>4435</v>
      </c>
      <c r="DK252" s="297" t="s">
        <v>4566</v>
      </c>
    </row>
    <row r="253" spans="1:115">
      <c r="A253" s="306">
        <v>248</v>
      </c>
      <c r="B253" s="326"/>
      <c r="C253" s="326"/>
      <c r="D253" s="346"/>
      <c r="E253" s="334"/>
      <c r="F253" s="326"/>
      <c r="G253" s="329"/>
      <c r="H253" s="326"/>
      <c r="I253" s="326"/>
      <c r="J253" s="309" t="s">
        <v>4618</v>
      </c>
      <c r="K253" s="306" t="s">
        <v>4383</v>
      </c>
      <c r="L253" s="163" t="s">
        <v>5792</v>
      </c>
      <c r="M253" s="306" t="s">
        <v>4508</v>
      </c>
      <c r="N253" s="163" t="s">
        <v>4702</v>
      </c>
      <c r="O253" s="18" t="s">
        <v>4507</v>
      </c>
      <c r="P253" s="163" t="s">
        <v>4470</v>
      </c>
      <c r="Q253" s="163" t="s">
        <v>4470</v>
      </c>
      <c r="R253" s="163" t="s">
        <v>4420</v>
      </c>
      <c r="S253" s="163" t="s">
        <v>5792</v>
      </c>
      <c r="T253" s="163" t="s">
        <v>4420</v>
      </c>
      <c r="U253" s="163" t="s">
        <v>5792</v>
      </c>
      <c r="V253" s="163" t="s">
        <v>4559</v>
      </c>
      <c r="W253" s="18">
        <v>10</v>
      </c>
      <c r="X253" s="230">
        <v>0</v>
      </c>
      <c r="Y253" s="18">
        <v>0</v>
      </c>
      <c r="Z253" s="306" t="s">
        <v>4341</v>
      </c>
      <c r="AA253" s="21">
        <f>INDEX('[2]Cross-Section Database'!$C$2:$V$2928,MATCH(Z253,'[2]Cross-Section Database'!$B$2:$B$2928,0),3)</f>
        <v>203.2</v>
      </c>
      <c r="AB253" s="21">
        <f>INDEX('[2]Cross-Section Database'!$C$2:$V$2928,MATCH(Z253,'[2]Cross-Section Database'!$B$2:$B$2928,0),4)</f>
        <v>203.6</v>
      </c>
      <c r="AC253" s="21">
        <f>INDEX('[2]Cross-Section Database'!$C$2:$V$2928,MATCH(Z253,'[2]Cross-Section Database'!$B$2:$B$2928,0),6)</f>
        <v>11</v>
      </c>
      <c r="AD253" s="21">
        <f>INDEX('[2]Cross-Section Database'!$C$2:$V$2928,MATCH(Z253,'[2]Cross-Section Database'!$B$2:$B$2928,0),5)</f>
        <v>7.2</v>
      </c>
      <c r="AE253" s="21">
        <v>3470</v>
      </c>
      <c r="AF253" s="306" t="s">
        <v>4219</v>
      </c>
      <c r="AG253" s="21">
        <f>INDEX('[2]Cross-Section Database'!$C$2:$V$2928,MATCH(AF253,'[2]Cross-Section Database'!$B$2:$B$2928,0),3)</f>
        <v>310.39999999999998</v>
      </c>
      <c r="AH253" s="21">
        <f>INDEX('[2]Cross-Section Database'!$C$2:$V$2928,MATCH(AF253,'[2]Cross-Section Database'!$B$2:$B$2928,0),4)</f>
        <v>166.9</v>
      </c>
      <c r="AI253" s="21">
        <f>INDEX('[2]Cross-Section Database'!$C$2:$V$2928,MATCH(AF253,'[2]Cross-Section Database'!$B$2:$B$2928,0),6)</f>
        <v>13.7</v>
      </c>
      <c r="AJ253" s="21">
        <f>INDEX('[2]Cross-Section Database'!$C$2:$V$2928,MATCH(AF253,'[2]Cross-Section Database'!$B$2:$B$2928,0),5)</f>
        <v>7.9</v>
      </c>
      <c r="AK253" s="21">
        <v>1500</v>
      </c>
      <c r="AL253" s="21">
        <f>INDEX('[2]Cross-Section Database'!$C$2:$V$3928,MATCH(AF253,'[2]Cross-Section Database'!$B$2:$B$3928,0),11)</f>
        <v>117000000</v>
      </c>
      <c r="AM253" s="24">
        <f>INDEX('[2]Cross-Section Database'!$C$2:$V$3928,MATCH(AF253,'[2]Cross-Section Database'!$B$2:$B$3928,0),12)</f>
        <v>846100</v>
      </c>
      <c r="AN253" s="21">
        <v>12</v>
      </c>
      <c r="AO253" s="21">
        <v>175</v>
      </c>
      <c r="AP253" s="21">
        <v>330</v>
      </c>
      <c r="AQ253" s="21">
        <v>10</v>
      </c>
      <c r="AR253" s="21">
        <f t="shared" si="122"/>
        <v>9.8000000000000114</v>
      </c>
      <c r="AS253" s="306" t="s">
        <v>5807</v>
      </c>
      <c r="AT253" s="163" t="s">
        <v>4563</v>
      </c>
      <c r="AU253" s="163">
        <f t="shared" si="134"/>
        <v>40</v>
      </c>
      <c r="AV253" s="163">
        <v>20</v>
      </c>
      <c r="AW253" s="163">
        <f t="shared" si="124"/>
        <v>245</v>
      </c>
      <c r="AX253" s="21">
        <v>60</v>
      </c>
      <c r="AY253" s="21">
        <f t="shared" si="127"/>
        <v>60</v>
      </c>
      <c r="AZ253" s="21">
        <v>0</v>
      </c>
      <c r="BA253" s="21">
        <v>90</v>
      </c>
      <c r="BB253" s="21">
        <f t="shared" si="125"/>
        <v>210</v>
      </c>
      <c r="BC253" s="15" t="s">
        <v>4470</v>
      </c>
      <c r="BD253" s="163" t="s">
        <v>6209</v>
      </c>
      <c r="BE253" s="163" t="s">
        <v>6209</v>
      </c>
      <c r="BF253" s="163">
        <v>2</v>
      </c>
      <c r="BG253" s="163">
        <v>4</v>
      </c>
      <c r="BH253" s="306">
        <v>120</v>
      </c>
      <c r="BI253" s="163">
        <v>1500</v>
      </c>
      <c r="BJ253" s="203" t="s">
        <v>5792</v>
      </c>
      <c r="BK253" s="203" t="s">
        <v>5792</v>
      </c>
      <c r="BL253" s="203" t="s">
        <v>5792</v>
      </c>
      <c r="BM253" s="203" t="s">
        <v>5792</v>
      </c>
      <c r="BN253" s="203" t="s">
        <v>5792</v>
      </c>
      <c r="BO253" s="203" t="s">
        <v>5792</v>
      </c>
      <c r="BP253" s="306" t="s">
        <v>5856</v>
      </c>
      <c r="BQ253" s="163">
        <v>14</v>
      </c>
      <c r="BR253" s="163">
        <v>2</v>
      </c>
      <c r="BS253" s="163">
        <v>19</v>
      </c>
      <c r="BT253" s="163">
        <v>100</v>
      </c>
      <c r="BU253" s="163">
        <v>90</v>
      </c>
      <c r="BV253" s="18">
        <v>240</v>
      </c>
      <c r="BW253" s="163" t="s">
        <v>4573</v>
      </c>
      <c r="BX253" s="163" t="s">
        <v>4620</v>
      </c>
      <c r="BY253" s="21">
        <v>0</v>
      </c>
      <c r="BZ253" s="21">
        <f>10*PI()*16^2/4</f>
        <v>2010.6192982974676</v>
      </c>
      <c r="CA253" s="163">
        <v>30</v>
      </c>
      <c r="CB253" s="134">
        <f>10*PI()*16^2/4/BH253/BI253</f>
        <v>1.1170107212763708E-2</v>
      </c>
      <c r="CC253" s="107" t="s">
        <v>4449</v>
      </c>
      <c r="CD253" s="21">
        <v>235</v>
      </c>
      <c r="CE253" s="21">
        <v>287</v>
      </c>
      <c r="CF253" s="21">
        <v>360</v>
      </c>
      <c r="CG253" s="21">
        <v>443.5</v>
      </c>
      <c r="CH253" s="67">
        <v>200000</v>
      </c>
      <c r="CI253" s="107" t="s">
        <v>4449</v>
      </c>
      <c r="CJ253" s="21">
        <v>235</v>
      </c>
      <c r="CK253" s="21">
        <v>266.5</v>
      </c>
      <c r="CL253" s="21">
        <v>360</v>
      </c>
      <c r="CM253" s="21">
        <v>451.5</v>
      </c>
      <c r="CN253" s="67">
        <v>200000</v>
      </c>
      <c r="CO253" s="32" t="s">
        <v>4449</v>
      </c>
      <c r="CP253" s="60">
        <v>235</v>
      </c>
      <c r="CQ253" s="163">
        <v>231</v>
      </c>
      <c r="CR253" s="47">
        <v>360</v>
      </c>
      <c r="CS253" s="163">
        <v>392</v>
      </c>
      <c r="CT253" s="67">
        <v>200000</v>
      </c>
      <c r="CU253" s="306" t="s">
        <v>5797</v>
      </c>
      <c r="CV253" s="21">
        <v>42.1</v>
      </c>
      <c r="CW253" s="33">
        <v>2.9</v>
      </c>
      <c r="CX253" s="68">
        <v>24500</v>
      </c>
      <c r="CY253" s="163">
        <v>579</v>
      </c>
      <c r="CZ253" s="32">
        <v>650</v>
      </c>
      <c r="DA253" s="67">
        <v>200000</v>
      </c>
      <c r="DB253" s="283" t="s">
        <v>5792</v>
      </c>
      <c r="DC253" s="163">
        <v>8.8000000000000007</v>
      </c>
      <c r="DD253" s="163">
        <v>640</v>
      </c>
      <c r="DE253" s="32">
        <v>730</v>
      </c>
      <c r="DF253" s="163">
        <v>800</v>
      </c>
      <c r="DG253" s="32">
        <v>940</v>
      </c>
      <c r="DH253" s="67">
        <v>205000</v>
      </c>
      <c r="DI253" s="131" t="s">
        <v>4800</v>
      </c>
      <c r="DJ253" s="306" t="s">
        <v>4435</v>
      </c>
      <c r="DK253" s="297" t="s">
        <v>6123</v>
      </c>
    </row>
    <row r="254" spans="1:115">
      <c r="A254" s="306">
        <v>249</v>
      </c>
      <c r="B254" s="326"/>
      <c r="C254" s="326"/>
      <c r="D254" s="346"/>
      <c r="E254" s="334"/>
      <c r="F254" s="326"/>
      <c r="G254" s="329"/>
      <c r="H254" s="326"/>
      <c r="I254" s="326"/>
      <c r="J254" s="309" t="s">
        <v>4619</v>
      </c>
      <c r="K254" s="306" t="s">
        <v>4383</v>
      </c>
      <c r="L254" s="163" t="s">
        <v>5792</v>
      </c>
      <c r="M254" s="306" t="s">
        <v>4508</v>
      </c>
      <c r="N254" s="163" t="s">
        <v>4702</v>
      </c>
      <c r="O254" s="18" t="s">
        <v>4507</v>
      </c>
      <c r="P254" s="163" t="s">
        <v>4470</v>
      </c>
      <c r="Q254" s="163" t="s">
        <v>4470</v>
      </c>
      <c r="R254" s="163" t="s">
        <v>4420</v>
      </c>
      <c r="S254" s="163" t="s">
        <v>5792</v>
      </c>
      <c r="T254" s="163" t="s">
        <v>4420</v>
      </c>
      <c r="U254" s="163" t="s">
        <v>5792</v>
      </c>
      <c r="V254" s="163" t="s">
        <v>4559</v>
      </c>
      <c r="W254" s="18">
        <v>10</v>
      </c>
      <c r="X254" s="230">
        <v>0</v>
      </c>
      <c r="Y254" s="18">
        <v>0</v>
      </c>
      <c r="Z254" s="306" t="s">
        <v>4341</v>
      </c>
      <c r="AA254" s="21">
        <f>INDEX('[2]Cross-Section Database'!$C$2:$V$2928,MATCH(Z254,'[2]Cross-Section Database'!$B$2:$B$2928,0),3)</f>
        <v>203.2</v>
      </c>
      <c r="AB254" s="21">
        <f>INDEX('[2]Cross-Section Database'!$C$2:$V$2928,MATCH(Z254,'[2]Cross-Section Database'!$B$2:$B$2928,0),4)</f>
        <v>203.6</v>
      </c>
      <c r="AC254" s="21">
        <f>INDEX('[2]Cross-Section Database'!$C$2:$V$2928,MATCH(Z254,'[2]Cross-Section Database'!$B$2:$B$2928,0),6)</f>
        <v>11</v>
      </c>
      <c r="AD254" s="21">
        <f>INDEX('[2]Cross-Section Database'!$C$2:$V$2928,MATCH(Z254,'[2]Cross-Section Database'!$B$2:$B$2928,0),5)</f>
        <v>7.2</v>
      </c>
      <c r="AE254" s="21">
        <v>3470</v>
      </c>
      <c r="AF254" s="306" t="s">
        <v>4219</v>
      </c>
      <c r="AG254" s="21">
        <f>INDEX('[2]Cross-Section Database'!$C$2:$V$2928,MATCH(AF254,'[2]Cross-Section Database'!$B$2:$B$2928,0),3)</f>
        <v>310.39999999999998</v>
      </c>
      <c r="AH254" s="21">
        <f>INDEX('[2]Cross-Section Database'!$C$2:$V$2928,MATCH(AF254,'[2]Cross-Section Database'!$B$2:$B$2928,0),4)</f>
        <v>166.9</v>
      </c>
      <c r="AI254" s="21">
        <f>INDEX('[2]Cross-Section Database'!$C$2:$V$2928,MATCH(AF254,'[2]Cross-Section Database'!$B$2:$B$2928,0),6)</f>
        <v>13.7</v>
      </c>
      <c r="AJ254" s="21">
        <f>INDEX('[2]Cross-Section Database'!$C$2:$V$2928,MATCH(AF254,'[2]Cross-Section Database'!$B$2:$B$2928,0),5)</f>
        <v>7.9</v>
      </c>
      <c r="AK254" s="21">
        <v>1500</v>
      </c>
      <c r="AL254" s="21">
        <f>INDEX('[2]Cross-Section Database'!$C$2:$V$3928,MATCH(AF254,'[2]Cross-Section Database'!$B$2:$B$3928,0),11)</f>
        <v>117000000</v>
      </c>
      <c r="AM254" s="24">
        <f>INDEX('[2]Cross-Section Database'!$C$2:$V$3928,MATCH(AF254,'[2]Cross-Section Database'!$B$2:$B$3928,0),12)</f>
        <v>846100</v>
      </c>
      <c r="AN254" s="21">
        <v>12</v>
      </c>
      <c r="AO254" s="21">
        <v>175</v>
      </c>
      <c r="AP254" s="21">
        <v>330</v>
      </c>
      <c r="AQ254" s="21">
        <v>10</v>
      </c>
      <c r="AR254" s="21">
        <f t="shared" si="122"/>
        <v>9.8000000000000114</v>
      </c>
      <c r="AS254" s="306" t="s">
        <v>5807</v>
      </c>
      <c r="AT254" s="163" t="s">
        <v>4563</v>
      </c>
      <c r="AU254" s="163">
        <f t="shared" si="134"/>
        <v>40</v>
      </c>
      <c r="AV254" s="163">
        <v>20</v>
      </c>
      <c r="AW254" s="163">
        <f t="shared" si="124"/>
        <v>245</v>
      </c>
      <c r="AX254" s="21">
        <v>60</v>
      </c>
      <c r="AY254" s="21">
        <f t="shared" si="127"/>
        <v>60</v>
      </c>
      <c r="AZ254" s="21">
        <v>0</v>
      </c>
      <c r="BA254" s="21">
        <v>90</v>
      </c>
      <c r="BB254" s="21">
        <f t="shared" si="125"/>
        <v>210</v>
      </c>
      <c r="BC254" s="15" t="s">
        <v>4470</v>
      </c>
      <c r="BD254" s="163" t="s">
        <v>6209</v>
      </c>
      <c r="BE254" s="163" t="s">
        <v>6209</v>
      </c>
      <c r="BF254" s="163">
        <v>2</v>
      </c>
      <c r="BG254" s="163">
        <v>4</v>
      </c>
      <c r="BH254" s="306">
        <v>120</v>
      </c>
      <c r="BI254" s="163">
        <v>1500</v>
      </c>
      <c r="BJ254" s="203" t="s">
        <v>5792</v>
      </c>
      <c r="BK254" s="203" t="s">
        <v>5792</v>
      </c>
      <c r="BL254" s="203" t="s">
        <v>5792</v>
      </c>
      <c r="BM254" s="203" t="s">
        <v>5792</v>
      </c>
      <c r="BN254" s="203" t="s">
        <v>5792</v>
      </c>
      <c r="BO254" s="203" t="s">
        <v>5792</v>
      </c>
      <c r="BP254" s="306" t="s">
        <v>5856</v>
      </c>
      <c r="BQ254" s="163">
        <v>14</v>
      </c>
      <c r="BR254" s="163">
        <v>2</v>
      </c>
      <c r="BS254" s="163">
        <v>19</v>
      </c>
      <c r="BT254" s="163">
        <v>100</v>
      </c>
      <c r="BU254" s="163">
        <v>90</v>
      </c>
      <c r="BV254" s="18">
        <v>240</v>
      </c>
      <c r="BW254" s="163" t="s">
        <v>4573</v>
      </c>
      <c r="BX254" s="163" t="s">
        <v>4620</v>
      </c>
      <c r="BY254" s="21">
        <v>0</v>
      </c>
      <c r="BZ254" s="21">
        <f>10*PI()*16^2/4</f>
        <v>2010.6192982974676</v>
      </c>
      <c r="CA254" s="163">
        <v>30</v>
      </c>
      <c r="CB254" s="134">
        <f>10*PI()*16^2/4/BH254/BI254</f>
        <v>1.1170107212763708E-2</v>
      </c>
      <c r="CC254" s="107" t="s">
        <v>4449</v>
      </c>
      <c r="CD254" s="21">
        <v>235</v>
      </c>
      <c r="CE254" s="21">
        <v>287</v>
      </c>
      <c r="CF254" s="21">
        <v>360</v>
      </c>
      <c r="CG254" s="21">
        <v>443.5</v>
      </c>
      <c r="CH254" s="67">
        <v>200000</v>
      </c>
      <c r="CI254" s="107" t="s">
        <v>4449</v>
      </c>
      <c r="CJ254" s="21">
        <v>235</v>
      </c>
      <c r="CK254" s="21">
        <v>266.5</v>
      </c>
      <c r="CL254" s="21">
        <v>360</v>
      </c>
      <c r="CM254" s="21">
        <v>451.5</v>
      </c>
      <c r="CN254" s="67">
        <v>200000</v>
      </c>
      <c r="CO254" s="32" t="s">
        <v>4449</v>
      </c>
      <c r="CP254" s="47">
        <v>235</v>
      </c>
      <c r="CQ254" s="163">
        <v>231</v>
      </c>
      <c r="CR254" s="47">
        <v>360</v>
      </c>
      <c r="CS254" s="163">
        <v>392</v>
      </c>
      <c r="CT254" s="67">
        <v>200000</v>
      </c>
      <c r="CU254" s="306" t="s">
        <v>5797</v>
      </c>
      <c r="CV254" s="21">
        <v>36.5</v>
      </c>
      <c r="CW254" s="33">
        <v>2.9</v>
      </c>
      <c r="CX254" s="68">
        <v>24500</v>
      </c>
      <c r="CY254" s="163">
        <v>579</v>
      </c>
      <c r="CZ254" s="32">
        <v>650</v>
      </c>
      <c r="DA254" s="67">
        <v>200000</v>
      </c>
      <c r="DB254" s="283" t="s">
        <v>5792</v>
      </c>
      <c r="DC254" s="163">
        <v>8.8000000000000007</v>
      </c>
      <c r="DD254" s="163">
        <v>640</v>
      </c>
      <c r="DE254" s="32">
        <v>730</v>
      </c>
      <c r="DF254" s="163">
        <v>800</v>
      </c>
      <c r="DG254" s="32">
        <v>940</v>
      </c>
      <c r="DH254" s="67">
        <v>205000</v>
      </c>
      <c r="DI254" s="131" t="s">
        <v>4800</v>
      </c>
      <c r="DJ254" s="306" t="s">
        <v>4435</v>
      </c>
      <c r="DK254" s="297" t="s">
        <v>6016</v>
      </c>
    </row>
    <row r="255" spans="1:115">
      <c r="A255" s="306">
        <v>250</v>
      </c>
      <c r="B255" s="326"/>
      <c r="C255" s="326"/>
      <c r="D255" s="346"/>
      <c r="E255" s="334"/>
      <c r="F255" s="326"/>
      <c r="G255" s="329"/>
      <c r="H255" s="326"/>
      <c r="I255" s="326"/>
      <c r="J255" s="314" t="s">
        <v>4622</v>
      </c>
      <c r="K255" s="306" t="s">
        <v>4535</v>
      </c>
      <c r="L255" s="163" t="s">
        <v>6061</v>
      </c>
      <c r="M255" s="306" t="s">
        <v>4508</v>
      </c>
      <c r="N255" s="163" t="s">
        <v>4700</v>
      </c>
      <c r="O255" s="18" t="s">
        <v>4507</v>
      </c>
      <c r="P255" s="163" t="s">
        <v>4420</v>
      </c>
      <c r="Q255" s="163" t="s">
        <v>4420</v>
      </c>
      <c r="R255" s="163" t="s">
        <v>4420</v>
      </c>
      <c r="S255" s="163" t="s">
        <v>5792</v>
      </c>
      <c r="T255" s="163" t="s">
        <v>4420</v>
      </c>
      <c r="U255" s="163" t="s">
        <v>5792</v>
      </c>
      <c r="V255" s="163" t="s">
        <v>4559</v>
      </c>
      <c r="W255" s="18">
        <v>10</v>
      </c>
      <c r="X255" s="230">
        <v>0</v>
      </c>
      <c r="Y255" s="18">
        <v>0</v>
      </c>
      <c r="Z255" s="306" t="s">
        <v>4352</v>
      </c>
      <c r="AA255" s="21">
        <f>INDEX('[2]Cross-Section Database'!$C$2:$V$2928,MATCH(Z255,'[2]Cross-Section Database'!$B$2:$B$2928,0),3)</f>
        <v>307.89999999999998</v>
      </c>
      <c r="AB255" s="21">
        <f>INDEX('[2]Cross-Section Database'!$C$2:$V$2928,MATCH(Z255,'[2]Cross-Section Database'!$B$2:$B$2928,0),4)</f>
        <v>305.3</v>
      </c>
      <c r="AC255" s="21">
        <f>INDEX('[2]Cross-Section Database'!$C$2:$V$2928,MATCH(Z255,'[2]Cross-Section Database'!$B$2:$B$2928,0),6)</f>
        <v>15.4</v>
      </c>
      <c r="AD255" s="21">
        <f>INDEX('[2]Cross-Section Database'!$C$2:$V$2928,MATCH(Z255,'[2]Cross-Section Database'!$B$2:$B$2928,0),5)</f>
        <v>9.9</v>
      </c>
      <c r="AE255" s="21">
        <v>3470</v>
      </c>
      <c r="AF255" s="306" t="s">
        <v>4219</v>
      </c>
      <c r="AG255" s="21">
        <f>INDEX('[2]Cross-Section Database'!$C$2:$V$2928,MATCH(AF255,'[2]Cross-Section Database'!$B$2:$B$2928,0),3)</f>
        <v>310.39999999999998</v>
      </c>
      <c r="AH255" s="21">
        <f>INDEX('[2]Cross-Section Database'!$C$2:$V$2928,MATCH(AF255,'[2]Cross-Section Database'!$B$2:$B$2928,0),4)</f>
        <v>166.9</v>
      </c>
      <c r="AI255" s="21">
        <f>INDEX('[2]Cross-Section Database'!$C$2:$V$2928,MATCH(AF255,'[2]Cross-Section Database'!$B$2:$B$2928,0),6)</f>
        <v>13.7</v>
      </c>
      <c r="AJ255" s="21">
        <f>INDEX('[2]Cross-Section Database'!$C$2:$V$2928,MATCH(AF255,'[2]Cross-Section Database'!$B$2:$B$2928,0),5)</f>
        <v>7.9</v>
      </c>
      <c r="AK255" s="21">
        <v>1500</v>
      </c>
      <c r="AL255" s="21">
        <f>INDEX('[2]Cross-Section Database'!$C$2:$V$3928,MATCH(AF255,'[2]Cross-Section Database'!$B$2:$B$3928,0),11)</f>
        <v>117000000</v>
      </c>
      <c r="AM255" s="24">
        <f>INDEX('[2]Cross-Section Database'!$C$2:$V$3928,MATCH(AF255,'[2]Cross-Section Database'!$B$2:$B$3928,0),12)</f>
        <v>846100</v>
      </c>
      <c r="AN255" s="21">
        <v>12</v>
      </c>
      <c r="AO255" s="21">
        <v>175</v>
      </c>
      <c r="AP255" s="21">
        <v>350</v>
      </c>
      <c r="AQ255" s="21">
        <v>20</v>
      </c>
      <c r="AR255" s="21">
        <f t="shared" si="122"/>
        <v>19.800000000000011</v>
      </c>
      <c r="AS255" s="306" t="s">
        <v>5807</v>
      </c>
      <c r="AT255" s="163" t="s">
        <v>4563</v>
      </c>
      <c r="AU255" s="163">
        <f t="shared" si="134"/>
        <v>40</v>
      </c>
      <c r="AV255" s="163">
        <v>20</v>
      </c>
      <c r="AW255" s="163">
        <f>IF(AV255=24,353,IF(AV255=22,303,IF(AV255=20,245,IF(AV255=16,157,0))))</f>
        <v>245</v>
      </c>
      <c r="AX255" s="21">
        <v>69.55</v>
      </c>
      <c r="AY255" s="21">
        <f>AX255</f>
        <v>69.55</v>
      </c>
      <c r="AZ255" s="21">
        <v>0</v>
      </c>
      <c r="BA255" s="21">
        <v>90</v>
      </c>
      <c r="BB255" s="21">
        <f t="shared" si="125"/>
        <v>210.89999999999998</v>
      </c>
      <c r="BC255" s="15" t="s">
        <v>4470</v>
      </c>
      <c r="BD255" s="163" t="s">
        <v>6209</v>
      </c>
      <c r="BE255" s="163" t="s">
        <v>6209</v>
      </c>
      <c r="BF255" s="163">
        <v>2</v>
      </c>
      <c r="BG255" s="163">
        <v>4</v>
      </c>
      <c r="BH255" s="202" t="s">
        <v>5792</v>
      </c>
      <c r="BI255" s="203" t="s">
        <v>5792</v>
      </c>
      <c r="BJ255" s="203" t="s">
        <v>5792</v>
      </c>
      <c r="BK255" s="203" t="s">
        <v>5792</v>
      </c>
      <c r="BL255" s="203" t="s">
        <v>5792</v>
      </c>
      <c r="BM255" s="203" t="s">
        <v>5792</v>
      </c>
      <c r="BN255" s="203" t="s">
        <v>5792</v>
      </c>
      <c r="BO255" s="203" t="s">
        <v>5792</v>
      </c>
      <c r="BP255" s="202" t="s">
        <v>5792</v>
      </c>
      <c r="BQ255" s="203" t="s">
        <v>5792</v>
      </c>
      <c r="BR255" s="203" t="s">
        <v>5792</v>
      </c>
      <c r="BS255" s="203" t="s">
        <v>5792</v>
      </c>
      <c r="BT255" s="203" t="s">
        <v>5792</v>
      </c>
      <c r="BU255" s="203" t="s">
        <v>5792</v>
      </c>
      <c r="BV255" s="218" t="s">
        <v>5792</v>
      </c>
      <c r="BW255" s="203" t="s">
        <v>5792</v>
      </c>
      <c r="BX255" s="203" t="s">
        <v>5792</v>
      </c>
      <c r="BY255" s="203" t="s">
        <v>5792</v>
      </c>
      <c r="BZ255" s="203" t="s">
        <v>5792</v>
      </c>
      <c r="CA255" s="203" t="s">
        <v>5792</v>
      </c>
      <c r="CB255" s="218" t="s">
        <v>5792</v>
      </c>
      <c r="CC255" s="107" t="s">
        <v>4450</v>
      </c>
      <c r="CD255" s="21">
        <v>275</v>
      </c>
      <c r="CE255" s="21">
        <v>395</v>
      </c>
      <c r="CF255" s="21">
        <v>410</v>
      </c>
      <c r="CG255" s="21">
        <v>531.79999999999995</v>
      </c>
      <c r="CH255" s="67">
        <v>200000</v>
      </c>
      <c r="CI255" s="107" t="s">
        <v>4449</v>
      </c>
      <c r="CJ255" s="21">
        <v>235</v>
      </c>
      <c r="CK255" s="21">
        <f>(308.2+284.4)/2</f>
        <v>296.29999999999995</v>
      </c>
      <c r="CL255" s="21">
        <v>360</v>
      </c>
      <c r="CM255" s="21">
        <f>(469.1+458.7)/2</f>
        <v>463.9</v>
      </c>
      <c r="CN255" s="67">
        <v>200000</v>
      </c>
      <c r="CO255" s="32" t="s">
        <v>4449</v>
      </c>
      <c r="CP255" s="60">
        <v>235</v>
      </c>
      <c r="CQ255" s="21">
        <v>265.3</v>
      </c>
      <c r="CR255" s="47">
        <v>360</v>
      </c>
      <c r="CS255" s="163">
        <v>438.1</v>
      </c>
      <c r="CT255" s="67">
        <v>200000</v>
      </c>
      <c r="CU255" s="207" t="s">
        <v>5792</v>
      </c>
      <c r="CV255" s="208" t="s">
        <v>5792</v>
      </c>
      <c r="CW255" s="208" t="s">
        <v>5792</v>
      </c>
      <c r="CX255" s="209" t="s">
        <v>5792</v>
      </c>
      <c r="CY255" s="208" t="s">
        <v>5792</v>
      </c>
      <c r="CZ255" s="208" t="s">
        <v>5792</v>
      </c>
      <c r="DA255" s="209" t="s">
        <v>5792</v>
      </c>
      <c r="DB255" s="283" t="s">
        <v>5792</v>
      </c>
      <c r="DC255" s="163">
        <v>10.9</v>
      </c>
      <c r="DD255" s="303">
        <v>900</v>
      </c>
      <c r="DE255" s="32">
        <v>990</v>
      </c>
      <c r="DF255" s="303">
        <v>1000</v>
      </c>
      <c r="DG255" s="32">
        <v>1100</v>
      </c>
      <c r="DH255" s="67">
        <v>205000</v>
      </c>
      <c r="DI255" s="131" t="s">
        <v>5846</v>
      </c>
      <c r="DJ255" s="306" t="s">
        <v>4435</v>
      </c>
      <c r="DK255" s="297" t="s">
        <v>4566</v>
      </c>
    </row>
    <row r="256" spans="1:115">
      <c r="A256" s="306">
        <v>251</v>
      </c>
      <c r="B256" s="326"/>
      <c r="C256" s="326"/>
      <c r="D256" s="346"/>
      <c r="E256" s="334"/>
      <c r="F256" s="326"/>
      <c r="G256" s="329"/>
      <c r="H256" s="326"/>
      <c r="I256" s="326"/>
      <c r="J256" s="309" t="s">
        <v>4596</v>
      </c>
      <c r="K256" s="306" t="s">
        <v>4383</v>
      </c>
      <c r="L256" s="163" t="s">
        <v>5792</v>
      </c>
      <c r="M256" s="306" t="s">
        <v>4508</v>
      </c>
      <c r="N256" s="163" t="s">
        <v>4700</v>
      </c>
      <c r="O256" s="18" t="s">
        <v>4507</v>
      </c>
      <c r="P256" s="163" t="s">
        <v>4470</v>
      </c>
      <c r="Q256" s="163" t="s">
        <v>4420</v>
      </c>
      <c r="R256" s="163" t="s">
        <v>4420</v>
      </c>
      <c r="S256" s="163" t="s">
        <v>5792</v>
      </c>
      <c r="T256" s="163" t="s">
        <v>4420</v>
      </c>
      <c r="U256" s="163" t="s">
        <v>5792</v>
      </c>
      <c r="V256" s="163" t="s">
        <v>4559</v>
      </c>
      <c r="W256" s="18">
        <v>10</v>
      </c>
      <c r="X256" s="230">
        <v>0</v>
      </c>
      <c r="Y256" s="18">
        <v>0</v>
      </c>
      <c r="Z256" s="306" t="s">
        <v>4352</v>
      </c>
      <c r="AA256" s="21">
        <f>INDEX('[2]Cross-Section Database'!$C$2:$V$2928,MATCH(Z256,'[2]Cross-Section Database'!$B$2:$B$2928,0),3)</f>
        <v>307.89999999999998</v>
      </c>
      <c r="AB256" s="21">
        <f>INDEX('[2]Cross-Section Database'!$C$2:$V$2928,MATCH(Z256,'[2]Cross-Section Database'!$B$2:$B$2928,0),4)</f>
        <v>305.3</v>
      </c>
      <c r="AC256" s="21">
        <f>INDEX('[2]Cross-Section Database'!$C$2:$V$2928,MATCH(Z256,'[2]Cross-Section Database'!$B$2:$B$2928,0),6)</f>
        <v>15.4</v>
      </c>
      <c r="AD256" s="21">
        <f>INDEX('[2]Cross-Section Database'!$C$2:$V$2928,MATCH(Z256,'[2]Cross-Section Database'!$B$2:$B$2928,0),5)</f>
        <v>9.9</v>
      </c>
      <c r="AE256" s="21">
        <v>3470</v>
      </c>
      <c r="AF256" s="306" t="s">
        <v>4219</v>
      </c>
      <c r="AG256" s="21">
        <f>INDEX('[2]Cross-Section Database'!$C$2:$V$2928,MATCH(AF256,'[2]Cross-Section Database'!$B$2:$B$2928,0),3)</f>
        <v>310.39999999999998</v>
      </c>
      <c r="AH256" s="21">
        <f>INDEX('[2]Cross-Section Database'!$C$2:$V$2928,MATCH(AF256,'[2]Cross-Section Database'!$B$2:$B$2928,0),4)</f>
        <v>166.9</v>
      </c>
      <c r="AI256" s="21">
        <f>INDEX('[2]Cross-Section Database'!$C$2:$V$2928,MATCH(AF256,'[2]Cross-Section Database'!$B$2:$B$2928,0),6)</f>
        <v>13.7</v>
      </c>
      <c r="AJ256" s="21">
        <f>INDEX('[2]Cross-Section Database'!$C$2:$V$2928,MATCH(AF256,'[2]Cross-Section Database'!$B$2:$B$2928,0),5)</f>
        <v>7.9</v>
      </c>
      <c r="AK256" s="21">
        <v>1500</v>
      </c>
      <c r="AL256" s="21">
        <f>INDEX('[2]Cross-Section Database'!$C$2:$V$3928,MATCH(AF256,'[2]Cross-Section Database'!$B$2:$B$3928,0),11)</f>
        <v>117000000</v>
      </c>
      <c r="AM256" s="24">
        <f>INDEX('[2]Cross-Section Database'!$C$2:$V$3928,MATCH(AF256,'[2]Cross-Section Database'!$B$2:$B$3928,0),12)</f>
        <v>846100</v>
      </c>
      <c r="AN256" s="21">
        <v>12</v>
      </c>
      <c r="AO256" s="21">
        <v>175</v>
      </c>
      <c r="AP256" s="21">
        <v>350</v>
      </c>
      <c r="AQ256" s="21">
        <v>20</v>
      </c>
      <c r="AR256" s="21">
        <f t="shared" si="122"/>
        <v>19.800000000000011</v>
      </c>
      <c r="AS256" s="306" t="s">
        <v>5807</v>
      </c>
      <c r="AT256" s="163" t="s">
        <v>4563</v>
      </c>
      <c r="AU256" s="163">
        <f t="shared" si="134"/>
        <v>40</v>
      </c>
      <c r="AV256" s="163">
        <v>20</v>
      </c>
      <c r="AW256" s="163">
        <f>IF(AV256=24,353,IF(AV256=22,303,IF(AV256=20,245,IF(AV256=16,157,0))))</f>
        <v>245</v>
      </c>
      <c r="AX256" s="21">
        <v>69.55</v>
      </c>
      <c r="AY256" s="21">
        <f>AX256</f>
        <v>69.55</v>
      </c>
      <c r="AZ256" s="21">
        <v>0</v>
      </c>
      <c r="BA256" s="21">
        <v>90</v>
      </c>
      <c r="BB256" s="21">
        <f t="shared" si="125"/>
        <v>210.89999999999998</v>
      </c>
      <c r="BC256" s="15" t="s">
        <v>4470</v>
      </c>
      <c r="BD256" s="163" t="s">
        <v>6209</v>
      </c>
      <c r="BE256" s="163" t="s">
        <v>6209</v>
      </c>
      <c r="BF256" s="163">
        <v>2</v>
      </c>
      <c r="BG256" s="163">
        <v>4</v>
      </c>
      <c r="BH256" s="306">
        <v>120</v>
      </c>
      <c r="BI256" s="163">
        <v>1500</v>
      </c>
      <c r="BJ256" s="203" t="s">
        <v>5792</v>
      </c>
      <c r="BK256" s="203" t="s">
        <v>5792</v>
      </c>
      <c r="BL256" s="203" t="s">
        <v>5792</v>
      </c>
      <c r="BM256" s="203" t="s">
        <v>5792</v>
      </c>
      <c r="BN256" s="203" t="s">
        <v>5792</v>
      </c>
      <c r="BO256" s="203" t="s">
        <v>5792</v>
      </c>
      <c r="BP256" s="306" t="s">
        <v>5856</v>
      </c>
      <c r="BQ256" s="163">
        <v>24</v>
      </c>
      <c r="BR256" s="163">
        <v>2</v>
      </c>
      <c r="BS256" s="163">
        <v>19</v>
      </c>
      <c r="BT256" s="163">
        <v>100</v>
      </c>
      <c r="BU256" s="163">
        <v>90</v>
      </c>
      <c r="BV256" s="18">
        <v>130</v>
      </c>
      <c r="BW256" s="163" t="s">
        <v>4573</v>
      </c>
      <c r="BX256" s="163" t="s">
        <v>4620</v>
      </c>
      <c r="BY256" s="21">
        <v>0</v>
      </c>
      <c r="BZ256" s="21">
        <f>10*PI()*16^2/4</f>
        <v>2010.6192982974676</v>
      </c>
      <c r="CA256" s="163">
        <v>30</v>
      </c>
      <c r="CB256" s="134">
        <v>1.12E-2</v>
      </c>
      <c r="CC256" s="107" t="s">
        <v>4450</v>
      </c>
      <c r="CD256" s="21">
        <v>275</v>
      </c>
      <c r="CE256" s="21">
        <v>395</v>
      </c>
      <c r="CF256" s="21">
        <v>410</v>
      </c>
      <c r="CG256" s="21">
        <v>531.79999999999995</v>
      </c>
      <c r="CH256" s="67">
        <v>200000</v>
      </c>
      <c r="CI256" s="107" t="s">
        <v>4449</v>
      </c>
      <c r="CJ256" s="21">
        <v>235</v>
      </c>
      <c r="CK256" s="21">
        <f>(308.2+284.4)/2</f>
        <v>296.29999999999995</v>
      </c>
      <c r="CL256" s="21">
        <v>360</v>
      </c>
      <c r="CM256" s="21">
        <f>(469.1+458.7)/2</f>
        <v>463.9</v>
      </c>
      <c r="CN256" s="67">
        <v>200000</v>
      </c>
      <c r="CO256" s="32" t="s">
        <v>4449</v>
      </c>
      <c r="CP256" s="60">
        <v>235</v>
      </c>
      <c r="CQ256" s="21">
        <v>265.3</v>
      </c>
      <c r="CR256" s="47">
        <v>360</v>
      </c>
      <c r="CS256" s="163">
        <v>438.1</v>
      </c>
      <c r="CT256" s="67">
        <v>200000</v>
      </c>
      <c r="CU256" s="306" t="s">
        <v>5797</v>
      </c>
      <c r="CV256" s="21">
        <v>30.9</v>
      </c>
      <c r="CW256" s="33">
        <v>2.9</v>
      </c>
      <c r="CX256" s="68">
        <v>21500</v>
      </c>
      <c r="CY256" s="21">
        <v>495</v>
      </c>
      <c r="CZ256" s="32">
        <v>650</v>
      </c>
      <c r="DA256" s="67">
        <v>200000</v>
      </c>
      <c r="DB256" s="283" t="s">
        <v>5792</v>
      </c>
      <c r="DC256" s="163">
        <v>10.9</v>
      </c>
      <c r="DD256" s="303">
        <v>900</v>
      </c>
      <c r="DE256" s="32">
        <v>990</v>
      </c>
      <c r="DF256" s="303">
        <v>1000</v>
      </c>
      <c r="DG256" s="32">
        <v>1100</v>
      </c>
      <c r="DH256" s="67">
        <v>205000</v>
      </c>
      <c r="DI256" s="131" t="s">
        <v>5847</v>
      </c>
      <c r="DJ256" s="306" t="s">
        <v>4435</v>
      </c>
      <c r="DK256" s="297" t="s">
        <v>4566</v>
      </c>
    </row>
    <row r="257" spans="1:115">
      <c r="A257" s="306">
        <v>252</v>
      </c>
      <c r="B257" s="326"/>
      <c r="C257" s="326"/>
      <c r="D257" s="346"/>
      <c r="E257" s="334"/>
      <c r="F257" s="326"/>
      <c r="G257" s="329"/>
      <c r="H257" s="326"/>
      <c r="I257" s="326"/>
      <c r="J257" s="317" t="s">
        <v>4597</v>
      </c>
      <c r="K257" s="306" t="s">
        <v>4535</v>
      </c>
      <c r="L257" s="163" t="s">
        <v>6061</v>
      </c>
      <c r="M257" s="306" t="s">
        <v>4508</v>
      </c>
      <c r="N257" s="163" t="s">
        <v>4700</v>
      </c>
      <c r="O257" s="18" t="s">
        <v>4507</v>
      </c>
      <c r="P257" s="163" t="s">
        <v>4470</v>
      </c>
      <c r="Q257" s="163" t="s">
        <v>4420</v>
      </c>
      <c r="R257" s="163" t="s">
        <v>4420</v>
      </c>
      <c r="S257" s="163" t="s">
        <v>5792</v>
      </c>
      <c r="T257" s="163" t="s">
        <v>4420</v>
      </c>
      <c r="U257" s="163" t="s">
        <v>5792</v>
      </c>
      <c r="V257" s="163" t="s">
        <v>4559</v>
      </c>
      <c r="W257" s="18">
        <v>10</v>
      </c>
      <c r="X257" s="230">
        <v>0</v>
      </c>
      <c r="Y257" s="18">
        <v>0</v>
      </c>
      <c r="Z257" s="306" t="s">
        <v>4352</v>
      </c>
      <c r="AA257" s="21">
        <f>INDEX('[2]Cross-Section Database'!$C$2:$V$2928,MATCH(Z257,'[2]Cross-Section Database'!$B$2:$B$2928,0),3)</f>
        <v>307.89999999999998</v>
      </c>
      <c r="AB257" s="21">
        <f>INDEX('[2]Cross-Section Database'!$C$2:$V$2928,MATCH(Z257,'[2]Cross-Section Database'!$B$2:$B$2928,0),4)</f>
        <v>305.3</v>
      </c>
      <c r="AC257" s="21">
        <f>INDEX('[2]Cross-Section Database'!$C$2:$V$2928,MATCH(Z257,'[2]Cross-Section Database'!$B$2:$B$2928,0),6)</f>
        <v>15.4</v>
      </c>
      <c r="AD257" s="21">
        <f>INDEX('[2]Cross-Section Database'!$C$2:$V$2928,MATCH(Z257,'[2]Cross-Section Database'!$B$2:$B$2928,0),5)</f>
        <v>9.9</v>
      </c>
      <c r="AE257" s="21">
        <v>3470</v>
      </c>
      <c r="AF257" s="306" t="s">
        <v>4219</v>
      </c>
      <c r="AG257" s="21">
        <f>INDEX('[2]Cross-Section Database'!$C$2:$V$2928,MATCH(AF257,'[2]Cross-Section Database'!$B$2:$B$2928,0),3)</f>
        <v>310.39999999999998</v>
      </c>
      <c r="AH257" s="21">
        <f>INDEX('[2]Cross-Section Database'!$C$2:$V$2928,MATCH(AF257,'[2]Cross-Section Database'!$B$2:$B$2928,0),4)</f>
        <v>166.9</v>
      </c>
      <c r="AI257" s="21">
        <f>INDEX('[2]Cross-Section Database'!$C$2:$V$2928,MATCH(AF257,'[2]Cross-Section Database'!$B$2:$B$2928,0),6)</f>
        <v>13.7</v>
      </c>
      <c r="AJ257" s="21">
        <f>INDEX('[2]Cross-Section Database'!$C$2:$V$2928,MATCH(AF257,'[2]Cross-Section Database'!$B$2:$B$2928,0),5)</f>
        <v>7.9</v>
      </c>
      <c r="AK257" s="21">
        <v>1500</v>
      </c>
      <c r="AL257" s="21">
        <f>INDEX('[2]Cross-Section Database'!$C$2:$V$3928,MATCH(AF257,'[2]Cross-Section Database'!$B$2:$B$3928,0),11)</f>
        <v>117000000</v>
      </c>
      <c r="AM257" s="24">
        <f>INDEX('[2]Cross-Section Database'!$C$2:$V$3928,MATCH(AF257,'[2]Cross-Section Database'!$B$2:$B$3928,0),12)</f>
        <v>846100</v>
      </c>
      <c r="AN257" s="21">
        <v>12</v>
      </c>
      <c r="AO257" s="21">
        <v>175</v>
      </c>
      <c r="AP257" s="21">
        <v>350</v>
      </c>
      <c r="AQ257" s="21">
        <v>20</v>
      </c>
      <c r="AR257" s="21">
        <f t="shared" si="122"/>
        <v>19.800000000000011</v>
      </c>
      <c r="AS257" s="306" t="s">
        <v>5807</v>
      </c>
      <c r="AT257" s="163" t="s">
        <v>4563</v>
      </c>
      <c r="AU257" s="163">
        <f t="shared" si="134"/>
        <v>40</v>
      </c>
      <c r="AV257" s="163">
        <v>20</v>
      </c>
      <c r="AW257" s="163">
        <f t="shared" ref="AW257:AW289" si="135">IF(AV257=24,353,IF(AV257=22,303,IF(AV257=20,245,IF(AV257=16,157,0))))</f>
        <v>245</v>
      </c>
      <c r="AX257" s="21">
        <v>69.55</v>
      </c>
      <c r="AY257" s="21">
        <f>AX257</f>
        <v>69.55</v>
      </c>
      <c r="AZ257" s="21">
        <v>0</v>
      </c>
      <c r="BA257" s="21">
        <v>90</v>
      </c>
      <c r="BB257" s="21">
        <f t="shared" si="125"/>
        <v>210.89999999999998</v>
      </c>
      <c r="BC257" s="15" t="s">
        <v>4470</v>
      </c>
      <c r="BD257" s="163" t="s">
        <v>6209</v>
      </c>
      <c r="BE257" s="163" t="s">
        <v>6209</v>
      </c>
      <c r="BF257" s="163">
        <v>2</v>
      </c>
      <c r="BG257" s="163">
        <v>4</v>
      </c>
      <c r="BH257" s="306">
        <v>120</v>
      </c>
      <c r="BI257" s="163">
        <v>1500</v>
      </c>
      <c r="BJ257" s="203" t="s">
        <v>5792</v>
      </c>
      <c r="BK257" s="203" t="s">
        <v>5792</v>
      </c>
      <c r="BL257" s="203" t="s">
        <v>5792</v>
      </c>
      <c r="BM257" s="203" t="s">
        <v>5792</v>
      </c>
      <c r="BN257" s="203" t="s">
        <v>5792</v>
      </c>
      <c r="BO257" s="203" t="s">
        <v>5792</v>
      </c>
      <c r="BP257" s="306" t="s">
        <v>5856</v>
      </c>
      <c r="BQ257" s="163">
        <v>24</v>
      </c>
      <c r="BR257" s="163">
        <v>2</v>
      </c>
      <c r="BS257" s="163">
        <v>19</v>
      </c>
      <c r="BT257" s="163">
        <v>100</v>
      </c>
      <c r="BU257" s="163">
        <v>90</v>
      </c>
      <c r="BV257" s="18">
        <v>130</v>
      </c>
      <c r="BW257" s="163" t="s">
        <v>4573</v>
      </c>
      <c r="BX257" s="163" t="s">
        <v>4620</v>
      </c>
      <c r="BY257" s="21">
        <v>0</v>
      </c>
      <c r="BZ257" s="21">
        <f>10*PI()*16^2/4</f>
        <v>2010.6192982974676</v>
      </c>
      <c r="CA257" s="163">
        <v>30</v>
      </c>
      <c r="CB257" s="134">
        <v>1.12E-2</v>
      </c>
      <c r="CC257" s="107" t="s">
        <v>4450</v>
      </c>
      <c r="CD257" s="21">
        <v>275</v>
      </c>
      <c r="CE257" s="21">
        <v>395</v>
      </c>
      <c r="CF257" s="21">
        <v>410</v>
      </c>
      <c r="CG257" s="21">
        <v>531.79999999999995</v>
      </c>
      <c r="CH257" s="67">
        <v>200000</v>
      </c>
      <c r="CI257" s="107" t="s">
        <v>4449</v>
      </c>
      <c r="CJ257" s="21">
        <v>235</v>
      </c>
      <c r="CK257" s="21">
        <f>(308.2+284.4)/2</f>
        <v>296.29999999999995</v>
      </c>
      <c r="CL257" s="21">
        <v>360</v>
      </c>
      <c r="CM257" s="21">
        <f>(469.1+458.7)/2</f>
        <v>463.9</v>
      </c>
      <c r="CN257" s="67">
        <v>200000</v>
      </c>
      <c r="CO257" s="32" t="s">
        <v>4449</v>
      </c>
      <c r="CP257" s="60">
        <v>235</v>
      </c>
      <c r="CQ257" s="21">
        <v>265.3</v>
      </c>
      <c r="CR257" s="47">
        <v>360</v>
      </c>
      <c r="CS257" s="163">
        <v>438.1</v>
      </c>
      <c r="CT257" s="67">
        <v>200000</v>
      </c>
      <c r="CU257" s="306" t="s">
        <v>5797</v>
      </c>
      <c r="CV257" s="21">
        <v>34.200000000000003</v>
      </c>
      <c r="CW257" s="33">
        <v>2.9</v>
      </c>
      <c r="CX257" s="68">
        <v>21500</v>
      </c>
      <c r="CY257" s="21">
        <v>495</v>
      </c>
      <c r="CZ257" s="32">
        <v>650</v>
      </c>
      <c r="DA257" s="67">
        <v>200000</v>
      </c>
      <c r="DB257" s="283" t="s">
        <v>5792</v>
      </c>
      <c r="DC257" s="163">
        <v>10.9</v>
      </c>
      <c r="DD257" s="303">
        <v>900</v>
      </c>
      <c r="DE257" s="32">
        <v>990</v>
      </c>
      <c r="DF257" s="303">
        <v>1000</v>
      </c>
      <c r="DG257" s="32">
        <v>1100</v>
      </c>
      <c r="DH257" s="67">
        <v>205000</v>
      </c>
      <c r="DI257" s="131" t="s">
        <v>5847</v>
      </c>
      <c r="DJ257" s="306" t="s">
        <v>4435</v>
      </c>
      <c r="DK257" s="297" t="s">
        <v>4566</v>
      </c>
    </row>
    <row r="258" spans="1:115">
      <c r="A258" s="306">
        <v>253</v>
      </c>
      <c r="B258" s="326"/>
      <c r="C258" s="326"/>
      <c r="D258" s="346"/>
      <c r="E258" s="334"/>
      <c r="F258" s="326"/>
      <c r="G258" s="329"/>
      <c r="H258" s="326"/>
      <c r="I258" s="326"/>
      <c r="J258" s="317" t="s">
        <v>4598</v>
      </c>
      <c r="K258" s="306" t="s">
        <v>4535</v>
      </c>
      <c r="L258" s="163" t="s">
        <v>6061</v>
      </c>
      <c r="M258" s="306" t="s">
        <v>4508</v>
      </c>
      <c r="N258" s="163" t="s">
        <v>4700</v>
      </c>
      <c r="O258" s="18" t="s">
        <v>4507</v>
      </c>
      <c r="P258" s="163" t="s">
        <v>4470</v>
      </c>
      <c r="Q258" s="163" t="s">
        <v>4420</v>
      </c>
      <c r="R258" s="163" t="s">
        <v>4420</v>
      </c>
      <c r="S258" s="163" t="s">
        <v>5792</v>
      </c>
      <c r="T258" s="163" t="s">
        <v>4420</v>
      </c>
      <c r="U258" s="163" t="s">
        <v>5792</v>
      </c>
      <c r="V258" s="163" t="s">
        <v>4559</v>
      </c>
      <c r="W258" s="18">
        <v>10</v>
      </c>
      <c r="X258" s="230">
        <v>0</v>
      </c>
      <c r="Y258" s="18">
        <v>0</v>
      </c>
      <c r="Z258" s="306" t="s">
        <v>4352</v>
      </c>
      <c r="AA258" s="21">
        <f>INDEX('[2]Cross-Section Database'!$C$2:$V$2928,MATCH(Z258,'[2]Cross-Section Database'!$B$2:$B$2928,0),3)</f>
        <v>307.89999999999998</v>
      </c>
      <c r="AB258" s="21">
        <f>INDEX('[2]Cross-Section Database'!$C$2:$V$2928,MATCH(Z258,'[2]Cross-Section Database'!$B$2:$B$2928,0),4)</f>
        <v>305.3</v>
      </c>
      <c r="AC258" s="21">
        <f>INDEX('[2]Cross-Section Database'!$C$2:$V$2928,MATCH(Z258,'[2]Cross-Section Database'!$B$2:$B$2928,0),6)</f>
        <v>15.4</v>
      </c>
      <c r="AD258" s="21">
        <f>INDEX('[2]Cross-Section Database'!$C$2:$V$2928,MATCH(Z258,'[2]Cross-Section Database'!$B$2:$B$2928,0),5)</f>
        <v>9.9</v>
      </c>
      <c r="AE258" s="21">
        <v>3470</v>
      </c>
      <c r="AF258" s="306" t="s">
        <v>4219</v>
      </c>
      <c r="AG258" s="21">
        <f>INDEX('[2]Cross-Section Database'!$C$2:$V$2928,MATCH(AF258,'[2]Cross-Section Database'!$B$2:$B$2928,0),3)</f>
        <v>310.39999999999998</v>
      </c>
      <c r="AH258" s="21">
        <f>INDEX('[2]Cross-Section Database'!$C$2:$V$2928,MATCH(AF258,'[2]Cross-Section Database'!$B$2:$B$2928,0),4)</f>
        <v>166.9</v>
      </c>
      <c r="AI258" s="21">
        <f>INDEX('[2]Cross-Section Database'!$C$2:$V$2928,MATCH(AF258,'[2]Cross-Section Database'!$B$2:$B$2928,0),6)</f>
        <v>13.7</v>
      </c>
      <c r="AJ258" s="21">
        <f>INDEX('[2]Cross-Section Database'!$C$2:$V$2928,MATCH(AF258,'[2]Cross-Section Database'!$B$2:$B$2928,0),5)</f>
        <v>7.9</v>
      </c>
      <c r="AK258" s="21">
        <v>1500</v>
      </c>
      <c r="AL258" s="21">
        <f>INDEX('[2]Cross-Section Database'!$C$2:$V$3928,MATCH(AF258,'[2]Cross-Section Database'!$B$2:$B$3928,0),11)</f>
        <v>117000000</v>
      </c>
      <c r="AM258" s="24">
        <f>INDEX('[2]Cross-Section Database'!$C$2:$V$3928,MATCH(AF258,'[2]Cross-Section Database'!$B$2:$B$3928,0),12)</f>
        <v>846100</v>
      </c>
      <c r="AN258" s="21">
        <v>12</v>
      </c>
      <c r="AO258" s="21">
        <v>175</v>
      </c>
      <c r="AP258" s="21">
        <v>350</v>
      </c>
      <c r="AQ258" s="21">
        <v>20</v>
      </c>
      <c r="AR258" s="21">
        <f t="shared" si="122"/>
        <v>19.800000000000011</v>
      </c>
      <c r="AS258" s="306" t="s">
        <v>5807</v>
      </c>
      <c r="AT258" s="163" t="s">
        <v>4563</v>
      </c>
      <c r="AU258" s="163">
        <f t="shared" si="134"/>
        <v>40</v>
      </c>
      <c r="AV258" s="163">
        <v>20</v>
      </c>
      <c r="AW258" s="163">
        <f t="shared" si="135"/>
        <v>245</v>
      </c>
      <c r="AX258" s="21">
        <v>69.55</v>
      </c>
      <c r="AY258" s="21">
        <f>AX258</f>
        <v>69.55</v>
      </c>
      <c r="AZ258" s="21">
        <v>0</v>
      </c>
      <c r="BA258" s="21">
        <v>90</v>
      </c>
      <c r="BB258" s="21">
        <f t="shared" si="125"/>
        <v>210.89999999999998</v>
      </c>
      <c r="BC258" s="15" t="s">
        <v>4470</v>
      </c>
      <c r="BD258" s="163" t="s">
        <v>6209</v>
      </c>
      <c r="BE258" s="163" t="s">
        <v>6209</v>
      </c>
      <c r="BF258" s="163">
        <v>2</v>
      </c>
      <c r="BG258" s="163">
        <v>4</v>
      </c>
      <c r="BH258" s="306">
        <v>120</v>
      </c>
      <c r="BI258" s="163">
        <v>1500</v>
      </c>
      <c r="BJ258" s="203" t="s">
        <v>5792</v>
      </c>
      <c r="BK258" s="203" t="s">
        <v>5792</v>
      </c>
      <c r="BL258" s="203" t="s">
        <v>5792</v>
      </c>
      <c r="BM258" s="203" t="s">
        <v>5792</v>
      </c>
      <c r="BN258" s="203" t="s">
        <v>5792</v>
      </c>
      <c r="BO258" s="203" t="s">
        <v>5792</v>
      </c>
      <c r="BP258" s="306" t="s">
        <v>5856</v>
      </c>
      <c r="BQ258" s="163">
        <v>24</v>
      </c>
      <c r="BR258" s="163">
        <v>2</v>
      </c>
      <c r="BS258" s="163">
        <v>19</v>
      </c>
      <c r="BT258" s="163">
        <v>100</v>
      </c>
      <c r="BU258" s="163">
        <v>90</v>
      </c>
      <c r="BV258" s="18">
        <v>130</v>
      </c>
      <c r="BW258" s="163" t="s">
        <v>4573</v>
      </c>
      <c r="BX258" s="163" t="s">
        <v>4620</v>
      </c>
      <c r="BY258" s="21">
        <v>0</v>
      </c>
      <c r="BZ258" s="21">
        <f>10*PI()*16^2/4</f>
        <v>2010.6192982974676</v>
      </c>
      <c r="CA258" s="163">
        <v>30</v>
      </c>
      <c r="CB258" s="134">
        <v>1.12E-2</v>
      </c>
      <c r="CC258" s="107" t="s">
        <v>4450</v>
      </c>
      <c r="CD258" s="21">
        <v>275</v>
      </c>
      <c r="CE258" s="21">
        <v>395</v>
      </c>
      <c r="CF258" s="21">
        <v>410</v>
      </c>
      <c r="CG258" s="21">
        <v>531.79999999999995</v>
      </c>
      <c r="CH258" s="67">
        <v>200000</v>
      </c>
      <c r="CI258" s="107" t="s">
        <v>4449</v>
      </c>
      <c r="CJ258" s="21">
        <v>235</v>
      </c>
      <c r="CK258" s="21">
        <f>(308.2+284.4)/2</f>
        <v>296.29999999999995</v>
      </c>
      <c r="CL258" s="21">
        <v>360</v>
      </c>
      <c r="CM258" s="21">
        <f>(469.1+458.7)/2</f>
        <v>463.9</v>
      </c>
      <c r="CN258" s="67">
        <v>200000</v>
      </c>
      <c r="CO258" s="32" t="s">
        <v>4449</v>
      </c>
      <c r="CP258" s="60">
        <v>235</v>
      </c>
      <c r="CQ258" s="21">
        <v>265.3</v>
      </c>
      <c r="CR258" s="47">
        <v>360</v>
      </c>
      <c r="CS258" s="163">
        <v>438.1</v>
      </c>
      <c r="CT258" s="67">
        <v>200000</v>
      </c>
      <c r="CU258" s="306" t="s">
        <v>5797</v>
      </c>
      <c r="CV258" s="21">
        <v>26.6</v>
      </c>
      <c r="CW258" s="33">
        <v>2.9</v>
      </c>
      <c r="CX258" s="68">
        <v>17500</v>
      </c>
      <c r="CY258" s="21">
        <v>495</v>
      </c>
      <c r="CZ258" s="32">
        <v>650</v>
      </c>
      <c r="DA258" s="67">
        <v>200000</v>
      </c>
      <c r="DB258" s="283" t="s">
        <v>5792</v>
      </c>
      <c r="DC258" s="163">
        <v>10.9</v>
      </c>
      <c r="DD258" s="303">
        <v>900</v>
      </c>
      <c r="DE258" s="32">
        <v>990</v>
      </c>
      <c r="DF258" s="303">
        <v>1000</v>
      </c>
      <c r="DG258" s="32">
        <v>1100</v>
      </c>
      <c r="DH258" s="67">
        <v>205000</v>
      </c>
      <c r="DI258" s="131" t="s">
        <v>5848</v>
      </c>
      <c r="DJ258" s="306" t="s">
        <v>4435</v>
      </c>
      <c r="DK258" s="297" t="s">
        <v>6052</v>
      </c>
    </row>
    <row r="259" spans="1:115" ht="15.6" customHeight="1" thickBot="1">
      <c r="A259" s="306">
        <v>254</v>
      </c>
      <c r="B259" s="326"/>
      <c r="C259" s="326"/>
      <c r="D259" s="346"/>
      <c r="E259" s="334"/>
      <c r="F259" s="326"/>
      <c r="G259" s="329"/>
      <c r="H259" s="326"/>
      <c r="I259" s="326"/>
      <c r="J259" s="317" t="s">
        <v>4623</v>
      </c>
      <c r="K259" s="306" t="s">
        <v>4535</v>
      </c>
      <c r="L259" s="163" t="s">
        <v>6061</v>
      </c>
      <c r="M259" s="306" t="s">
        <v>4508</v>
      </c>
      <c r="N259" s="163" t="s">
        <v>4700</v>
      </c>
      <c r="O259" s="18" t="s">
        <v>4507</v>
      </c>
      <c r="P259" s="163" t="s">
        <v>4470</v>
      </c>
      <c r="Q259" s="163" t="s">
        <v>4470</v>
      </c>
      <c r="R259" s="163" t="s">
        <v>4420</v>
      </c>
      <c r="S259" s="163" t="s">
        <v>5792</v>
      </c>
      <c r="T259" s="163" t="s">
        <v>4420</v>
      </c>
      <c r="U259" s="163" t="s">
        <v>5792</v>
      </c>
      <c r="V259" s="163" t="s">
        <v>4559</v>
      </c>
      <c r="W259" s="18">
        <v>10</v>
      </c>
      <c r="X259" s="230">
        <v>0</v>
      </c>
      <c r="Y259" s="18">
        <v>0</v>
      </c>
      <c r="Z259" s="306" t="s">
        <v>4352</v>
      </c>
      <c r="AA259" s="21">
        <f>INDEX('[2]Cross-Section Database'!$C$2:$V$2928,MATCH(Z259,'[2]Cross-Section Database'!$B$2:$B$2928,0),3)</f>
        <v>307.89999999999998</v>
      </c>
      <c r="AB259" s="21">
        <f>INDEX('[2]Cross-Section Database'!$C$2:$V$2928,MATCH(Z259,'[2]Cross-Section Database'!$B$2:$B$2928,0),4)</f>
        <v>305.3</v>
      </c>
      <c r="AC259" s="21">
        <f>INDEX('[2]Cross-Section Database'!$C$2:$V$2928,MATCH(Z259,'[2]Cross-Section Database'!$B$2:$B$2928,0),6)</f>
        <v>15.4</v>
      </c>
      <c r="AD259" s="21">
        <f>INDEX('[2]Cross-Section Database'!$C$2:$V$2928,MATCH(Z259,'[2]Cross-Section Database'!$B$2:$B$2928,0),5)</f>
        <v>9.9</v>
      </c>
      <c r="AE259" s="21">
        <v>3470</v>
      </c>
      <c r="AF259" s="306" t="s">
        <v>4219</v>
      </c>
      <c r="AG259" s="21">
        <f>INDEX('[2]Cross-Section Database'!$C$2:$V$2928,MATCH(AF259,'[2]Cross-Section Database'!$B$2:$B$2928,0),3)</f>
        <v>310.39999999999998</v>
      </c>
      <c r="AH259" s="21">
        <f>INDEX('[2]Cross-Section Database'!$C$2:$V$2928,MATCH(AF259,'[2]Cross-Section Database'!$B$2:$B$2928,0),4)</f>
        <v>166.9</v>
      </c>
      <c r="AI259" s="21">
        <f>INDEX('[2]Cross-Section Database'!$C$2:$V$2928,MATCH(AF259,'[2]Cross-Section Database'!$B$2:$B$2928,0),6)</f>
        <v>13.7</v>
      </c>
      <c r="AJ259" s="21">
        <f>INDEX('[2]Cross-Section Database'!$C$2:$V$2928,MATCH(AF259,'[2]Cross-Section Database'!$B$2:$B$2928,0),5)</f>
        <v>7.9</v>
      </c>
      <c r="AK259" s="21">
        <v>1500</v>
      </c>
      <c r="AL259" s="21">
        <f>INDEX('[2]Cross-Section Database'!$C$2:$V$3928,MATCH(AF259,'[2]Cross-Section Database'!$B$2:$B$3928,0),11)</f>
        <v>117000000</v>
      </c>
      <c r="AM259" s="24">
        <f>INDEX('[2]Cross-Section Database'!$C$2:$V$3928,MATCH(AF259,'[2]Cross-Section Database'!$B$2:$B$3928,0),12)</f>
        <v>846100</v>
      </c>
      <c r="AN259" s="21">
        <v>12</v>
      </c>
      <c r="AO259" s="21">
        <v>175</v>
      </c>
      <c r="AP259" s="21">
        <v>350</v>
      </c>
      <c r="AQ259" s="21">
        <v>20</v>
      </c>
      <c r="AR259" s="21">
        <f t="shared" si="122"/>
        <v>19.800000000000011</v>
      </c>
      <c r="AS259" s="306" t="s">
        <v>5807</v>
      </c>
      <c r="AT259" s="163" t="s">
        <v>4563</v>
      </c>
      <c r="AU259" s="163">
        <f t="shared" si="134"/>
        <v>40</v>
      </c>
      <c r="AV259" s="163">
        <v>20</v>
      </c>
      <c r="AW259" s="163">
        <f t="shared" si="135"/>
        <v>245</v>
      </c>
      <c r="AX259" s="21">
        <v>69.55</v>
      </c>
      <c r="AY259" s="21">
        <f>AX259</f>
        <v>69.55</v>
      </c>
      <c r="AZ259" s="21">
        <v>0</v>
      </c>
      <c r="BA259" s="21">
        <v>90</v>
      </c>
      <c r="BB259" s="21">
        <f t="shared" si="125"/>
        <v>210.89999999999998</v>
      </c>
      <c r="BC259" s="15" t="s">
        <v>4470</v>
      </c>
      <c r="BD259" s="163" t="s">
        <v>6209</v>
      </c>
      <c r="BE259" s="163" t="s">
        <v>6209</v>
      </c>
      <c r="BF259" s="163">
        <v>2</v>
      </c>
      <c r="BG259" s="163">
        <v>4</v>
      </c>
      <c r="BH259" s="306">
        <v>120</v>
      </c>
      <c r="BI259" s="163">
        <v>1500</v>
      </c>
      <c r="BJ259" s="203" t="s">
        <v>5792</v>
      </c>
      <c r="BK259" s="203" t="s">
        <v>5792</v>
      </c>
      <c r="BL259" s="203" t="s">
        <v>5792</v>
      </c>
      <c r="BM259" s="203" t="s">
        <v>5792</v>
      </c>
      <c r="BN259" s="203" t="s">
        <v>5792</v>
      </c>
      <c r="BO259" s="203" t="s">
        <v>5792</v>
      </c>
      <c r="BP259" s="306" t="s">
        <v>5856</v>
      </c>
      <c r="BQ259" s="163">
        <v>24</v>
      </c>
      <c r="BR259" s="163">
        <v>2</v>
      </c>
      <c r="BS259" s="163">
        <v>19</v>
      </c>
      <c r="BT259" s="163">
        <v>100</v>
      </c>
      <c r="BU259" s="163">
        <v>90</v>
      </c>
      <c r="BV259" s="18">
        <v>130</v>
      </c>
      <c r="BW259" s="163" t="s">
        <v>4573</v>
      </c>
      <c r="BX259" s="163" t="s">
        <v>4620</v>
      </c>
      <c r="BY259" s="21">
        <v>0</v>
      </c>
      <c r="BZ259" s="21">
        <f>10*PI()*16^2/4</f>
        <v>2010.6192982974676</v>
      </c>
      <c r="CA259" s="163">
        <v>30</v>
      </c>
      <c r="CB259" s="134">
        <v>1.12E-2</v>
      </c>
      <c r="CC259" s="107" t="s">
        <v>4450</v>
      </c>
      <c r="CD259" s="21">
        <v>275</v>
      </c>
      <c r="CE259" s="21">
        <v>324.8</v>
      </c>
      <c r="CF259" s="21">
        <v>410</v>
      </c>
      <c r="CG259" s="21">
        <f>(462.4+459.7)/2</f>
        <v>461.04999999999995</v>
      </c>
      <c r="CH259" s="67">
        <v>200000</v>
      </c>
      <c r="CI259" s="107" t="s">
        <v>4449</v>
      </c>
      <c r="CJ259" s="21">
        <v>235</v>
      </c>
      <c r="CK259" s="21">
        <f>(287.3+284.2)/2</f>
        <v>285.75</v>
      </c>
      <c r="CL259" s="21">
        <v>360</v>
      </c>
      <c r="CM259" s="21">
        <f>(443.7+436.2)/2</f>
        <v>439.95</v>
      </c>
      <c r="CN259" s="67">
        <v>200000</v>
      </c>
      <c r="CO259" s="32" t="s">
        <v>4449</v>
      </c>
      <c r="CP259" s="60">
        <v>235</v>
      </c>
      <c r="CQ259" s="21">
        <v>263.8</v>
      </c>
      <c r="CR259" s="47">
        <v>360</v>
      </c>
      <c r="CS259" s="163">
        <v>437.9</v>
      </c>
      <c r="CT259" s="67">
        <v>200000</v>
      </c>
      <c r="CU259" s="306" t="s">
        <v>5797</v>
      </c>
      <c r="CV259" s="21">
        <v>26.1</v>
      </c>
      <c r="CW259" s="33">
        <v>2.9</v>
      </c>
      <c r="CX259" s="68">
        <v>18100</v>
      </c>
      <c r="CY259" s="21">
        <v>495</v>
      </c>
      <c r="CZ259" s="32">
        <v>650</v>
      </c>
      <c r="DA259" s="67">
        <v>200000</v>
      </c>
      <c r="DB259" s="283" t="s">
        <v>5792</v>
      </c>
      <c r="DC259" s="163">
        <v>10.9</v>
      </c>
      <c r="DD259" s="303">
        <v>900</v>
      </c>
      <c r="DE259" s="32">
        <v>990</v>
      </c>
      <c r="DF259" s="303">
        <v>1000</v>
      </c>
      <c r="DG259" s="32">
        <v>1100</v>
      </c>
      <c r="DH259" s="67">
        <v>205000</v>
      </c>
      <c r="DI259" s="131" t="s">
        <v>5847</v>
      </c>
      <c r="DJ259" s="306" t="s">
        <v>4435</v>
      </c>
      <c r="DK259" s="298" t="s">
        <v>6016</v>
      </c>
    </row>
    <row r="260" spans="1:115" ht="15.6" customHeight="1">
      <c r="A260" s="305">
        <v>255</v>
      </c>
      <c r="B260" s="325">
        <v>35</v>
      </c>
      <c r="C260" s="325">
        <v>2004</v>
      </c>
      <c r="D260" s="325" t="s">
        <v>4671</v>
      </c>
      <c r="E260" s="328" t="s">
        <v>6149</v>
      </c>
      <c r="F260" s="325">
        <v>3</v>
      </c>
      <c r="G260" s="328" t="s">
        <v>6147</v>
      </c>
      <c r="H260" s="325" t="s">
        <v>4676</v>
      </c>
      <c r="I260" s="325" t="s">
        <v>6246</v>
      </c>
      <c r="J260" s="319" t="s">
        <v>6140</v>
      </c>
      <c r="K260" s="305" t="s">
        <v>6318</v>
      </c>
      <c r="L260" s="17" t="s">
        <v>6145</v>
      </c>
      <c r="M260" s="305" t="s">
        <v>4508</v>
      </c>
      <c r="N260" s="162" t="s">
        <v>6143</v>
      </c>
      <c r="O260" s="17" t="s">
        <v>4507</v>
      </c>
      <c r="P260" s="162" t="s">
        <v>6312</v>
      </c>
      <c r="Q260" s="162" t="s">
        <v>4420</v>
      </c>
      <c r="R260" s="162" t="s">
        <v>6170</v>
      </c>
      <c r="S260" s="30">
        <v>25</v>
      </c>
      <c r="T260" s="162" t="s">
        <v>4420</v>
      </c>
      <c r="U260" s="162" t="s">
        <v>5792</v>
      </c>
      <c r="V260" s="162" t="s">
        <v>4559</v>
      </c>
      <c r="W260" s="17">
        <v>10</v>
      </c>
      <c r="X260" s="239">
        <v>0</v>
      </c>
      <c r="Y260" s="17">
        <v>0</v>
      </c>
      <c r="Z260" s="305" t="s">
        <v>3982</v>
      </c>
      <c r="AA260" s="16">
        <f>INDEX('[2]Cross-Section Database'!$C$2:$V$2928,MATCH(Z260,'[2]Cross-Section Database'!$B$2:$B$2928,0),3)</f>
        <v>230</v>
      </c>
      <c r="AB260" s="16">
        <f>INDEX('[2]Cross-Section Database'!$C$2:$V$2928,MATCH(Z260,'[2]Cross-Section Database'!$B$2:$B$2928,0),4)</f>
        <v>240</v>
      </c>
      <c r="AC260" s="45">
        <f>INDEX('[2]Cross-Section Database'!$C$2:$V$2928,MATCH(Z260,'[2]Cross-Section Database'!$B$2:$B$2928,0),6)</f>
        <v>12</v>
      </c>
      <c r="AD260" s="45">
        <f>INDEX('[2]Cross-Section Database'!$C$2:$V$2928,MATCH(Z260,'[2]Cross-Section Database'!$B$2:$B$2928,0),5)</f>
        <v>7.5</v>
      </c>
      <c r="AE260" s="31">
        <v>1300</v>
      </c>
      <c r="AF260" s="305" t="s">
        <v>4011</v>
      </c>
      <c r="AG260" s="16">
        <f>INDEX('[2]Cross-Section Database'!$C$2:$V$3928,MATCH(AF260,'[2]Cross-Section Database'!$B$2:$B$3928,0),3)</f>
        <v>350</v>
      </c>
      <c r="AH260" s="16">
        <f>INDEX('[2]Cross-Section Database'!$C$2:$V$3928,MATCH(AF260,'[2]Cross-Section Database'!$B$2:$B$3928,0),4)</f>
        <v>300</v>
      </c>
      <c r="AI260" s="16">
        <f>INDEX('[2]Cross-Section Database'!$C$2:$V$3928,MATCH(AF260,'[2]Cross-Section Database'!$B$2:$B$3928,0),6)</f>
        <v>17.5</v>
      </c>
      <c r="AJ260" s="16">
        <f>INDEX('[2]Cross-Section Database'!$C$2:$V$3928,MATCH(AF260,'[2]Cross-Section Database'!$B$2:$B$3928,0),5)</f>
        <v>10</v>
      </c>
      <c r="AK260" s="16">
        <v>1615</v>
      </c>
      <c r="AL260" s="16">
        <f>INDEX('[2]Cross-Section Database'!$C$2:$V$3928,MATCH(AF260,'[2]Cross-Section Database'!$B$2:$B$3928,0),11)</f>
        <v>330900000</v>
      </c>
      <c r="AM260" s="26">
        <f>INDEX('[2]Cross-Section Database'!$C$2:$V$3928,MATCH(AF260,'[2]Cross-Section Database'!$B$2:$B$3928,0),12)</f>
        <v>2088000</v>
      </c>
      <c r="AN260" s="102">
        <v>10</v>
      </c>
      <c r="AO260" s="16">
        <v>300</v>
      </c>
      <c r="AP260" s="16">
        <v>330</v>
      </c>
      <c r="AQ260" s="16">
        <v>0</v>
      </c>
      <c r="AR260" s="26">
        <v>0</v>
      </c>
      <c r="AS260" s="162" t="s">
        <v>5807</v>
      </c>
      <c r="AT260" s="162" t="s">
        <v>6144</v>
      </c>
      <c r="AU260" s="16">
        <f>210/AV260/0.25</f>
        <v>42</v>
      </c>
      <c r="AV260" s="162">
        <v>20</v>
      </c>
      <c r="AW260" s="162">
        <f>IF(AV260=24,353,IF(AV260=22,303,IF(AV260=20,245,IF(AV260=16,157,0))))</f>
        <v>245</v>
      </c>
      <c r="AX260" s="16">
        <v>70</v>
      </c>
      <c r="AY260" s="16">
        <v>110</v>
      </c>
      <c r="AZ260" s="16">
        <v>0</v>
      </c>
      <c r="BA260" s="31">
        <v>120</v>
      </c>
      <c r="BB260" s="16">
        <v>150</v>
      </c>
      <c r="BC260" s="22" t="s">
        <v>6313</v>
      </c>
      <c r="BD260" s="162" t="s">
        <v>6209</v>
      </c>
      <c r="BE260" s="162" t="s">
        <v>6209</v>
      </c>
      <c r="BF260" s="162">
        <v>2</v>
      </c>
      <c r="BG260" s="162">
        <v>4</v>
      </c>
      <c r="BH260" s="200" t="s">
        <v>5792</v>
      </c>
      <c r="BI260" s="201" t="s">
        <v>5792</v>
      </c>
      <c r="BJ260" s="201" t="s">
        <v>5792</v>
      </c>
      <c r="BK260" s="201" t="s">
        <v>5792</v>
      </c>
      <c r="BL260" s="201" t="s">
        <v>5792</v>
      </c>
      <c r="BM260" s="201" t="s">
        <v>5792</v>
      </c>
      <c r="BN260" s="201" t="s">
        <v>5792</v>
      </c>
      <c r="BO260" s="201" t="s">
        <v>5792</v>
      </c>
      <c r="BP260" s="200" t="s">
        <v>5792</v>
      </c>
      <c r="BQ260" s="201" t="s">
        <v>5792</v>
      </c>
      <c r="BR260" s="201" t="s">
        <v>5792</v>
      </c>
      <c r="BS260" s="201" t="s">
        <v>5792</v>
      </c>
      <c r="BT260" s="201" t="s">
        <v>5792</v>
      </c>
      <c r="BU260" s="201" t="s">
        <v>5792</v>
      </c>
      <c r="BV260" s="219" t="s">
        <v>5792</v>
      </c>
      <c r="BW260" s="201" t="s">
        <v>5792</v>
      </c>
      <c r="BX260" s="201" t="s">
        <v>5792</v>
      </c>
      <c r="BY260" s="201" t="s">
        <v>5792</v>
      </c>
      <c r="BZ260" s="201" t="s">
        <v>5792</v>
      </c>
      <c r="CA260" s="201" t="s">
        <v>5792</v>
      </c>
      <c r="CB260" s="219" t="s">
        <v>5792</v>
      </c>
      <c r="CC260" s="305" t="s">
        <v>4384</v>
      </c>
      <c r="CD260" s="162">
        <v>355</v>
      </c>
      <c r="CE260" s="31">
        <f t="shared" ref="CE260:CE262" si="136">CD260*1.1</f>
        <v>390.50000000000006</v>
      </c>
      <c r="CF260" s="65">
        <v>470</v>
      </c>
      <c r="CG260" s="31">
        <f t="shared" ref="CG260:CG262" si="137">CF260*1.1</f>
        <v>517</v>
      </c>
      <c r="CH260" s="66">
        <v>200000</v>
      </c>
      <c r="CI260" s="305" t="s">
        <v>4384</v>
      </c>
      <c r="CJ260" s="162">
        <v>355</v>
      </c>
      <c r="CK260" s="31">
        <f t="shared" ref="CK260:CK262" si="138">CJ260*1.1</f>
        <v>390.50000000000006</v>
      </c>
      <c r="CL260" s="65">
        <v>470</v>
      </c>
      <c r="CM260" s="31">
        <f t="shared" ref="CM260:CM262" si="139">CL260*1.1</f>
        <v>517</v>
      </c>
      <c r="CN260" s="66">
        <v>200000</v>
      </c>
      <c r="CO260" s="305" t="s">
        <v>4384</v>
      </c>
      <c r="CP260" s="162">
        <v>355</v>
      </c>
      <c r="CQ260" s="31">
        <f t="shared" ref="CQ260:CQ262" si="140">CP260*1.1</f>
        <v>390.50000000000006</v>
      </c>
      <c r="CR260" s="65">
        <v>470</v>
      </c>
      <c r="CS260" s="31">
        <f t="shared" ref="CS260:CS262" si="141">CR260*1.1</f>
        <v>517</v>
      </c>
      <c r="CT260" s="66">
        <v>200000</v>
      </c>
      <c r="CU260" s="204" t="s">
        <v>5792</v>
      </c>
      <c r="CV260" s="205" t="s">
        <v>5792</v>
      </c>
      <c r="CW260" s="205" t="s">
        <v>5792</v>
      </c>
      <c r="CX260" s="206" t="s">
        <v>5792</v>
      </c>
      <c r="CY260" s="204" t="s">
        <v>5792</v>
      </c>
      <c r="CZ260" s="205" t="s">
        <v>5792</v>
      </c>
      <c r="DA260" s="206" t="s">
        <v>5792</v>
      </c>
      <c r="DB260" s="282" t="s">
        <v>5792</v>
      </c>
      <c r="DC260" s="162">
        <v>8.8000000000000007</v>
      </c>
      <c r="DD260" s="162">
        <v>640</v>
      </c>
      <c r="DE260" s="30">
        <v>730</v>
      </c>
      <c r="DF260" s="162">
        <v>800</v>
      </c>
      <c r="DG260" s="30">
        <v>940</v>
      </c>
      <c r="DH260" s="66">
        <v>200000</v>
      </c>
      <c r="DI260" s="28" t="s">
        <v>5835</v>
      </c>
      <c r="DJ260" s="162" t="s">
        <v>4435</v>
      </c>
      <c r="DK260" s="296" t="s">
        <v>4566</v>
      </c>
    </row>
    <row r="261" spans="1:115">
      <c r="A261" s="306">
        <v>256</v>
      </c>
      <c r="B261" s="326"/>
      <c r="C261" s="326"/>
      <c r="D261" s="326"/>
      <c r="E261" s="329"/>
      <c r="F261" s="326"/>
      <c r="G261" s="329"/>
      <c r="H261" s="326"/>
      <c r="I261" s="326"/>
      <c r="J261" s="314" t="s">
        <v>6141</v>
      </c>
      <c r="K261" s="306" t="s">
        <v>4535</v>
      </c>
      <c r="L261" s="18" t="s">
        <v>6145</v>
      </c>
      <c r="M261" s="306" t="s">
        <v>4508</v>
      </c>
      <c r="N261" s="163" t="s">
        <v>6143</v>
      </c>
      <c r="O261" s="18" t="s">
        <v>4507</v>
      </c>
      <c r="P261" s="163" t="s">
        <v>4420</v>
      </c>
      <c r="Q261" s="163" t="s">
        <v>4420</v>
      </c>
      <c r="R261" s="163" t="s">
        <v>6170</v>
      </c>
      <c r="S261" s="32">
        <v>25</v>
      </c>
      <c r="T261" s="163" t="s">
        <v>4420</v>
      </c>
      <c r="U261" s="163" t="s">
        <v>5792</v>
      </c>
      <c r="V261" s="163" t="s">
        <v>4559</v>
      </c>
      <c r="W261" s="18">
        <v>10</v>
      </c>
      <c r="X261" s="230">
        <v>0</v>
      </c>
      <c r="Y261" s="18">
        <v>0</v>
      </c>
      <c r="Z261" s="163" t="s">
        <v>3982</v>
      </c>
      <c r="AA261" s="21">
        <f>INDEX('[2]Cross-Section Database'!$C$2:$V$2928,MATCH(Z261,'[2]Cross-Section Database'!$B$2:$B$2928,0),3)</f>
        <v>230</v>
      </c>
      <c r="AB261" s="21">
        <f>INDEX('[2]Cross-Section Database'!$C$2:$V$2928,MATCH(Z261,'[2]Cross-Section Database'!$B$2:$B$2928,0),4)</f>
        <v>240</v>
      </c>
      <c r="AC261" s="21">
        <f>INDEX('[2]Cross-Section Database'!$C$2:$V$2928,MATCH(Z261,'[2]Cross-Section Database'!$B$2:$B$2928,0),6)</f>
        <v>12</v>
      </c>
      <c r="AD261" s="21">
        <f>INDEX('[2]Cross-Section Database'!$C$2:$V$2928,MATCH(Z261,'[2]Cross-Section Database'!$B$2:$B$2928,0),5)</f>
        <v>7.5</v>
      </c>
      <c r="AE261" s="33">
        <v>1300</v>
      </c>
      <c r="AF261" s="306" t="s">
        <v>4011</v>
      </c>
      <c r="AG261" s="21">
        <f>INDEX('[2]Cross-Section Database'!$C$2:$V$3928,MATCH(AF261,'[2]Cross-Section Database'!$B$2:$B$3928,0),3)</f>
        <v>350</v>
      </c>
      <c r="AH261" s="21">
        <f>INDEX('[2]Cross-Section Database'!$C$2:$V$3928,MATCH(AF261,'[2]Cross-Section Database'!$B$2:$B$3928,0),4)</f>
        <v>300</v>
      </c>
      <c r="AI261" s="21">
        <f>INDEX('[2]Cross-Section Database'!$C$2:$V$3928,MATCH(AF261,'[2]Cross-Section Database'!$B$2:$B$3928,0),6)</f>
        <v>17.5</v>
      </c>
      <c r="AJ261" s="21">
        <f>INDEX('[2]Cross-Section Database'!$C$2:$V$3928,MATCH(AF261,'[2]Cross-Section Database'!$B$2:$B$3928,0),5)</f>
        <v>10</v>
      </c>
      <c r="AK261" s="21">
        <v>1615</v>
      </c>
      <c r="AL261" s="21">
        <f>INDEX('[2]Cross-Section Database'!$C$2:$V$3928,MATCH(AF261,'[2]Cross-Section Database'!$B$2:$B$3928,0),11)</f>
        <v>330900000</v>
      </c>
      <c r="AM261" s="24">
        <f>INDEX('[2]Cross-Section Database'!$C$2:$V$3928,MATCH(AF261,'[2]Cross-Section Database'!$B$2:$B$3928,0),12)</f>
        <v>2088000</v>
      </c>
      <c r="AN261" s="103">
        <v>10</v>
      </c>
      <c r="AO261" s="21">
        <v>300</v>
      </c>
      <c r="AP261" s="21">
        <v>330</v>
      </c>
      <c r="AQ261" s="21">
        <v>0</v>
      </c>
      <c r="AR261" s="24">
        <v>0</v>
      </c>
      <c r="AS261" s="163" t="s">
        <v>5807</v>
      </c>
      <c r="AT261" s="163" t="s">
        <v>6144</v>
      </c>
      <c r="AU261" s="163">
        <f>210/AV261/0.25</f>
        <v>42</v>
      </c>
      <c r="AV261" s="163">
        <v>20</v>
      </c>
      <c r="AW261" s="163">
        <f>IF(AV261=24,353,IF(AV261=22,303,IF(AV261=20,245,IF(AV261=16,157,0))))</f>
        <v>245</v>
      </c>
      <c r="AX261" s="21">
        <v>70</v>
      </c>
      <c r="AY261" s="21">
        <v>140</v>
      </c>
      <c r="AZ261" s="21">
        <v>0</v>
      </c>
      <c r="BA261" s="33">
        <v>120</v>
      </c>
      <c r="BB261" s="21">
        <v>120</v>
      </c>
      <c r="BC261" s="15" t="s">
        <v>6313</v>
      </c>
      <c r="BD261" s="163" t="s">
        <v>6209</v>
      </c>
      <c r="BE261" s="163" t="s">
        <v>6209</v>
      </c>
      <c r="BF261" s="163">
        <v>2</v>
      </c>
      <c r="BG261" s="163">
        <v>4</v>
      </c>
      <c r="BH261" s="202" t="s">
        <v>5792</v>
      </c>
      <c r="BI261" s="203" t="s">
        <v>5792</v>
      </c>
      <c r="BJ261" s="203" t="s">
        <v>5792</v>
      </c>
      <c r="BK261" s="203" t="s">
        <v>5792</v>
      </c>
      <c r="BL261" s="203" t="s">
        <v>5792</v>
      </c>
      <c r="BM261" s="203" t="s">
        <v>5792</v>
      </c>
      <c r="BN261" s="203" t="s">
        <v>5792</v>
      </c>
      <c r="BO261" s="203" t="s">
        <v>5792</v>
      </c>
      <c r="BP261" s="202" t="s">
        <v>5792</v>
      </c>
      <c r="BQ261" s="203" t="s">
        <v>5792</v>
      </c>
      <c r="BR261" s="203" t="s">
        <v>5792</v>
      </c>
      <c r="BS261" s="203" t="s">
        <v>5792</v>
      </c>
      <c r="BT261" s="203" t="s">
        <v>5792</v>
      </c>
      <c r="BU261" s="203" t="s">
        <v>5792</v>
      </c>
      <c r="BV261" s="218" t="s">
        <v>5792</v>
      </c>
      <c r="BW261" s="203" t="s">
        <v>5792</v>
      </c>
      <c r="BX261" s="203" t="s">
        <v>5792</v>
      </c>
      <c r="BY261" s="203" t="s">
        <v>5792</v>
      </c>
      <c r="BZ261" s="203" t="s">
        <v>5792</v>
      </c>
      <c r="CA261" s="203" t="s">
        <v>5792</v>
      </c>
      <c r="CB261" s="218" t="s">
        <v>5792</v>
      </c>
      <c r="CC261" s="306" t="s">
        <v>4384</v>
      </c>
      <c r="CD261" s="163">
        <v>355</v>
      </c>
      <c r="CE261" s="33">
        <f t="shared" si="136"/>
        <v>390.50000000000006</v>
      </c>
      <c r="CF261" s="60">
        <v>470</v>
      </c>
      <c r="CG261" s="33">
        <f t="shared" si="137"/>
        <v>517</v>
      </c>
      <c r="CH261" s="67">
        <v>200000</v>
      </c>
      <c r="CI261" s="306" t="s">
        <v>4384</v>
      </c>
      <c r="CJ261" s="163">
        <v>355</v>
      </c>
      <c r="CK261" s="33">
        <f t="shared" si="138"/>
        <v>390.50000000000006</v>
      </c>
      <c r="CL261" s="60">
        <v>470</v>
      </c>
      <c r="CM261" s="33">
        <f t="shared" si="139"/>
        <v>517</v>
      </c>
      <c r="CN261" s="67">
        <v>200000</v>
      </c>
      <c r="CO261" s="306" t="s">
        <v>4384</v>
      </c>
      <c r="CP261" s="163">
        <v>355</v>
      </c>
      <c r="CQ261" s="33">
        <f t="shared" si="140"/>
        <v>390.50000000000006</v>
      </c>
      <c r="CR261" s="60">
        <v>470</v>
      </c>
      <c r="CS261" s="33">
        <f t="shared" si="141"/>
        <v>517</v>
      </c>
      <c r="CT261" s="67">
        <v>200000</v>
      </c>
      <c r="CU261" s="207" t="s">
        <v>5792</v>
      </c>
      <c r="CV261" s="208" t="s">
        <v>5792</v>
      </c>
      <c r="CW261" s="208" t="s">
        <v>5792</v>
      </c>
      <c r="CX261" s="209" t="s">
        <v>5792</v>
      </c>
      <c r="CY261" s="207" t="s">
        <v>5792</v>
      </c>
      <c r="CZ261" s="208" t="s">
        <v>5792</v>
      </c>
      <c r="DA261" s="209" t="s">
        <v>5792</v>
      </c>
      <c r="DB261" s="283" t="s">
        <v>5792</v>
      </c>
      <c r="DC261" s="163">
        <v>8.8000000000000007</v>
      </c>
      <c r="DD261" s="163">
        <v>640</v>
      </c>
      <c r="DE261" s="32">
        <v>730</v>
      </c>
      <c r="DF261" s="163">
        <v>800</v>
      </c>
      <c r="DG261" s="32">
        <v>940</v>
      </c>
      <c r="DH261" s="67">
        <v>200000</v>
      </c>
      <c r="DI261" s="29" t="s">
        <v>6148</v>
      </c>
      <c r="DJ261" s="163" t="s">
        <v>4435</v>
      </c>
      <c r="DK261" s="297" t="s">
        <v>4566</v>
      </c>
    </row>
    <row r="262" spans="1:115" ht="15.6" customHeight="1" thickBot="1">
      <c r="A262" s="143">
        <v>257</v>
      </c>
      <c r="B262" s="327"/>
      <c r="C262" s="327"/>
      <c r="D262" s="327"/>
      <c r="E262" s="330"/>
      <c r="F262" s="327"/>
      <c r="G262" s="330"/>
      <c r="H262" s="327"/>
      <c r="I262" s="327"/>
      <c r="J262" s="315" t="s">
        <v>6142</v>
      </c>
      <c r="K262" s="143" t="s">
        <v>4535</v>
      </c>
      <c r="L262" s="14" t="s">
        <v>6145</v>
      </c>
      <c r="M262" s="143" t="s">
        <v>4508</v>
      </c>
      <c r="N262" s="164" t="s">
        <v>6143</v>
      </c>
      <c r="O262" s="14" t="s">
        <v>4507</v>
      </c>
      <c r="P262" s="164" t="s">
        <v>4420</v>
      </c>
      <c r="Q262" s="164" t="s">
        <v>4420</v>
      </c>
      <c r="R262" s="164" t="s">
        <v>6170</v>
      </c>
      <c r="S262" s="34">
        <v>25</v>
      </c>
      <c r="T262" s="164" t="s">
        <v>4420</v>
      </c>
      <c r="U262" s="164" t="s">
        <v>5792</v>
      </c>
      <c r="V262" s="164" t="s">
        <v>4559</v>
      </c>
      <c r="W262" s="14">
        <v>10</v>
      </c>
      <c r="X262" s="235">
        <v>0</v>
      </c>
      <c r="Y262" s="14">
        <v>0</v>
      </c>
      <c r="Z262" s="164" t="s">
        <v>3982</v>
      </c>
      <c r="AA262" s="23">
        <f>INDEX('[2]Cross-Section Database'!$C$2:$V$2928,MATCH(Z262,'[2]Cross-Section Database'!$B$2:$B$2928,0),3)</f>
        <v>230</v>
      </c>
      <c r="AB262" s="23">
        <f>INDEX('[2]Cross-Section Database'!$C$2:$V$2928,MATCH(Z262,'[2]Cross-Section Database'!$B$2:$B$2928,0),4)</f>
        <v>240</v>
      </c>
      <c r="AC262" s="23">
        <f>INDEX('[2]Cross-Section Database'!$C$2:$V$2928,MATCH(Z262,'[2]Cross-Section Database'!$B$2:$B$2928,0),6)</f>
        <v>12</v>
      </c>
      <c r="AD262" s="23">
        <f>INDEX('[2]Cross-Section Database'!$C$2:$V$2928,MATCH(Z262,'[2]Cross-Section Database'!$B$2:$B$2928,0),5)</f>
        <v>7.5</v>
      </c>
      <c r="AE262" s="35">
        <v>1300</v>
      </c>
      <c r="AF262" s="143" t="s">
        <v>4011</v>
      </c>
      <c r="AG262" s="23">
        <f>INDEX('[2]Cross-Section Database'!$C$2:$V$3928,MATCH(AF262,'[2]Cross-Section Database'!$B$2:$B$3928,0),3)</f>
        <v>350</v>
      </c>
      <c r="AH262" s="23">
        <f>INDEX('[2]Cross-Section Database'!$C$2:$V$3928,MATCH(AF262,'[2]Cross-Section Database'!$B$2:$B$3928,0),4)</f>
        <v>300</v>
      </c>
      <c r="AI262" s="23">
        <f>INDEX('[2]Cross-Section Database'!$C$2:$V$3928,MATCH(AF262,'[2]Cross-Section Database'!$B$2:$B$3928,0),6)</f>
        <v>17.5</v>
      </c>
      <c r="AJ262" s="23">
        <f>INDEX('[2]Cross-Section Database'!$C$2:$V$3928,MATCH(AF262,'[2]Cross-Section Database'!$B$2:$B$3928,0),5)</f>
        <v>10</v>
      </c>
      <c r="AK262" s="23">
        <v>1615</v>
      </c>
      <c r="AL262" s="23">
        <f>INDEX('[2]Cross-Section Database'!$C$2:$V$3928,MATCH(AF262,'[2]Cross-Section Database'!$B$2:$B$3928,0),11)</f>
        <v>330900000</v>
      </c>
      <c r="AM262" s="25">
        <f>INDEX('[2]Cross-Section Database'!$C$2:$V$3928,MATCH(AF262,'[2]Cross-Section Database'!$B$2:$B$3928,0),12)</f>
        <v>2088000</v>
      </c>
      <c r="AN262" s="104">
        <v>10</v>
      </c>
      <c r="AO262" s="23">
        <v>300</v>
      </c>
      <c r="AP262" s="23">
        <v>330</v>
      </c>
      <c r="AQ262" s="23">
        <v>0</v>
      </c>
      <c r="AR262" s="25">
        <v>0</v>
      </c>
      <c r="AS262" s="164" t="s">
        <v>5807</v>
      </c>
      <c r="AT262" s="164" t="s">
        <v>6144</v>
      </c>
      <c r="AU262" s="164">
        <f>210/AV262/0.25</f>
        <v>42</v>
      </c>
      <c r="AV262" s="164">
        <v>20</v>
      </c>
      <c r="AW262" s="164">
        <f>IF(AV262=24,353,IF(AV262=22,303,IF(AV262=20,245,IF(AV262=16,157,0))))</f>
        <v>245</v>
      </c>
      <c r="AX262" s="23">
        <v>110</v>
      </c>
      <c r="AY262" s="23">
        <v>110</v>
      </c>
      <c r="AZ262" s="23">
        <v>0</v>
      </c>
      <c r="BA262" s="35">
        <v>120</v>
      </c>
      <c r="BB262" s="23">
        <v>110</v>
      </c>
      <c r="BC262" s="19" t="s">
        <v>6313</v>
      </c>
      <c r="BD262" s="164" t="s">
        <v>6209</v>
      </c>
      <c r="BE262" s="164" t="s">
        <v>6209</v>
      </c>
      <c r="BF262" s="164">
        <v>2</v>
      </c>
      <c r="BG262" s="164">
        <v>4</v>
      </c>
      <c r="BH262" s="197" t="s">
        <v>5792</v>
      </c>
      <c r="BI262" s="198" t="s">
        <v>5792</v>
      </c>
      <c r="BJ262" s="198" t="s">
        <v>5792</v>
      </c>
      <c r="BK262" s="198" t="s">
        <v>5792</v>
      </c>
      <c r="BL262" s="198" t="s">
        <v>5792</v>
      </c>
      <c r="BM262" s="198" t="s">
        <v>5792</v>
      </c>
      <c r="BN262" s="198" t="s">
        <v>5792</v>
      </c>
      <c r="BO262" s="198" t="s">
        <v>5792</v>
      </c>
      <c r="BP262" s="197" t="s">
        <v>5792</v>
      </c>
      <c r="BQ262" s="198" t="s">
        <v>5792</v>
      </c>
      <c r="BR262" s="198" t="s">
        <v>5792</v>
      </c>
      <c r="BS262" s="198" t="s">
        <v>5792</v>
      </c>
      <c r="BT262" s="198" t="s">
        <v>5792</v>
      </c>
      <c r="BU262" s="198" t="s">
        <v>5792</v>
      </c>
      <c r="BV262" s="220" t="s">
        <v>5792</v>
      </c>
      <c r="BW262" s="198" t="s">
        <v>5792</v>
      </c>
      <c r="BX262" s="198" t="s">
        <v>5792</v>
      </c>
      <c r="BY262" s="198" t="s">
        <v>5792</v>
      </c>
      <c r="BZ262" s="198" t="s">
        <v>5792</v>
      </c>
      <c r="CA262" s="198" t="s">
        <v>5792</v>
      </c>
      <c r="CB262" s="220" t="s">
        <v>5792</v>
      </c>
      <c r="CC262" s="143" t="s">
        <v>4384</v>
      </c>
      <c r="CD262" s="164">
        <v>355</v>
      </c>
      <c r="CE262" s="35">
        <f t="shared" si="136"/>
        <v>390.50000000000006</v>
      </c>
      <c r="CF262" s="87">
        <v>470</v>
      </c>
      <c r="CG262" s="35">
        <f t="shared" si="137"/>
        <v>517</v>
      </c>
      <c r="CH262" s="70">
        <v>200000</v>
      </c>
      <c r="CI262" s="143" t="s">
        <v>4384</v>
      </c>
      <c r="CJ262" s="164">
        <v>355</v>
      </c>
      <c r="CK262" s="35">
        <f t="shared" si="138"/>
        <v>390.50000000000006</v>
      </c>
      <c r="CL262" s="87">
        <v>470</v>
      </c>
      <c r="CM262" s="35">
        <f t="shared" si="139"/>
        <v>517</v>
      </c>
      <c r="CN262" s="70">
        <v>200000</v>
      </c>
      <c r="CO262" s="143" t="s">
        <v>4384</v>
      </c>
      <c r="CP262" s="164">
        <v>355</v>
      </c>
      <c r="CQ262" s="35">
        <f t="shared" si="140"/>
        <v>390.50000000000006</v>
      </c>
      <c r="CR262" s="87">
        <v>470</v>
      </c>
      <c r="CS262" s="35">
        <f t="shared" si="141"/>
        <v>517</v>
      </c>
      <c r="CT262" s="70">
        <v>200000</v>
      </c>
      <c r="CU262" s="210" t="s">
        <v>5792</v>
      </c>
      <c r="CV262" s="211" t="s">
        <v>5792</v>
      </c>
      <c r="CW262" s="211" t="s">
        <v>5792</v>
      </c>
      <c r="CX262" s="212" t="s">
        <v>5792</v>
      </c>
      <c r="CY262" s="210" t="s">
        <v>5792</v>
      </c>
      <c r="CZ262" s="211" t="s">
        <v>5792</v>
      </c>
      <c r="DA262" s="212" t="s">
        <v>5792</v>
      </c>
      <c r="DB262" s="284" t="s">
        <v>5792</v>
      </c>
      <c r="DC262" s="164">
        <v>8.8000000000000007</v>
      </c>
      <c r="DD262" s="164">
        <v>640</v>
      </c>
      <c r="DE262" s="34">
        <v>730</v>
      </c>
      <c r="DF262" s="164">
        <v>800</v>
      </c>
      <c r="DG262" s="34">
        <v>940</v>
      </c>
      <c r="DH262" s="70">
        <v>200000</v>
      </c>
      <c r="DI262" s="27" t="s">
        <v>6146</v>
      </c>
      <c r="DJ262" s="143" t="s">
        <v>4435</v>
      </c>
      <c r="DK262" s="298" t="s">
        <v>4566</v>
      </c>
    </row>
    <row r="263" spans="1:115" ht="15.6" customHeight="1">
      <c r="A263" s="305">
        <v>258</v>
      </c>
      <c r="B263" s="325">
        <v>36</v>
      </c>
      <c r="C263" s="325">
        <v>2004</v>
      </c>
      <c r="D263" s="325" t="s">
        <v>4754</v>
      </c>
      <c r="E263" s="328" t="s">
        <v>4851</v>
      </c>
      <c r="F263" s="325">
        <v>8</v>
      </c>
      <c r="G263" s="328" t="s">
        <v>5924</v>
      </c>
      <c r="H263" s="325" t="s">
        <v>5919</v>
      </c>
      <c r="I263" s="325" t="s">
        <v>4742</v>
      </c>
      <c r="J263" s="43" t="s">
        <v>4719</v>
      </c>
      <c r="K263" s="305" t="s">
        <v>4383</v>
      </c>
      <c r="L263" s="162" t="s">
        <v>5792</v>
      </c>
      <c r="M263" s="305" t="s">
        <v>4509</v>
      </c>
      <c r="N263" s="162" t="s">
        <v>4703</v>
      </c>
      <c r="O263" s="17" t="s">
        <v>4507</v>
      </c>
      <c r="P263" s="162" t="s">
        <v>4420</v>
      </c>
      <c r="Q263" s="162" t="s">
        <v>4420</v>
      </c>
      <c r="R263" s="162" t="s">
        <v>4420</v>
      </c>
      <c r="S263" s="162" t="s">
        <v>5792</v>
      </c>
      <c r="T263" s="162" t="s">
        <v>4420</v>
      </c>
      <c r="U263" s="162" t="s">
        <v>5792</v>
      </c>
      <c r="V263" s="30" t="s">
        <v>4559</v>
      </c>
      <c r="W263" s="88">
        <v>8</v>
      </c>
      <c r="X263" s="236">
        <v>0</v>
      </c>
      <c r="Y263" s="17">
        <v>0</v>
      </c>
      <c r="Z263" s="305" t="s">
        <v>3983</v>
      </c>
      <c r="AA263" s="16">
        <f>INDEX('[2]Cross-Section Database'!$C$2:$V$2928,MATCH(Z263,'[2]Cross-Section Database'!$B$2:$B$2928,0),3)</f>
        <v>240</v>
      </c>
      <c r="AB263" s="16">
        <f>INDEX('[2]Cross-Section Database'!$C$2:$V$2928,MATCH(Z263,'[2]Cross-Section Database'!$B$2:$B$2928,0),4)</f>
        <v>240</v>
      </c>
      <c r="AC263" s="45">
        <f>INDEX('[2]Cross-Section Database'!$C$2:$V$2928,MATCH(Z263,'[2]Cross-Section Database'!$B$2:$B$2928,0),6)</f>
        <v>17</v>
      </c>
      <c r="AD263" s="45">
        <f>INDEX('[2]Cross-Section Database'!$C$2:$V$2928,MATCH(Z263,'[2]Cross-Section Database'!$B$2:$B$2928,0),5)</f>
        <v>10</v>
      </c>
      <c r="AE263" s="31">
        <v>2750</v>
      </c>
      <c r="AF263" s="305" t="s">
        <v>3907</v>
      </c>
      <c r="AG263" s="16">
        <f>INDEX('[2]Cross-Section Database'!$C$2:$V$2928,MATCH(AF263,'[2]Cross-Section Database'!$B$2:$B$2928,0),3)</f>
        <v>240</v>
      </c>
      <c r="AH263" s="16">
        <f>INDEX('[2]Cross-Section Database'!$C$2:$V$2928,MATCH(AF263,'[2]Cross-Section Database'!$B$2:$B$2928,0),4)</f>
        <v>120</v>
      </c>
      <c r="AI263" s="16">
        <f>INDEX('[2]Cross-Section Database'!$C$2:$V$2928,MATCH(AF263,'[2]Cross-Section Database'!$B$2:$B$2928,0),6)</f>
        <v>9.8000000000000007</v>
      </c>
      <c r="AJ263" s="16">
        <f>INDEX('[2]Cross-Section Database'!$C$2:$V$2928,MATCH(AF263,'[2]Cross-Section Database'!$B$2:$B$2928,0),5)</f>
        <v>6.2</v>
      </c>
      <c r="AK263" s="16">
        <v>1000</v>
      </c>
      <c r="AL263" s="16">
        <f>INDEX('[2]Cross-Section Database'!$C$2:$V$3928,MATCH(AF263,'[2]Cross-Section Database'!$B$2:$B$3928,0),11)</f>
        <v>38920000</v>
      </c>
      <c r="AM263" s="26">
        <f>INDEX('[2]Cross-Section Database'!$C$2:$V$3928,MATCH(AF263,'[2]Cross-Section Database'!$B$2:$B$3928,0),12)</f>
        <v>367000</v>
      </c>
      <c r="AN263" s="16">
        <v>15</v>
      </c>
      <c r="AO263" s="16">
        <v>160</v>
      </c>
      <c r="AP263" s="16">
        <v>264</v>
      </c>
      <c r="AQ263" s="16">
        <f t="shared" ref="AQ263:AQ270" si="142">(AP263-AG263)-AR263</f>
        <v>12</v>
      </c>
      <c r="AR263" s="16">
        <f t="shared" si="122"/>
        <v>12</v>
      </c>
      <c r="AS263" s="305" t="s">
        <v>5807</v>
      </c>
      <c r="AT263" s="162" t="s">
        <v>4613</v>
      </c>
      <c r="AU263" s="16">
        <f>150/AV263/0.25</f>
        <v>30</v>
      </c>
      <c r="AV263" s="162">
        <v>20</v>
      </c>
      <c r="AW263" s="162">
        <f t="shared" si="135"/>
        <v>245</v>
      </c>
      <c r="AX263" s="16">
        <v>54</v>
      </c>
      <c r="AY263" s="16">
        <v>54</v>
      </c>
      <c r="AZ263" s="16">
        <v>0</v>
      </c>
      <c r="BA263" s="16">
        <v>96</v>
      </c>
      <c r="BB263" s="16">
        <v>156</v>
      </c>
      <c r="BC263" s="22" t="s">
        <v>4470</v>
      </c>
      <c r="BD263" s="162" t="s">
        <v>6209</v>
      </c>
      <c r="BE263" s="162" t="s">
        <v>6209</v>
      </c>
      <c r="BF263" s="162">
        <v>2</v>
      </c>
      <c r="BG263" s="17">
        <v>4</v>
      </c>
      <c r="BH263" s="200" t="s">
        <v>5792</v>
      </c>
      <c r="BI263" s="201" t="s">
        <v>5792</v>
      </c>
      <c r="BJ263" s="201" t="s">
        <v>5792</v>
      </c>
      <c r="BK263" s="201" t="s">
        <v>5792</v>
      </c>
      <c r="BL263" s="201" t="s">
        <v>5792</v>
      </c>
      <c r="BM263" s="201" t="s">
        <v>5792</v>
      </c>
      <c r="BN263" s="201" t="s">
        <v>5792</v>
      </c>
      <c r="BO263" s="201" t="s">
        <v>5792</v>
      </c>
      <c r="BP263" s="200" t="s">
        <v>5792</v>
      </c>
      <c r="BQ263" s="201" t="s">
        <v>5792</v>
      </c>
      <c r="BR263" s="201" t="s">
        <v>5792</v>
      </c>
      <c r="BS263" s="201" t="s">
        <v>5792</v>
      </c>
      <c r="BT263" s="201" t="s">
        <v>5792</v>
      </c>
      <c r="BU263" s="201" t="s">
        <v>5792</v>
      </c>
      <c r="BV263" s="219" t="s">
        <v>5792</v>
      </c>
      <c r="BW263" s="201" t="s">
        <v>5792</v>
      </c>
      <c r="BX263" s="201" t="s">
        <v>5792</v>
      </c>
      <c r="BY263" s="201" t="s">
        <v>5792</v>
      </c>
      <c r="BZ263" s="201" t="s">
        <v>5792</v>
      </c>
      <c r="CA263" s="201" t="s">
        <v>5792</v>
      </c>
      <c r="CB263" s="219" t="s">
        <v>5792</v>
      </c>
      <c r="CC263" s="305" t="s">
        <v>4450</v>
      </c>
      <c r="CD263" s="162">
        <v>275</v>
      </c>
      <c r="CE263" s="16">
        <f>(372.02+342.95)/2</f>
        <v>357.48500000000001</v>
      </c>
      <c r="CF263" s="162">
        <v>410</v>
      </c>
      <c r="CG263" s="16">
        <f>(477.29+448.79)/2</f>
        <v>463.04</v>
      </c>
      <c r="CH263" s="81">
        <f>(206936+220792)/2</f>
        <v>213864</v>
      </c>
      <c r="CI263" s="162" t="s">
        <v>4450</v>
      </c>
      <c r="CJ263" s="162">
        <v>275</v>
      </c>
      <c r="CK263" s="16">
        <f>(363.4+340.14)/2</f>
        <v>351.77</v>
      </c>
      <c r="CL263" s="16">
        <v>410</v>
      </c>
      <c r="CM263" s="16">
        <f>(454.3+448.23)/2</f>
        <v>451.26499999999999</v>
      </c>
      <c r="CN263" s="81">
        <f>(203713+215222)/2</f>
        <v>209467.5</v>
      </c>
      <c r="CO263" s="162" t="s">
        <v>4450</v>
      </c>
      <c r="CP263" s="162">
        <v>275</v>
      </c>
      <c r="CQ263" s="16">
        <v>369.44</v>
      </c>
      <c r="CR263" s="16">
        <v>410</v>
      </c>
      <c r="CS263" s="16">
        <v>503.45</v>
      </c>
      <c r="CT263" s="81">
        <v>200248</v>
      </c>
      <c r="CU263" s="204" t="s">
        <v>5792</v>
      </c>
      <c r="CV263" s="205" t="s">
        <v>5792</v>
      </c>
      <c r="CW263" s="205" t="s">
        <v>5792</v>
      </c>
      <c r="CX263" s="206" t="s">
        <v>5792</v>
      </c>
      <c r="CY263" s="205" t="s">
        <v>5792</v>
      </c>
      <c r="CZ263" s="205" t="s">
        <v>5792</v>
      </c>
      <c r="DA263" s="206" t="s">
        <v>5792</v>
      </c>
      <c r="DB263" s="282" t="s">
        <v>5792</v>
      </c>
      <c r="DC263" s="162">
        <v>10.9</v>
      </c>
      <c r="DD263" s="162">
        <v>900</v>
      </c>
      <c r="DE263" s="30">
        <v>990</v>
      </c>
      <c r="DF263" s="162">
        <v>1000</v>
      </c>
      <c r="DG263" s="30">
        <v>1100</v>
      </c>
      <c r="DH263" s="76">
        <v>200000</v>
      </c>
      <c r="DI263" s="129" t="s">
        <v>5849</v>
      </c>
      <c r="DJ263" s="30" t="s">
        <v>4435</v>
      </c>
      <c r="DK263" s="296" t="s">
        <v>4566</v>
      </c>
    </row>
    <row r="264" spans="1:115">
      <c r="A264" s="306">
        <v>259</v>
      </c>
      <c r="B264" s="326"/>
      <c r="C264" s="326"/>
      <c r="D264" s="326"/>
      <c r="E264" s="329"/>
      <c r="F264" s="326"/>
      <c r="G264" s="329"/>
      <c r="H264" s="326"/>
      <c r="I264" s="326"/>
      <c r="J264" s="41" t="s">
        <v>4720</v>
      </c>
      <c r="K264" s="306" t="s">
        <v>4383</v>
      </c>
      <c r="L264" s="163" t="s">
        <v>5792</v>
      </c>
      <c r="M264" s="306" t="s">
        <v>4509</v>
      </c>
      <c r="N264" s="163" t="s">
        <v>4703</v>
      </c>
      <c r="O264" s="18" t="s">
        <v>4507</v>
      </c>
      <c r="P264" s="163" t="s">
        <v>4420</v>
      </c>
      <c r="Q264" s="163" t="s">
        <v>4420</v>
      </c>
      <c r="R264" s="163" t="s">
        <v>4420</v>
      </c>
      <c r="S264" s="163" t="s">
        <v>5792</v>
      </c>
      <c r="T264" s="163" t="s">
        <v>4420</v>
      </c>
      <c r="U264" s="163" t="s">
        <v>5792</v>
      </c>
      <c r="V264" s="32" t="s">
        <v>4559</v>
      </c>
      <c r="W264" s="73">
        <v>8</v>
      </c>
      <c r="X264" s="237">
        <v>52.7</v>
      </c>
      <c r="Y264" s="18">
        <v>0</v>
      </c>
      <c r="Z264" s="306" t="s">
        <v>3983</v>
      </c>
      <c r="AA264" s="163">
        <f>INDEX('[2]Cross-Section Database'!$C$2:$V$2928,MATCH(Z264,'[2]Cross-Section Database'!$B$2:$B$2928,0),3)</f>
        <v>240</v>
      </c>
      <c r="AB264" s="163">
        <f>INDEX('[2]Cross-Section Database'!$C$2:$V$2928,MATCH(Z264,'[2]Cross-Section Database'!$B$2:$B$2928,0),4)</f>
        <v>240</v>
      </c>
      <c r="AC264" s="21">
        <f>INDEX('[2]Cross-Section Database'!$C$2:$V$2928,MATCH(Z264,'[2]Cross-Section Database'!$B$2:$B$2928,0),6)</f>
        <v>17</v>
      </c>
      <c r="AD264" s="21">
        <f>INDEX('[2]Cross-Section Database'!$C$2:$V$2928,MATCH(Z264,'[2]Cross-Section Database'!$B$2:$B$2928,0),5)</f>
        <v>10</v>
      </c>
      <c r="AE264" s="33">
        <v>2750</v>
      </c>
      <c r="AF264" s="306" t="s">
        <v>3907</v>
      </c>
      <c r="AG264" s="21">
        <f>INDEX('[2]Cross-Section Database'!$C$2:$V$2928,MATCH(AF264,'[2]Cross-Section Database'!$B$2:$B$2928,0),3)</f>
        <v>240</v>
      </c>
      <c r="AH264" s="21">
        <f>INDEX('[2]Cross-Section Database'!$C$2:$V$2928,MATCH(AF264,'[2]Cross-Section Database'!$B$2:$B$2928,0),4)</f>
        <v>120</v>
      </c>
      <c r="AI264" s="21">
        <f>INDEX('[2]Cross-Section Database'!$C$2:$V$2928,MATCH(AF264,'[2]Cross-Section Database'!$B$2:$B$2928,0),6)</f>
        <v>9.8000000000000007</v>
      </c>
      <c r="AJ264" s="21">
        <f>INDEX('[2]Cross-Section Database'!$C$2:$V$2928,MATCH(AF264,'[2]Cross-Section Database'!$B$2:$B$2928,0),5)</f>
        <v>6.2</v>
      </c>
      <c r="AK264" s="21">
        <v>1000</v>
      </c>
      <c r="AL264" s="21">
        <f>INDEX('[2]Cross-Section Database'!$C$2:$V$3928,MATCH(AF264,'[2]Cross-Section Database'!$B$2:$B$3928,0),11)</f>
        <v>38920000</v>
      </c>
      <c r="AM264" s="24">
        <f>INDEX('[2]Cross-Section Database'!$C$2:$V$3928,MATCH(AF264,'[2]Cross-Section Database'!$B$2:$B$3928,0),12)</f>
        <v>367000</v>
      </c>
      <c r="AN264" s="21">
        <v>15</v>
      </c>
      <c r="AO264" s="21">
        <v>160</v>
      </c>
      <c r="AP264" s="21">
        <v>264</v>
      </c>
      <c r="AQ264" s="21">
        <f t="shared" si="142"/>
        <v>12</v>
      </c>
      <c r="AR264" s="21">
        <f t="shared" si="122"/>
        <v>12</v>
      </c>
      <c r="AS264" s="306" t="s">
        <v>5807</v>
      </c>
      <c r="AT264" s="163" t="s">
        <v>4613</v>
      </c>
      <c r="AU264" s="21">
        <f t="shared" ref="AU264:AU270" si="143">150/AV264/0.25</f>
        <v>30</v>
      </c>
      <c r="AV264" s="163">
        <v>20</v>
      </c>
      <c r="AW264" s="163">
        <f t="shared" si="135"/>
        <v>245</v>
      </c>
      <c r="AX264" s="21">
        <v>54</v>
      </c>
      <c r="AY264" s="21">
        <v>54</v>
      </c>
      <c r="AZ264" s="21">
        <v>0</v>
      </c>
      <c r="BA264" s="21">
        <v>96</v>
      </c>
      <c r="BB264" s="21">
        <v>156</v>
      </c>
      <c r="BC264" s="15" t="s">
        <v>4470</v>
      </c>
      <c r="BD264" s="163" t="s">
        <v>6209</v>
      </c>
      <c r="BE264" s="163" t="s">
        <v>6209</v>
      </c>
      <c r="BF264" s="163">
        <v>2</v>
      </c>
      <c r="BG264" s="18">
        <v>4</v>
      </c>
      <c r="BH264" s="202" t="s">
        <v>5792</v>
      </c>
      <c r="BI264" s="203" t="s">
        <v>5792</v>
      </c>
      <c r="BJ264" s="203" t="s">
        <v>5792</v>
      </c>
      <c r="BK264" s="203" t="s">
        <v>5792</v>
      </c>
      <c r="BL264" s="203" t="s">
        <v>5792</v>
      </c>
      <c r="BM264" s="203" t="s">
        <v>5792</v>
      </c>
      <c r="BN264" s="203" t="s">
        <v>5792</v>
      </c>
      <c r="BO264" s="203" t="s">
        <v>5792</v>
      </c>
      <c r="BP264" s="202" t="s">
        <v>5792</v>
      </c>
      <c r="BQ264" s="203" t="s">
        <v>5792</v>
      </c>
      <c r="BR264" s="203" t="s">
        <v>5792</v>
      </c>
      <c r="BS264" s="203" t="s">
        <v>5792</v>
      </c>
      <c r="BT264" s="203" t="s">
        <v>5792</v>
      </c>
      <c r="BU264" s="203" t="s">
        <v>5792</v>
      </c>
      <c r="BV264" s="218" t="s">
        <v>5792</v>
      </c>
      <c r="BW264" s="203" t="s">
        <v>5792</v>
      </c>
      <c r="BX264" s="203" t="s">
        <v>5792</v>
      </c>
      <c r="BY264" s="203" t="s">
        <v>5792</v>
      </c>
      <c r="BZ264" s="203" t="s">
        <v>5792</v>
      </c>
      <c r="CA264" s="203" t="s">
        <v>5792</v>
      </c>
      <c r="CB264" s="218" t="s">
        <v>5792</v>
      </c>
      <c r="CC264" s="306" t="s">
        <v>4450</v>
      </c>
      <c r="CD264" s="163">
        <v>275</v>
      </c>
      <c r="CE264" s="21">
        <f t="shared" ref="CE264:CE270" si="144">(372.02+342.95)/2</f>
        <v>357.48500000000001</v>
      </c>
      <c r="CF264" s="163">
        <v>411</v>
      </c>
      <c r="CG264" s="21">
        <f t="shared" ref="CG264:CG270" si="145">(477.29+448.79)/2</f>
        <v>463.04</v>
      </c>
      <c r="CH264" s="69">
        <f t="shared" ref="CH264:CH270" si="146">(206936+220792)/2</f>
        <v>213864</v>
      </c>
      <c r="CI264" s="163" t="s">
        <v>4450</v>
      </c>
      <c r="CJ264" s="163">
        <v>275</v>
      </c>
      <c r="CK264" s="21">
        <f t="shared" ref="CK264:CK270" si="147">(363.4+340.14)/2</f>
        <v>351.77</v>
      </c>
      <c r="CL264" s="21">
        <v>411</v>
      </c>
      <c r="CM264" s="21">
        <f t="shared" ref="CM264:CM270" si="148">(454.3+448.23)/2</f>
        <v>451.26499999999999</v>
      </c>
      <c r="CN264" s="69">
        <f t="shared" ref="CN264:CN270" si="149">(203713+215222)/2</f>
        <v>209467.5</v>
      </c>
      <c r="CO264" s="163" t="s">
        <v>4450</v>
      </c>
      <c r="CP264" s="163">
        <v>275</v>
      </c>
      <c r="CQ264" s="21">
        <v>369.44</v>
      </c>
      <c r="CR264" s="21">
        <v>410</v>
      </c>
      <c r="CS264" s="21">
        <v>503.45</v>
      </c>
      <c r="CT264" s="69">
        <v>200248</v>
      </c>
      <c r="CU264" s="207" t="s">
        <v>5792</v>
      </c>
      <c r="CV264" s="208" t="s">
        <v>5792</v>
      </c>
      <c r="CW264" s="208" t="s">
        <v>5792</v>
      </c>
      <c r="CX264" s="209" t="s">
        <v>5792</v>
      </c>
      <c r="CY264" s="208" t="s">
        <v>5792</v>
      </c>
      <c r="CZ264" s="208" t="s">
        <v>5792</v>
      </c>
      <c r="DA264" s="209" t="s">
        <v>5792</v>
      </c>
      <c r="DB264" s="283" t="s">
        <v>5792</v>
      </c>
      <c r="DC264" s="163">
        <v>10.9</v>
      </c>
      <c r="DD264" s="163">
        <v>900</v>
      </c>
      <c r="DE264" s="32">
        <v>990</v>
      </c>
      <c r="DF264" s="163">
        <v>1000</v>
      </c>
      <c r="DG264" s="32">
        <v>1100</v>
      </c>
      <c r="DH264" s="61">
        <v>200000</v>
      </c>
      <c r="DI264" s="131" t="s">
        <v>5849</v>
      </c>
      <c r="DJ264" s="32" t="s">
        <v>4435</v>
      </c>
      <c r="DK264" s="297" t="s">
        <v>4566</v>
      </c>
    </row>
    <row r="265" spans="1:115">
      <c r="A265" s="306">
        <v>260</v>
      </c>
      <c r="B265" s="326"/>
      <c r="C265" s="326"/>
      <c r="D265" s="326"/>
      <c r="E265" s="329"/>
      <c r="F265" s="326"/>
      <c r="G265" s="329"/>
      <c r="H265" s="326"/>
      <c r="I265" s="326"/>
      <c r="J265" s="41" t="s">
        <v>4721</v>
      </c>
      <c r="K265" s="306" t="s">
        <v>4383</v>
      </c>
      <c r="L265" s="163" t="s">
        <v>5792</v>
      </c>
      <c r="M265" s="306" t="s">
        <v>4509</v>
      </c>
      <c r="N265" s="163" t="s">
        <v>4703</v>
      </c>
      <c r="O265" s="18" t="s">
        <v>4507</v>
      </c>
      <c r="P265" s="163" t="s">
        <v>4420</v>
      </c>
      <c r="Q265" s="163" t="s">
        <v>4420</v>
      </c>
      <c r="R265" s="163" t="s">
        <v>4420</v>
      </c>
      <c r="S265" s="163" t="s">
        <v>5792</v>
      </c>
      <c r="T265" s="163" t="s">
        <v>4420</v>
      </c>
      <c r="U265" s="163" t="s">
        <v>5792</v>
      </c>
      <c r="V265" s="32" t="s">
        <v>4559</v>
      </c>
      <c r="W265" s="73">
        <v>8</v>
      </c>
      <c r="X265" s="237">
        <v>105.6</v>
      </c>
      <c r="Y265" s="18">
        <v>0</v>
      </c>
      <c r="Z265" s="306" t="s">
        <v>3983</v>
      </c>
      <c r="AA265" s="163">
        <f>INDEX('[2]Cross-Section Database'!$C$2:$V$2928,MATCH(Z265,'[2]Cross-Section Database'!$B$2:$B$2928,0),3)</f>
        <v>240</v>
      </c>
      <c r="AB265" s="163">
        <f>INDEX('[2]Cross-Section Database'!$C$2:$V$2928,MATCH(Z265,'[2]Cross-Section Database'!$B$2:$B$2928,0),4)</f>
        <v>240</v>
      </c>
      <c r="AC265" s="21">
        <f>INDEX('[2]Cross-Section Database'!$C$2:$V$2928,MATCH(Z265,'[2]Cross-Section Database'!$B$2:$B$2928,0),6)</f>
        <v>17</v>
      </c>
      <c r="AD265" s="21">
        <f>INDEX('[2]Cross-Section Database'!$C$2:$V$2928,MATCH(Z265,'[2]Cross-Section Database'!$B$2:$B$2928,0),5)</f>
        <v>10</v>
      </c>
      <c r="AE265" s="33">
        <v>2750</v>
      </c>
      <c r="AF265" s="306" t="s">
        <v>3907</v>
      </c>
      <c r="AG265" s="21">
        <f>INDEX('[2]Cross-Section Database'!$C$2:$V$2928,MATCH(AF265,'[2]Cross-Section Database'!$B$2:$B$2928,0),3)</f>
        <v>240</v>
      </c>
      <c r="AH265" s="21">
        <f>INDEX('[2]Cross-Section Database'!$C$2:$V$2928,MATCH(AF265,'[2]Cross-Section Database'!$B$2:$B$2928,0),4)</f>
        <v>120</v>
      </c>
      <c r="AI265" s="21">
        <f>INDEX('[2]Cross-Section Database'!$C$2:$V$2928,MATCH(AF265,'[2]Cross-Section Database'!$B$2:$B$2928,0),6)</f>
        <v>9.8000000000000007</v>
      </c>
      <c r="AJ265" s="21">
        <f>INDEX('[2]Cross-Section Database'!$C$2:$V$2928,MATCH(AF265,'[2]Cross-Section Database'!$B$2:$B$2928,0),5)</f>
        <v>6.2</v>
      </c>
      <c r="AK265" s="21">
        <v>1000</v>
      </c>
      <c r="AL265" s="21">
        <f>INDEX('[2]Cross-Section Database'!$C$2:$V$3928,MATCH(AF265,'[2]Cross-Section Database'!$B$2:$B$3928,0),11)</f>
        <v>38920000</v>
      </c>
      <c r="AM265" s="24">
        <f>INDEX('[2]Cross-Section Database'!$C$2:$V$3928,MATCH(AF265,'[2]Cross-Section Database'!$B$2:$B$3928,0),12)</f>
        <v>367000</v>
      </c>
      <c r="AN265" s="21">
        <v>15</v>
      </c>
      <c r="AO265" s="21">
        <v>160</v>
      </c>
      <c r="AP265" s="21">
        <v>264</v>
      </c>
      <c r="AQ265" s="21">
        <f t="shared" si="142"/>
        <v>12</v>
      </c>
      <c r="AR265" s="21">
        <f t="shared" si="122"/>
        <v>12</v>
      </c>
      <c r="AS265" s="306" t="s">
        <v>5807</v>
      </c>
      <c r="AT265" s="163" t="s">
        <v>4613</v>
      </c>
      <c r="AU265" s="21">
        <f t="shared" si="143"/>
        <v>30</v>
      </c>
      <c r="AV265" s="163">
        <v>20</v>
      </c>
      <c r="AW265" s="163">
        <f t="shared" si="135"/>
        <v>245</v>
      </c>
      <c r="AX265" s="21">
        <v>54</v>
      </c>
      <c r="AY265" s="21">
        <v>54</v>
      </c>
      <c r="AZ265" s="21">
        <v>0</v>
      </c>
      <c r="BA265" s="21">
        <v>96</v>
      </c>
      <c r="BB265" s="21">
        <v>156</v>
      </c>
      <c r="BC265" s="15" t="s">
        <v>4470</v>
      </c>
      <c r="BD265" s="163" t="s">
        <v>6209</v>
      </c>
      <c r="BE265" s="163" t="s">
        <v>6209</v>
      </c>
      <c r="BF265" s="163">
        <v>2</v>
      </c>
      <c r="BG265" s="18">
        <v>4</v>
      </c>
      <c r="BH265" s="202" t="s">
        <v>5792</v>
      </c>
      <c r="BI265" s="203" t="s">
        <v>5792</v>
      </c>
      <c r="BJ265" s="203" t="s">
        <v>5792</v>
      </c>
      <c r="BK265" s="203" t="s">
        <v>5792</v>
      </c>
      <c r="BL265" s="203" t="s">
        <v>5792</v>
      </c>
      <c r="BM265" s="203" t="s">
        <v>5792</v>
      </c>
      <c r="BN265" s="203" t="s">
        <v>5792</v>
      </c>
      <c r="BO265" s="203" t="s">
        <v>5792</v>
      </c>
      <c r="BP265" s="202" t="s">
        <v>5792</v>
      </c>
      <c r="BQ265" s="203" t="s">
        <v>5792</v>
      </c>
      <c r="BR265" s="203" t="s">
        <v>5792</v>
      </c>
      <c r="BS265" s="203" t="s">
        <v>5792</v>
      </c>
      <c r="BT265" s="203" t="s">
        <v>5792</v>
      </c>
      <c r="BU265" s="203" t="s">
        <v>5792</v>
      </c>
      <c r="BV265" s="218" t="s">
        <v>5792</v>
      </c>
      <c r="BW265" s="203" t="s">
        <v>5792</v>
      </c>
      <c r="BX265" s="203" t="s">
        <v>5792</v>
      </c>
      <c r="BY265" s="203" t="s">
        <v>5792</v>
      </c>
      <c r="BZ265" s="203" t="s">
        <v>5792</v>
      </c>
      <c r="CA265" s="203" t="s">
        <v>5792</v>
      </c>
      <c r="CB265" s="218" t="s">
        <v>5792</v>
      </c>
      <c r="CC265" s="306" t="s">
        <v>4450</v>
      </c>
      <c r="CD265" s="163">
        <v>275</v>
      </c>
      <c r="CE265" s="21">
        <f t="shared" si="144"/>
        <v>357.48500000000001</v>
      </c>
      <c r="CF265" s="163">
        <v>412</v>
      </c>
      <c r="CG265" s="21">
        <f t="shared" si="145"/>
        <v>463.04</v>
      </c>
      <c r="CH265" s="69">
        <f t="shared" si="146"/>
        <v>213864</v>
      </c>
      <c r="CI265" s="163" t="s">
        <v>4450</v>
      </c>
      <c r="CJ265" s="163">
        <v>275</v>
      </c>
      <c r="CK265" s="21">
        <f t="shared" si="147"/>
        <v>351.77</v>
      </c>
      <c r="CL265" s="21">
        <v>412</v>
      </c>
      <c r="CM265" s="21">
        <f t="shared" si="148"/>
        <v>451.26499999999999</v>
      </c>
      <c r="CN265" s="69">
        <f t="shared" si="149"/>
        <v>209467.5</v>
      </c>
      <c r="CO265" s="163" t="s">
        <v>4450</v>
      </c>
      <c r="CP265" s="163">
        <v>275</v>
      </c>
      <c r="CQ265" s="21">
        <v>369.44</v>
      </c>
      <c r="CR265" s="21">
        <v>410</v>
      </c>
      <c r="CS265" s="21">
        <v>503.45</v>
      </c>
      <c r="CT265" s="69">
        <v>200248</v>
      </c>
      <c r="CU265" s="207" t="s">
        <v>5792</v>
      </c>
      <c r="CV265" s="208" t="s">
        <v>5792</v>
      </c>
      <c r="CW265" s="208" t="s">
        <v>5792</v>
      </c>
      <c r="CX265" s="209" t="s">
        <v>5792</v>
      </c>
      <c r="CY265" s="208" t="s">
        <v>5792</v>
      </c>
      <c r="CZ265" s="208" t="s">
        <v>5792</v>
      </c>
      <c r="DA265" s="209" t="s">
        <v>5792</v>
      </c>
      <c r="DB265" s="283" t="s">
        <v>5792</v>
      </c>
      <c r="DC265" s="163">
        <v>10.9</v>
      </c>
      <c r="DD265" s="163">
        <v>900</v>
      </c>
      <c r="DE265" s="32">
        <v>990</v>
      </c>
      <c r="DF265" s="163">
        <v>1000</v>
      </c>
      <c r="DG265" s="32">
        <v>1100</v>
      </c>
      <c r="DH265" s="61">
        <v>200000</v>
      </c>
      <c r="DI265" s="131" t="s">
        <v>5849</v>
      </c>
      <c r="DJ265" s="32" t="s">
        <v>4435</v>
      </c>
      <c r="DK265" s="297" t="s">
        <v>4566</v>
      </c>
    </row>
    <row r="266" spans="1:115">
      <c r="A266" s="306">
        <v>261</v>
      </c>
      <c r="B266" s="326"/>
      <c r="C266" s="326"/>
      <c r="D266" s="326"/>
      <c r="E266" s="329"/>
      <c r="F266" s="326"/>
      <c r="G266" s="329"/>
      <c r="H266" s="326"/>
      <c r="I266" s="326"/>
      <c r="J266" s="41" t="s">
        <v>4722</v>
      </c>
      <c r="K266" s="306" t="s">
        <v>4383</v>
      </c>
      <c r="L266" s="163" t="s">
        <v>5792</v>
      </c>
      <c r="M266" s="306" t="s">
        <v>4509</v>
      </c>
      <c r="N266" s="163" t="s">
        <v>4703</v>
      </c>
      <c r="O266" s="18" t="s">
        <v>4507</v>
      </c>
      <c r="P266" s="163" t="s">
        <v>4420</v>
      </c>
      <c r="Q266" s="163" t="s">
        <v>4420</v>
      </c>
      <c r="R266" s="163" t="s">
        <v>4420</v>
      </c>
      <c r="S266" s="163" t="s">
        <v>5792</v>
      </c>
      <c r="T266" s="163" t="s">
        <v>4420</v>
      </c>
      <c r="U266" s="163" t="s">
        <v>5792</v>
      </c>
      <c r="V266" s="32" t="s">
        <v>4559</v>
      </c>
      <c r="W266" s="73">
        <v>8</v>
      </c>
      <c r="X266" s="237">
        <v>265</v>
      </c>
      <c r="Y266" s="18">
        <v>0</v>
      </c>
      <c r="Z266" s="306" t="s">
        <v>3983</v>
      </c>
      <c r="AA266" s="163">
        <f>INDEX('[2]Cross-Section Database'!$C$2:$V$2928,MATCH(Z266,'[2]Cross-Section Database'!$B$2:$B$2928,0),3)</f>
        <v>240</v>
      </c>
      <c r="AB266" s="163">
        <f>INDEX('[2]Cross-Section Database'!$C$2:$V$2928,MATCH(Z266,'[2]Cross-Section Database'!$B$2:$B$2928,0),4)</f>
        <v>240</v>
      </c>
      <c r="AC266" s="21">
        <f>INDEX('[2]Cross-Section Database'!$C$2:$V$2928,MATCH(Z266,'[2]Cross-Section Database'!$B$2:$B$2928,0),6)</f>
        <v>17</v>
      </c>
      <c r="AD266" s="21">
        <f>INDEX('[2]Cross-Section Database'!$C$2:$V$2928,MATCH(Z266,'[2]Cross-Section Database'!$B$2:$B$2928,0),5)</f>
        <v>10</v>
      </c>
      <c r="AE266" s="33">
        <v>2750</v>
      </c>
      <c r="AF266" s="306" t="s">
        <v>3907</v>
      </c>
      <c r="AG266" s="21">
        <f>INDEX('[2]Cross-Section Database'!$C$2:$V$2928,MATCH(AF266,'[2]Cross-Section Database'!$B$2:$B$2928,0),3)</f>
        <v>240</v>
      </c>
      <c r="AH266" s="21">
        <f>INDEX('[2]Cross-Section Database'!$C$2:$V$2928,MATCH(AF266,'[2]Cross-Section Database'!$B$2:$B$2928,0),4)</f>
        <v>120</v>
      </c>
      <c r="AI266" s="21">
        <f>INDEX('[2]Cross-Section Database'!$C$2:$V$2928,MATCH(AF266,'[2]Cross-Section Database'!$B$2:$B$2928,0),6)</f>
        <v>9.8000000000000007</v>
      </c>
      <c r="AJ266" s="21">
        <f>INDEX('[2]Cross-Section Database'!$C$2:$V$2928,MATCH(AF266,'[2]Cross-Section Database'!$B$2:$B$2928,0),5)</f>
        <v>6.2</v>
      </c>
      <c r="AK266" s="21">
        <v>1000</v>
      </c>
      <c r="AL266" s="21">
        <f>INDEX('[2]Cross-Section Database'!$C$2:$V$3928,MATCH(AF266,'[2]Cross-Section Database'!$B$2:$B$3928,0),11)</f>
        <v>38920000</v>
      </c>
      <c r="AM266" s="24">
        <f>INDEX('[2]Cross-Section Database'!$C$2:$V$3928,MATCH(AF266,'[2]Cross-Section Database'!$B$2:$B$3928,0),12)</f>
        <v>367000</v>
      </c>
      <c r="AN266" s="21">
        <v>15</v>
      </c>
      <c r="AO266" s="21">
        <v>160</v>
      </c>
      <c r="AP266" s="21">
        <v>264</v>
      </c>
      <c r="AQ266" s="21">
        <f t="shared" si="142"/>
        <v>12</v>
      </c>
      <c r="AR266" s="21">
        <f t="shared" si="122"/>
        <v>12</v>
      </c>
      <c r="AS266" s="306" t="s">
        <v>5807</v>
      </c>
      <c r="AT266" s="163" t="s">
        <v>4613</v>
      </c>
      <c r="AU266" s="21">
        <f t="shared" si="143"/>
        <v>30</v>
      </c>
      <c r="AV266" s="163">
        <v>20</v>
      </c>
      <c r="AW266" s="163">
        <f t="shared" si="135"/>
        <v>245</v>
      </c>
      <c r="AX266" s="21">
        <v>54</v>
      </c>
      <c r="AY266" s="21">
        <v>54</v>
      </c>
      <c r="AZ266" s="21">
        <v>0</v>
      </c>
      <c r="BA266" s="21">
        <v>96</v>
      </c>
      <c r="BB266" s="21">
        <v>156</v>
      </c>
      <c r="BC266" s="15" t="s">
        <v>4470</v>
      </c>
      <c r="BD266" s="163" t="s">
        <v>6209</v>
      </c>
      <c r="BE266" s="163" t="s">
        <v>6209</v>
      </c>
      <c r="BF266" s="163">
        <v>2</v>
      </c>
      <c r="BG266" s="18">
        <v>4</v>
      </c>
      <c r="BH266" s="202" t="s">
        <v>5792</v>
      </c>
      <c r="BI266" s="203" t="s">
        <v>5792</v>
      </c>
      <c r="BJ266" s="203" t="s">
        <v>5792</v>
      </c>
      <c r="BK266" s="203" t="s">
        <v>5792</v>
      </c>
      <c r="BL266" s="203" t="s">
        <v>5792</v>
      </c>
      <c r="BM266" s="203" t="s">
        <v>5792</v>
      </c>
      <c r="BN266" s="203" t="s">
        <v>5792</v>
      </c>
      <c r="BO266" s="203" t="s">
        <v>5792</v>
      </c>
      <c r="BP266" s="202" t="s">
        <v>5792</v>
      </c>
      <c r="BQ266" s="203" t="s">
        <v>5792</v>
      </c>
      <c r="BR266" s="203" t="s">
        <v>5792</v>
      </c>
      <c r="BS266" s="203" t="s">
        <v>5792</v>
      </c>
      <c r="BT266" s="203" t="s">
        <v>5792</v>
      </c>
      <c r="BU266" s="203" t="s">
        <v>5792</v>
      </c>
      <c r="BV266" s="218" t="s">
        <v>5792</v>
      </c>
      <c r="BW266" s="203" t="s">
        <v>5792</v>
      </c>
      <c r="BX266" s="203" t="s">
        <v>5792</v>
      </c>
      <c r="BY266" s="203" t="s">
        <v>5792</v>
      </c>
      <c r="BZ266" s="203" t="s">
        <v>5792</v>
      </c>
      <c r="CA266" s="203" t="s">
        <v>5792</v>
      </c>
      <c r="CB266" s="218" t="s">
        <v>5792</v>
      </c>
      <c r="CC266" s="306" t="s">
        <v>4450</v>
      </c>
      <c r="CD266" s="163">
        <v>275</v>
      </c>
      <c r="CE266" s="21">
        <f t="shared" si="144"/>
        <v>357.48500000000001</v>
      </c>
      <c r="CF266" s="163">
        <v>412</v>
      </c>
      <c r="CG266" s="21">
        <f t="shared" si="145"/>
        <v>463.04</v>
      </c>
      <c r="CH266" s="69">
        <f t="shared" si="146"/>
        <v>213864</v>
      </c>
      <c r="CI266" s="163" t="s">
        <v>4450</v>
      </c>
      <c r="CJ266" s="163">
        <v>275</v>
      </c>
      <c r="CK266" s="21">
        <f t="shared" si="147"/>
        <v>351.77</v>
      </c>
      <c r="CL266" s="21">
        <v>412</v>
      </c>
      <c r="CM266" s="21">
        <f t="shared" si="148"/>
        <v>451.26499999999999</v>
      </c>
      <c r="CN266" s="69">
        <f t="shared" si="149"/>
        <v>209467.5</v>
      </c>
      <c r="CO266" s="163" t="s">
        <v>4450</v>
      </c>
      <c r="CP266" s="163">
        <v>275</v>
      </c>
      <c r="CQ266" s="21">
        <v>369.44</v>
      </c>
      <c r="CR266" s="21">
        <v>410</v>
      </c>
      <c r="CS266" s="21">
        <v>503.45</v>
      </c>
      <c r="CT266" s="69">
        <v>200248</v>
      </c>
      <c r="CU266" s="207" t="s">
        <v>5792</v>
      </c>
      <c r="CV266" s="208" t="s">
        <v>5792</v>
      </c>
      <c r="CW266" s="208" t="s">
        <v>5792</v>
      </c>
      <c r="CX266" s="209" t="s">
        <v>5792</v>
      </c>
      <c r="CY266" s="208" t="s">
        <v>5792</v>
      </c>
      <c r="CZ266" s="208" t="s">
        <v>5792</v>
      </c>
      <c r="DA266" s="209" t="s">
        <v>5792</v>
      </c>
      <c r="DB266" s="283" t="s">
        <v>5792</v>
      </c>
      <c r="DC266" s="163">
        <v>10.9</v>
      </c>
      <c r="DD266" s="163">
        <v>900</v>
      </c>
      <c r="DE266" s="32">
        <v>990</v>
      </c>
      <c r="DF266" s="163">
        <v>1000</v>
      </c>
      <c r="DG266" s="32">
        <v>1100</v>
      </c>
      <c r="DH266" s="61">
        <v>200000</v>
      </c>
      <c r="DI266" s="131" t="s">
        <v>5849</v>
      </c>
      <c r="DJ266" s="32" t="s">
        <v>4435</v>
      </c>
      <c r="DK266" s="297" t="s">
        <v>4566</v>
      </c>
    </row>
    <row r="267" spans="1:115">
      <c r="A267" s="306">
        <v>262</v>
      </c>
      <c r="B267" s="326"/>
      <c r="C267" s="326"/>
      <c r="D267" s="326"/>
      <c r="E267" s="329"/>
      <c r="F267" s="326"/>
      <c r="G267" s="329"/>
      <c r="H267" s="326"/>
      <c r="I267" s="326"/>
      <c r="J267" s="41" t="s">
        <v>4723</v>
      </c>
      <c r="K267" s="306" t="s">
        <v>4383</v>
      </c>
      <c r="L267" s="163" t="s">
        <v>5792</v>
      </c>
      <c r="M267" s="306" t="s">
        <v>4509</v>
      </c>
      <c r="N267" s="163" t="s">
        <v>4703</v>
      </c>
      <c r="O267" s="18" t="s">
        <v>4507</v>
      </c>
      <c r="P267" s="163" t="s">
        <v>4420</v>
      </c>
      <c r="Q267" s="163" t="s">
        <v>4420</v>
      </c>
      <c r="R267" s="163" t="s">
        <v>4420</v>
      </c>
      <c r="S267" s="163" t="s">
        <v>5792</v>
      </c>
      <c r="T267" s="163" t="s">
        <v>4420</v>
      </c>
      <c r="U267" s="163" t="s">
        <v>5792</v>
      </c>
      <c r="V267" s="32" t="s">
        <v>4559</v>
      </c>
      <c r="W267" s="73">
        <v>8</v>
      </c>
      <c r="X267" s="237">
        <v>345</v>
      </c>
      <c r="Y267" s="18">
        <v>0</v>
      </c>
      <c r="Z267" s="306" t="s">
        <v>3983</v>
      </c>
      <c r="AA267" s="163">
        <f>INDEX('[2]Cross-Section Database'!$C$2:$V$2928,MATCH(Z267,'[2]Cross-Section Database'!$B$2:$B$2928,0),3)</f>
        <v>240</v>
      </c>
      <c r="AB267" s="163">
        <f>INDEX('[2]Cross-Section Database'!$C$2:$V$2928,MATCH(Z267,'[2]Cross-Section Database'!$B$2:$B$2928,0),4)</f>
        <v>240</v>
      </c>
      <c r="AC267" s="21">
        <f>INDEX('[2]Cross-Section Database'!$C$2:$V$2928,MATCH(Z267,'[2]Cross-Section Database'!$B$2:$B$2928,0),6)</f>
        <v>17</v>
      </c>
      <c r="AD267" s="21">
        <f>INDEX('[2]Cross-Section Database'!$C$2:$V$2928,MATCH(Z267,'[2]Cross-Section Database'!$B$2:$B$2928,0),5)</f>
        <v>10</v>
      </c>
      <c r="AE267" s="33">
        <v>2750</v>
      </c>
      <c r="AF267" s="306" t="s">
        <v>3907</v>
      </c>
      <c r="AG267" s="21">
        <f>INDEX('[2]Cross-Section Database'!$C$2:$V$2928,MATCH(AF267,'[2]Cross-Section Database'!$B$2:$B$2928,0),3)</f>
        <v>240</v>
      </c>
      <c r="AH267" s="21">
        <f>INDEX('[2]Cross-Section Database'!$C$2:$V$2928,MATCH(AF267,'[2]Cross-Section Database'!$B$2:$B$2928,0),4)</f>
        <v>120</v>
      </c>
      <c r="AI267" s="21">
        <f>INDEX('[2]Cross-Section Database'!$C$2:$V$2928,MATCH(AF267,'[2]Cross-Section Database'!$B$2:$B$2928,0),6)</f>
        <v>9.8000000000000007</v>
      </c>
      <c r="AJ267" s="21">
        <f>INDEX('[2]Cross-Section Database'!$C$2:$V$2928,MATCH(AF267,'[2]Cross-Section Database'!$B$2:$B$2928,0),5)</f>
        <v>6.2</v>
      </c>
      <c r="AK267" s="21">
        <v>1000</v>
      </c>
      <c r="AL267" s="21">
        <f>INDEX('[2]Cross-Section Database'!$C$2:$V$3928,MATCH(AF267,'[2]Cross-Section Database'!$B$2:$B$3928,0),11)</f>
        <v>38920000</v>
      </c>
      <c r="AM267" s="24">
        <f>INDEX('[2]Cross-Section Database'!$C$2:$V$3928,MATCH(AF267,'[2]Cross-Section Database'!$B$2:$B$3928,0),12)</f>
        <v>367000</v>
      </c>
      <c r="AN267" s="21">
        <v>15</v>
      </c>
      <c r="AO267" s="21">
        <v>160</v>
      </c>
      <c r="AP267" s="21">
        <v>264</v>
      </c>
      <c r="AQ267" s="21">
        <f t="shared" si="142"/>
        <v>12</v>
      </c>
      <c r="AR267" s="21">
        <f t="shared" si="122"/>
        <v>12</v>
      </c>
      <c r="AS267" s="306" t="s">
        <v>5807</v>
      </c>
      <c r="AT267" s="163" t="s">
        <v>4613</v>
      </c>
      <c r="AU267" s="21">
        <f t="shared" si="143"/>
        <v>30</v>
      </c>
      <c r="AV267" s="163">
        <v>20</v>
      </c>
      <c r="AW267" s="163">
        <f t="shared" si="135"/>
        <v>245</v>
      </c>
      <c r="AX267" s="21">
        <v>54</v>
      </c>
      <c r="AY267" s="21">
        <v>54</v>
      </c>
      <c r="AZ267" s="21">
        <v>0</v>
      </c>
      <c r="BA267" s="21">
        <v>96</v>
      </c>
      <c r="BB267" s="21">
        <v>156</v>
      </c>
      <c r="BC267" s="15" t="s">
        <v>4470</v>
      </c>
      <c r="BD267" s="163" t="s">
        <v>6209</v>
      </c>
      <c r="BE267" s="163" t="s">
        <v>6209</v>
      </c>
      <c r="BF267" s="163">
        <v>2</v>
      </c>
      <c r="BG267" s="18">
        <v>4</v>
      </c>
      <c r="BH267" s="202" t="s">
        <v>5792</v>
      </c>
      <c r="BI267" s="203" t="s">
        <v>5792</v>
      </c>
      <c r="BJ267" s="203" t="s">
        <v>5792</v>
      </c>
      <c r="BK267" s="203" t="s">
        <v>5792</v>
      </c>
      <c r="BL267" s="203" t="s">
        <v>5792</v>
      </c>
      <c r="BM267" s="203" t="s">
        <v>5792</v>
      </c>
      <c r="BN267" s="203" t="s">
        <v>5792</v>
      </c>
      <c r="BO267" s="203" t="s">
        <v>5792</v>
      </c>
      <c r="BP267" s="202" t="s">
        <v>5792</v>
      </c>
      <c r="BQ267" s="203" t="s">
        <v>5792</v>
      </c>
      <c r="BR267" s="203" t="s">
        <v>5792</v>
      </c>
      <c r="BS267" s="203" t="s">
        <v>5792</v>
      </c>
      <c r="BT267" s="203" t="s">
        <v>5792</v>
      </c>
      <c r="BU267" s="203" t="s">
        <v>5792</v>
      </c>
      <c r="BV267" s="218" t="s">
        <v>5792</v>
      </c>
      <c r="BW267" s="203" t="s">
        <v>5792</v>
      </c>
      <c r="BX267" s="203" t="s">
        <v>5792</v>
      </c>
      <c r="BY267" s="203" t="s">
        <v>5792</v>
      </c>
      <c r="BZ267" s="203" t="s">
        <v>5792</v>
      </c>
      <c r="CA267" s="203" t="s">
        <v>5792</v>
      </c>
      <c r="CB267" s="218" t="s">
        <v>5792</v>
      </c>
      <c r="CC267" s="306" t="s">
        <v>4450</v>
      </c>
      <c r="CD267" s="163">
        <v>275</v>
      </c>
      <c r="CE267" s="21">
        <f t="shared" si="144"/>
        <v>357.48500000000001</v>
      </c>
      <c r="CF267" s="163">
        <v>412</v>
      </c>
      <c r="CG267" s="21">
        <f t="shared" si="145"/>
        <v>463.04</v>
      </c>
      <c r="CH267" s="69">
        <f t="shared" si="146"/>
        <v>213864</v>
      </c>
      <c r="CI267" s="163" t="s">
        <v>4450</v>
      </c>
      <c r="CJ267" s="163">
        <v>275</v>
      </c>
      <c r="CK267" s="21">
        <f t="shared" si="147"/>
        <v>351.77</v>
      </c>
      <c r="CL267" s="21">
        <v>412</v>
      </c>
      <c r="CM267" s="21">
        <f t="shared" si="148"/>
        <v>451.26499999999999</v>
      </c>
      <c r="CN267" s="69">
        <f t="shared" si="149"/>
        <v>209467.5</v>
      </c>
      <c r="CO267" s="163" t="s">
        <v>4450</v>
      </c>
      <c r="CP267" s="163">
        <v>275</v>
      </c>
      <c r="CQ267" s="21">
        <v>369.44</v>
      </c>
      <c r="CR267" s="21">
        <v>410</v>
      </c>
      <c r="CS267" s="21">
        <v>503.45</v>
      </c>
      <c r="CT267" s="69">
        <v>200248</v>
      </c>
      <c r="CU267" s="207" t="s">
        <v>5792</v>
      </c>
      <c r="CV267" s="208" t="s">
        <v>5792</v>
      </c>
      <c r="CW267" s="208" t="s">
        <v>5792</v>
      </c>
      <c r="CX267" s="209" t="s">
        <v>5792</v>
      </c>
      <c r="CY267" s="208" t="s">
        <v>5792</v>
      </c>
      <c r="CZ267" s="208" t="s">
        <v>5792</v>
      </c>
      <c r="DA267" s="209" t="s">
        <v>5792</v>
      </c>
      <c r="DB267" s="283" t="s">
        <v>5792</v>
      </c>
      <c r="DC267" s="163">
        <v>10.9</v>
      </c>
      <c r="DD267" s="163">
        <v>900</v>
      </c>
      <c r="DE267" s="32">
        <v>990</v>
      </c>
      <c r="DF267" s="163">
        <v>1000</v>
      </c>
      <c r="DG267" s="32">
        <v>1100</v>
      </c>
      <c r="DH267" s="61">
        <v>200000</v>
      </c>
      <c r="DI267" s="131" t="s">
        <v>5849</v>
      </c>
      <c r="DJ267" s="32" t="s">
        <v>4435</v>
      </c>
      <c r="DK267" s="297" t="s">
        <v>4566</v>
      </c>
    </row>
    <row r="268" spans="1:115">
      <c r="A268" s="306">
        <v>263</v>
      </c>
      <c r="B268" s="326"/>
      <c r="C268" s="326"/>
      <c r="D268" s="326"/>
      <c r="E268" s="329"/>
      <c r="F268" s="326"/>
      <c r="G268" s="329"/>
      <c r="H268" s="326"/>
      <c r="I268" s="326"/>
      <c r="J268" s="41" t="s">
        <v>4724</v>
      </c>
      <c r="K268" s="306" t="s">
        <v>4383</v>
      </c>
      <c r="L268" s="163" t="s">
        <v>5792</v>
      </c>
      <c r="M268" s="306" t="s">
        <v>4509</v>
      </c>
      <c r="N268" s="163" t="s">
        <v>4703</v>
      </c>
      <c r="O268" s="18" t="s">
        <v>4507</v>
      </c>
      <c r="P268" s="163" t="s">
        <v>4420</v>
      </c>
      <c r="Q268" s="163" t="s">
        <v>4420</v>
      </c>
      <c r="R268" s="163" t="s">
        <v>4420</v>
      </c>
      <c r="S268" s="163" t="s">
        <v>5792</v>
      </c>
      <c r="T268" s="163" t="s">
        <v>4420</v>
      </c>
      <c r="U268" s="163" t="s">
        <v>5792</v>
      </c>
      <c r="V268" s="32" t="s">
        <v>4559</v>
      </c>
      <c r="W268" s="73">
        <v>8</v>
      </c>
      <c r="X268" s="237">
        <v>265</v>
      </c>
      <c r="Y268" s="18">
        <v>0</v>
      </c>
      <c r="Z268" s="306" t="s">
        <v>3983</v>
      </c>
      <c r="AA268" s="163">
        <f>INDEX('[2]Cross-Section Database'!$C$2:$V$2928,MATCH(Z268,'[2]Cross-Section Database'!$B$2:$B$2928,0),3)</f>
        <v>240</v>
      </c>
      <c r="AB268" s="163">
        <f>INDEX('[2]Cross-Section Database'!$C$2:$V$2928,MATCH(Z268,'[2]Cross-Section Database'!$B$2:$B$2928,0),4)</f>
        <v>240</v>
      </c>
      <c r="AC268" s="21">
        <f>INDEX('[2]Cross-Section Database'!$C$2:$V$2928,MATCH(Z268,'[2]Cross-Section Database'!$B$2:$B$2928,0),6)</f>
        <v>17</v>
      </c>
      <c r="AD268" s="21">
        <f>INDEX('[2]Cross-Section Database'!$C$2:$V$2928,MATCH(Z268,'[2]Cross-Section Database'!$B$2:$B$2928,0),5)</f>
        <v>10</v>
      </c>
      <c r="AE268" s="33">
        <v>2750</v>
      </c>
      <c r="AF268" s="306" t="s">
        <v>3907</v>
      </c>
      <c r="AG268" s="21">
        <f>INDEX('[2]Cross-Section Database'!$C$2:$V$2928,MATCH(AF268,'[2]Cross-Section Database'!$B$2:$B$2928,0),3)</f>
        <v>240</v>
      </c>
      <c r="AH268" s="21">
        <f>INDEX('[2]Cross-Section Database'!$C$2:$V$2928,MATCH(AF268,'[2]Cross-Section Database'!$B$2:$B$2928,0),4)</f>
        <v>120</v>
      </c>
      <c r="AI268" s="21">
        <f>INDEX('[2]Cross-Section Database'!$C$2:$V$2928,MATCH(AF268,'[2]Cross-Section Database'!$B$2:$B$2928,0),6)</f>
        <v>9.8000000000000007</v>
      </c>
      <c r="AJ268" s="21">
        <f>INDEX('[2]Cross-Section Database'!$C$2:$V$2928,MATCH(AF268,'[2]Cross-Section Database'!$B$2:$B$2928,0),5)</f>
        <v>6.2</v>
      </c>
      <c r="AK268" s="21">
        <v>1000</v>
      </c>
      <c r="AL268" s="21">
        <f>INDEX('[2]Cross-Section Database'!$C$2:$V$3928,MATCH(AF268,'[2]Cross-Section Database'!$B$2:$B$3928,0),11)</f>
        <v>38920000</v>
      </c>
      <c r="AM268" s="24">
        <f>INDEX('[2]Cross-Section Database'!$C$2:$V$3928,MATCH(AF268,'[2]Cross-Section Database'!$B$2:$B$3928,0),12)</f>
        <v>367000</v>
      </c>
      <c r="AN268" s="21">
        <v>15</v>
      </c>
      <c r="AO268" s="21">
        <v>160</v>
      </c>
      <c r="AP268" s="21">
        <v>264</v>
      </c>
      <c r="AQ268" s="21">
        <f t="shared" si="142"/>
        <v>12</v>
      </c>
      <c r="AR268" s="21">
        <f t="shared" si="122"/>
        <v>12</v>
      </c>
      <c r="AS268" s="306" t="s">
        <v>5807</v>
      </c>
      <c r="AT268" s="163" t="s">
        <v>4613</v>
      </c>
      <c r="AU268" s="21">
        <f t="shared" si="143"/>
        <v>30</v>
      </c>
      <c r="AV268" s="163">
        <v>20</v>
      </c>
      <c r="AW268" s="163">
        <f t="shared" si="135"/>
        <v>245</v>
      </c>
      <c r="AX268" s="21">
        <v>54</v>
      </c>
      <c r="AY268" s="21">
        <v>54</v>
      </c>
      <c r="AZ268" s="21">
        <v>0</v>
      </c>
      <c r="BA268" s="21">
        <v>96</v>
      </c>
      <c r="BB268" s="21">
        <v>156</v>
      </c>
      <c r="BC268" s="15" t="s">
        <v>4470</v>
      </c>
      <c r="BD268" s="163" t="s">
        <v>6209</v>
      </c>
      <c r="BE268" s="163" t="s">
        <v>6209</v>
      </c>
      <c r="BF268" s="163">
        <v>2</v>
      </c>
      <c r="BG268" s="18">
        <v>4</v>
      </c>
      <c r="BH268" s="202" t="s">
        <v>5792</v>
      </c>
      <c r="BI268" s="203" t="s">
        <v>5792</v>
      </c>
      <c r="BJ268" s="203" t="s">
        <v>5792</v>
      </c>
      <c r="BK268" s="203" t="s">
        <v>5792</v>
      </c>
      <c r="BL268" s="203" t="s">
        <v>5792</v>
      </c>
      <c r="BM268" s="203" t="s">
        <v>5792</v>
      </c>
      <c r="BN268" s="203" t="s">
        <v>5792</v>
      </c>
      <c r="BO268" s="203" t="s">
        <v>5792</v>
      </c>
      <c r="BP268" s="202" t="s">
        <v>5792</v>
      </c>
      <c r="BQ268" s="203" t="s">
        <v>5792</v>
      </c>
      <c r="BR268" s="203" t="s">
        <v>5792</v>
      </c>
      <c r="BS268" s="203" t="s">
        <v>5792</v>
      </c>
      <c r="BT268" s="203" t="s">
        <v>5792</v>
      </c>
      <c r="BU268" s="203" t="s">
        <v>5792</v>
      </c>
      <c r="BV268" s="218" t="s">
        <v>5792</v>
      </c>
      <c r="BW268" s="203" t="s">
        <v>5792</v>
      </c>
      <c r="BX268" s="203" t="s">
        <v>5792</v>
      </c>
      <c r="BY268" s="203" t="s">
        <v>5792</v>
      </c>
      <c r="BZ268" s="203" t="s">
        <v>5792</v>
      </c>
      <c r="CA268" s="203" t="s">
        <v>5792</v>
      </c>
      <c r="CB268" s="218" t="s">
        <v>5792</v>
      </c>
      <c r="CC268" s="306" t="s">
        <v>4450</v>
      </c>
      <c r="CD268" s="163">
        <v>275</v>
      </c>
      <c r="CE268" s="21">
        <f t="shared" si="144"/>
        <v>357.48500000000001</v>
      </c>
      <c r="CF268" s="163">
        <v>412</v>
      </c>
      <c r="CG268" s="21">
        <f t="shared" si="145"/>
        <v>463.04</v>
      </c>
      <c r="CH268" s="69">
        <f t="shared" si="146"/>
        <v>213864</v>
      </c>
      <c r="CI268" s="163" t="s">
        <v>4450</v>
      </c>
      <c r="CJ268" s="163">
        <v>275</v>
      </c>
      <c r="CK268" s="21">
        <f t="shared" si="147"/>
        <v>351.77</v>
      </c>
      <c r="CL268" s="21">
        <v>412</v>
      </c>
      <c r="CM268" s="21">
        <f t="shared" si="148"/>
        <v>451.26499999999999</v>
      </c>
      <c r="CN268" s="69">
        <f t="shared" si="149"/>
        <v>209467.5</v>
      </c>
      <c r="CO268" s="163" t="s">
        <v>4450</v>
      </c>
      <c r="CP268" s="163">
        <v>275</v>
      </c>
      <c r="CQ268" s="21">
        <v>369.44</v>
      </c>
      <c r="CR268" s="21">
        <v>410</v>
      </c>
      <c r="CS268" s="21">
        <v>503.45</v>
      </c>
      <c r="CT268" s="69">
        <v>200248</v>
      </c>
      <c r="CU268" s="207" t="s">
        <v>5792</v>
      </c>
      <c r="CV268" s="208" t="s">
        <v>5792</v>
      </c>
      <c r="CW268" s="208" t="s">
        <v>5792</v>
      </c>
      <c r="CX268" s="209" t="s">
        <v>5792</v>
      </c>
      <c r="CY268" s="208" t="s">
        <v>5792</v>
      </c>
      <c r="CZ268" s="208" t="s">
        <v>5792</v>
      </c>
      <c r="DA268" s="209" t="s">
        <v>5792</v>
      </c>
      <c r="DB268" s="283" t="s">
        <v>5792</v>
      </c>
      <c r="DC268" s="163">
        <v>10.9</v>
      </c>
      <c r="DD268" s="163">
        <v>900</v>
      </c>
      <c r="DE268" s="32">
        <v>990</v>
      </c>
      <c r="DF268" s="163">
        <v>1000</v>
      </c>
      <c r="DG268" s="32">
        <v>1100</v>
      </c>
      <c r="DH268" s="61">
        <v>200000</v>
      </c>
      <c r="DI268" s="131" t="s">
        <v>5849</v>
      </c>
      <c r="DJ268" s="32" t="s">
        <v>4435</v>
      </c>
      <c r="DK268" s="297" t="s">
        <v>4566</v>
      </c>
    </row>
    <row r="269" spans="1:115">
      <c r="A269" s="306">
        <v>264</v>
      </c>
      <c r="B269" s="326"/>
      <c r="C269" s="326"/>
      <c r="D269" s="326"/>
      <c r="E269" s="329"/>
      <c r="F269" s="326"/>
      <c r="G269" s="329"/>
      <c r="H269" s="326"/>
      <c r="I269" s="326"/>
      <c r="J269" s="41" t="s">
        <v>4725</v>
      </c>
      <c r="K269" s="306" t="s">
        <v>4383</v>
      </c>
      <c r="L269" s="163" t="s">
        <v>5792</v>
      </c>
      <c r="M269" s="306" t="s">
        <v>4509</v>
      </c>
      <c r="N269" s="163" t="s">
        <v>4703</v>
      </c>
      <c r="O269" s="18" t="s">
        <v>4507</v>
      </c>
      <c r="P269" s="163" t="s">
        <v>4420</v>
      </c>
      <c r="Q269" s="163" t="s">
        <v>4420</v>
      </c>
      <c r="R269" s="163" t="s">
        <v>4420</v>
      </c>
      <c r="S269" s="163" t="s">
        <v>5792</v>
      </c>
      <c r="T269" s="163" t="s">
        <v>4420</v>
      </c>
      <c r="U269" s="163" t="s">
        <v>5792</v>
      </c>
      <c r="V269" s="32" t="s">
        <v>4559</v>
      </c>
      <c r="W269" s="73">
        <v>8</v>
      </c>
      <c r="X269" s="237">
        <v>-130.6</v>
      </c>
      <c r="Y269" s="18">
        <v>0</v>
      </c>
      <c r="Z269" s="306" t="s">
        <v>3983</v>
      </c>
      <c r="AA269" s="163">
        <f>INDEX('[2]Cross-Section Database'!$C$2:$V$2928,MATCH(Z269,'[2]Cross-Section Database'!$B$2:$B$2928,0),3)</f>
        <v>240</v>
      </c>
      <c r="AB269" s="163">
        <f>INDEX('[2]Cross-Section Database'!$C$2:$V$2928,MATCH(Z269,'[2]Cross-Section Database'!$B$2:$B$2928,0),4)</f>
        <v>240</v>
      </c>
      <c r="AC269" s="21">
        <f>INDEX('[2]Cross-Section Database'!$C$2:$V$2928,MATCH(Z269,'[2]Cross-Section Database'!$B$2:$B$2928,0),6)</f>
        <v>17</v>
      </c>
      <c r="AD269" s="21">
        <f>INDEX('[2]Cross-Section Database'!$C$2:$V$2928,MATCH(Z269,'[2]Cross-Section Database'!$B$2:$B$2928,0),5)</f>
        <v>10</v>
      </c>
      <c r="AE269" s="33">
        <v>2750</v>
      </c>
      <c r="AF269" s="306" t="s">
        <v>3907</v>
      </c>
      <c r="AG269" s="21">
        <f>INDEX('[2]Cross-Section Database'!$C$2:$V$2928,MATCH(AF269,'[2]Cross-Section Database'!$B$2:$B$2928,0),3)</f>
        <v>240</v>
      </c>
      <c r="AH269" s="21">
        <f>INDEX('[2]Cross-Section Database'!$C$2:$V$2928,MATCH(AF269,'[2]Cross-Section Database'!$B$2:$B$2928,0),4)</f>
        <v>120</v>
      </c>
      <c r="AI269" s="21">
        <f>INDEX('[2]Cross-Section Database'!$C$2:$V$2928,MATCH(AF269,'[2]Cross-Section Database'!$B$2:$B$2928,0),6)</f>
        <v>9.8000000000000007</v>
      </c>
      <c r="AJ269" s="21">
        <f>INDEX('[2]Cross-Section Database'!$C$2:$V$2928,MATCH(AF269,'[2]Cross-Section Database'!$B$2:$B$2928,0),5)</f>
        <v>6.2</v>
      </c>
      <c r="AK269" s="21">
        <v>1000</v>
      </c>
      <c r="AL269" s="21">
        <f>INDEX('[2]Cross-Section Database'!$C$2:$V$3928,MATCH(AF269,'[2]Cross-Section Database'!$B$2:$B$3928,0),11)</f>
        <v>38920000</v>
      </c>
      <c r="AM269" s="24">
        <f>INDEX('[2]Cross-Section Database'!$C$2:$V$3928,MATCH(AF269,'[2]Cross-Section Database'!$B$2:$B$3928,0),12)</f>
        <v>367000</v>
      </c>
      <c r="AN269" s="21">
        <v>15</v>
      </c>
      <c r="AO269" s="21">
        <v>160</v>
      </c>
      <c r="AP269" s="21">
        <v>264</v>
      </c>
      <c r="AQ269" s="21">
        <f t="shared" si="142"/>
        <v>12</v>
      </c>
      <c r="AR269" s="21">
        <f t="shared" si="122"/>
        <v>12</v>
      </c>
      <c r="AS269" s="306" t="s">
        <v>5807</v>
      </c>
      <c r="AT269" s="163" t="s">
        <v>4613</v>
      </c>
      <c r="AU269" s="21">
        <f t="shared" si="143"/>
        <v>30</v>
      </c>
      <c r="AV269" s="163">
        <v>20</v>
      </c>
      <c r="AW269" s="163">
        <f t="shared" si="135"/>
        <v>245</v>
      </c>
      <c r="AX269" s="21">
        <v>54</v>
      </c>
      <c r="AY269" s="21">
        <v>54</v>
      </c>
      <c r="AZ269" s="21">
        <v>0</v>
      </c>
      <c r="BA269" s="21">
        <v>96</v>
      </c>
      <c r="BB269" s="21">
        <v>156</v>
      </c>
      <c r="BC269" s="15" t="s">
        <v>4470</v>
      </c>
      <c r="BD269" s="163" t="s">
        <v>6209</v>
      </c>
      <c r="BE269" s="163" t="s">
        <v>6209</v>
      </c>
      <c r="BF269" s="163">
        <v>2</v>
      </c>
      <c r="BG269" s="18">
        <v>4</v>
      </c>
      <c r="BH269" s="202" t="s">
        <v>5792</v>
      </c>
      <c r="BI269" s="203" t="s">
        <v>5792</v>
      </c>
      <c r="BJ269" s="203" t="s">
        <v>5792</v>
      </c>
      <c r="BK269" s="203" t="s">
        <v>5792</v>
      </c>
      <c r="BL269" s="203" t="s">
        <v>5792</v>
      </c>
      <c r="BM269" s="203" t="s">
        <v>5792</v>
      </c>
      <c r="BN269" s="203" t="s">
        <v>5792</v>
      </c>
      <c r="BO269" s="203" t="s">
        <v>5792</v>
      </c>
      <c r="BP269" s="202" t="s">
        <v>5792</v>
      </c>
      <c r="BQ269" s="203" t="s">
        <v>5792</v>
      </c>
      <c r="BR269" s="203" t="s">
        <v>5792</v>
      </c>
      <c r="BS269" s="203" t="s">
        <v>5792</v>
      </c>
      <c r="BT269" s="203" t="s">
        <v>5792</v>
      </c>
      <c r="BU269" s="203" t="s">
        <v>5792</v>
      </c>
      <c r="BV269" s="218" t="s">
        <v>5792</v>
      </c>
      <c r="BW269" s="203" t="s">
        <v>5792</v>
      </c>
      <c r="BX269" s="203" t="s">
        <v>5792</v>
      </c>
      <c r="BY269" s="203" t="s">
        <v>5792</v>
      </c>
      <c r="BZ269" s="203" t="s">
        <v>5792</v>
      </c>
      <c r="CA269" s="203" t="s">
        <v>5792</v>
      </c>
      <c r="CB269" s="218" t="s">
        <v>5792</v>
      </c>
      <c r="CC269" s="306" t="s">
        <v>4450</v>
      </c>
      <c r="CD269" s="163">
        <v>275</v>
      </c>
      <c r="CE269" s="21">
        <f t="shared" si="144"/>
        <v>357.48500000000001</v>
      </c>
      <c r="CF269" s="163">
        <v>412</v>
      </c>
      <c r="CG269" s="21">
        <f t="shared" si="145"/>
        <v>463.04</v>
      </c>
      <c r="CH269" s="69">
        <f t="shared" si="146"/>
        <v>213864</v>
      </c>
      <c r="CI269" s="163" t="s">
        <v>4450</v>
      </c>
      <c r="CJ269" s="163">
        <v>275</v>
      </c>
      <c r="CK269" s="21">
        <f t="shared" si="147"/>
        <v>351.77</v>
      </c>
      <c r="CL269" s="21">
        <v>412</v>
      </c>
      <c r="CM269" s="21">
        <f t="shared" si="148"/>
        <v>451.26499999999999</v>
      </c>
      <c r="CN269" s="69">
        <f t="shared" si="149"/>
        <v>209467.5</v>
      </c>
      <c r="CO269" s="163" t="s">
        <v>4450</v>
      </c>
      <c r="CP269" s="163">
        <v>275</v>
      </c>
      <c r="CQ269" s="21">
        <v>369.44</v>
      </c>
      <c r="CR269" s="21">
        <v>410</v>
      </c>
      <c r="CS269" s="21">
        <v>503.45</v>
      </c>
      <c r="CT269" s="69">
        <v>200248</v>
      </c>
      <c r="CU269" s="207" t="s">
        <v>5792</v>
      </c>
      <c r="CV269" s="208" t="s">
        <v>5792</v>
      </c>
      <c r="CW269" s="208" t="s">
        <v>5792</v>
      </c>
      <c r="CX269" s="209" t="s">
        <v>5792</v>
      </c>
      <c r="CY269" s="207" t="s">
        <v>5792</v>
      </c>
      <c r="CZ269" s="208" t="s">
        <v>5792</v>
      </c>
      <c r="DA269" s="209" t="s">
        <v>5792</v>
      </c>
      <c r="DB269" s="283" t="s">
        <v>5792</v>
      </c>
      <c r="DC269" s="163">
        <v>10.9</v>
      </c>
      <c r="DD269" s="163">
        <v>900</v>
      </c>
      <c r="DE269" s="32">
        <v>990</v>
      </c>
      <c r="DF269" s="163">
        <v>1000</v>
      </c>
      <c r="DG269" s="32">
        <v>1100</v>
      </c>
      <c r="DH269" s="61">
        <v>200000</v>
      </c>
      <c r="DI269" s="131" t="s">
        <v>5849</v>
      </c>
      <c r="DJ269" s="32" t="s">
        <v>4435</v>
      </c>
      <c r="DK269" s="297" t="s">
        <v>4566</v>
      </c>
    </row>
    <row r="270" spans="1:115" ht="15.6" customHeight="1" thickBot="1">
      <c r="A270" s="143">
        <v>265</v>
      </c>
      <c r="B270" s="327"/>
      <c r="C270" s="327"/>
      <c r="D270" s="327"/>
      <c r="E270" s="330"/>
      <c r="F270" s="327"/>
      <c r="G270" s="330"/>
      <c r="H270" s="327"/>
      <c r="I270" s="327"/>
      <c r="J270" s="42" t="s">
        <v>4726</v>
      </c>
      <c r="K270" s="143" t="s">
        <v>4383</v>
      </c>
      <c r="L270" s="164" t="s">
        <v>5792</v>
      </c>
      <c r="M270" s="143" t="s">
        <v>4509</v>
      </c>
      <c r="N270" s="164" t="s">
        <v>4703</v>
      </c>
      <c r="O270" s="14" t="s">
        <v>4507</v>
      </c>
      <c r="P270" s="164" t="s">
        <v>4420</v>
      </c>
      <c r="Q270" s="164" t="s">
        <v>4420</v>
      </c>
      <c r="R270" s="164" t="s">
        <v>4420</v>
      </c>
      <c r="S270" s="164" t="s">
        <v>5792</v>
      </c>
      <c r="T270" s="164" t="s">
        <v>4420</v>
      </c>
      <c r="U270" s="164" t="s">
        <v>5792</v>
      </c>
      <c r="V270" s="34" t="s">
        <v>4559</v>
      </c>
      <c r="W270" s="118">
        <v>8</v>
      </c>
      <c r="X270" s="238">
        <v>-264.89999999999998</v>
      </c>
      <c r="Y270" s="14">
        <v>0</v>
      </c>
      <c r="Z270" s="143" t="s">
        <v>3983</v>
      </c>
      <c r="AA270" s="164">
        <f>INDEX('[2]Cross-Section Database'!$C$2:$V$2928,MATCH(Z270,'[2]Cross-Section Database'!$B$2:$B$2928,0),3)</f>
        <v>240</v>
      </c>
      <c r="AB270" s="164">
        <f>INDEX('[2]Cross-Section Database'!$C$2:$V$2928,MATCH(Z270,'[2]Cross-Section Database'!$B$2:$B$2928,0),4)</f>
        <v>240</v>
      </c>
      <c r="AC270" s="23">
        <f>INDEX('[2]Cross-Section Database'!$C$2:$V$2928,MATCH(Z270,'[2]Cross-Section Database'!$B$2:$B$2928,0),6)</f>
        <v>17</v>
      </c>
      <c r="AD270" s="23">
        <f>INDEX('[2]Cross-Section Database'!$C$2:$V$2928,MATCH(Z270,'[2]Cross-Section Database'!$B$2:$B$2928,0),5)</f>
        <v>10</v>
      </c>
      <c r="AE270" s="35">
        <v>2750</v>
      </c>
      <c r="AF270" s="143" t="s">
        <v>3907</v>
      </c>
      <c r="AG270" s="23">
        <f>INDEX('[2]Cross-Section Database'!$C$2:$V$2928,MATCH(AF270,'[2]Cross-Section Database'!$B$2:$B$2928,0),3)</f>
        <v>240</v>
      </c>
      <c r="AH270" s="23">
        <f>INDEX('[2]Cross-Section Database'!$C$2:$V$2928,MATCH(AF270,'[2]Cross-Section Database'!$B$2:$B$2928,0),4)</f>
        <v>120</v>
      </c>
      <c r="AI270" s="23">
        <f>INDEX('[2]Cross-Section Database'!$C$2:$V$2928,MATCH(AF270,'[2]Cross-Section Database'!$B$2:$B$2928,0),6)</f>
        <v>9.8000000000000007</v>
      </c>
      <c r="AJ270" s="23">
        <f>INDEX('[2]Cross-Section Database'!$C$2:$V$2928,MATCH(AF270,'[2]Cross-Section Database'!$B$2:$B$2928,0),5)</f>
        <v>6.2</v>
      </c>
      <c r="AK270" s="23">
        <v>1000</v>
      </c>
      <c r="AL270" s="23">
        <f>INDEX('[2]Cross-Section Database'!$C$2:$V$3928,MATCH(AF270,'[2]Cross-Section Database'!$B$2:$B$3928,0),11)</f>
        <v>38920000</v>
      </c>
      <c r="AM270" s="25">
        <f>INDEX('[2]Cross-Section Database'!$C$2:$V$3928,MATCH(AF270,'[2]Cross-Section Database'!$B$2:$B$3928,0),12)</f>
        <v>367000</v>
      </c>
      <c r="AN270" s="23">
        <v>15</v>
      </c>
      <c r="AO270" s="23">
        <v>160</v>
      </c>
      <c r="AP270" s="23">
        <v>264</v>
      </c>
      <c r="AQ270" s="23">
        <f t="shared" si="142"/>
        <v>12</v>
      </c>
      <c r="AR270" s="23">
        <f t="shared" si="122"/>
        <v>12</v>
      </c>
      <c r="AS270" s="143" t="s">
        <v>5807</v>
      </c>
      <c r="AT270" s="164" t="s">
        <v>4613</v>
      </c>
      <c r="AU270" s="23">
        <f t="shared" si="143"/>
        <v>30</v>
      </c>
      <c r="AV270" s="164">
        <v>20</v>
      </c>
      <c r="AW270" s="164">
        <f t="shared" si="135"/>
        <v>245</v>
      </c>
      <c r="AX270" s="23">
        <v>54</v>
      </c>
      <c r="AY270" s="23">
        <v>54</v>
      </c>
      <c r="AZ270" s="23">
        <v>0</v>
      </c>
      <c r="BA270" s="23">
        <v>96</v>
      </c>
      <c r="BB270" s="23">
        <v>156</v>
      </c>
      <c r="BC270" s="19" t="s">
        <v>4470</v>
      </c>
      <c r="BD270" s="164" t="s">
        <v>6209</v>
      </c>
      <c r="BE270" s="164" t="s">
        <v>6209</v>
      </c>
      <c r="BF270" s="164">
        <v>2</v>
      </c>
      <c r="BG270" s="14">
        <v>4</v>
      </c>
      <c r="BH270" s="197" t="s">
        <v>5792</v>
      </c>
      <c r="BI270" s="198" t="s">
        <v>5792</v>
      </c>
      <c r="BJ270" s="198" t="s">
        <v>5792</v>
      </c>
      <c r="BK270" s="198" t="s">
        <v>5792</v>
      </c>
      <c r="BL270" s="198" t="s">
        <v>5792</v>
      </c>
      <c r="BM270" s="198" t="s">
        <v>5792</v>
      </c>
      <c r="BN270" s="198" t="s">
        <v>5792</v>
      </c>
      <c r="BO270" s="198" t="s">
        <v>5792</v>
      </c>
      <c r="BP270" s="197" t="s">
        <v>5792</v>
      </c>
      <c r="BQ270" s="198" t="s">
        <v>5792</v>
      </c>
      <c r="BR270" s="198" t="s">
        <v>5792</v>
      </c>
      <c r="BS270" s="198" t="s">
        <v>5792</v>
      </c>
      <c r="BT270" s="198" t="s">
        <v>5792</v>
      </c>
      <c r="BU270" s="198" t="s">
        <v>5792</v>
      </c>
      <c r="BV270" s="220" t="s">
        <v>5792</v>
      </c>
      <c r="BW270" s="198" t="s">
        <v>5792</v>
      </c>
      <c r="BX270" s="198" t="s">
        <v>5792</v>
      </c>
      <c r="BY270" s="198" t="s">
        <v>5792</v>
      </c>
      <c r="BZ270" s="198" t="s">
        <v>5792</v>
      </c>
      <c r="CA270" s="198" t="s">
        <v>5792</v>
      </c>
      <c r="CB270" s="220" t="s">
        <v>5792</v>
      </c>
      <c r="CC270" s="143" t="s">
        <v>4450</v>
      </c>
      <c r="CD270" s="164">
        <v>275</v>
      </c>
      <c r="CE270" s="23">
        <f t="shared" si="144"/>
        <v>357.48500000000001</v>
      </c>
      <c r="CF270" s="164">
        <v>412</v>
      </c>
      <c r="CG270" s="23">
        <f t="shared" si="145"/>
        <v>463.04</v>
      </c>
      <c r="CH270" s="83">
        <f t="shared" si="146"/>
        <v>213864</v>
      </c>
      <c r="CI270" s="164" t="s">
        <v>4450</v>
      </c>
      <c r="CJ270" s="164">
        <v>275</v>
      </c>
      <c r="CK270" s="23">
        <f t="shared" si="147"/>
        <v>351.77</v>
      </c>
      <c r="CL270" s="23">
        <v>412</v>
      </c>
      <c r="CM270" s="23">
        <f t="shared" si="148"/>
        <v>451.26499999999999</v>
      </c>
      <c r="CN270" s="83">
        <f t="shared" si="149"/>
        <v>209467.5</v>
      </c>
      <c r="CO270" s="164" t="s">
        <v>4450</v>
      </c>
      <c r="CP270" s="164">
        <v>275</v>
      </c>
      <c r="CQ270" s="23">
        <v>369.44</v>
      </c>
      <c r="CR270" s="23">
        <v>410</v>
      </c>
      <c r="CS270" s="23">
        <v>503.45</v>
      </c>
      <c r="CT270" s="83">
        <v>200248</v>
      </c>
      <c r="CU270" s="207" t="s">
        <v>5792</v>
      </c>
      <c r="CV270" s="208" t="s">
        <v>5792</v>
      </c>
      <c r="CW270" s="208" t="s">
        <v>5792</v>
      </c>
      <c r="CX270" s="209" t="s">
        <v>5792</v>
      </c>
      <c r="CY270" s="207" t="s">
        <v>5792</v>
      </c>
      <c r="CZ270" s="208" t="s">
        <v>5792</v>
      </c>
      <c r="DA270" s="209" t="s">
        <v>5792</v>
      </c>
      <c r="DB270" s="284" t="s">
        <v>5792</v>
      </c>
      <c r="DC270" s="164">
        <v>10.9</v>
      </c>
      <c r="DD270" s="164">
        <v>900</v>
      </c>
      <c r="DE270" s="34">
        <v>990</v>
      </c>
      <c r="DF270" s="164">
        <v>1000</v>
      </c>
      <c r="DG270" s="34">
        <v>1100</v>
      </c>
      <c r="DH270" s="77">
        <v>200000</v>
      </c>
      <c r="DI270" s="131" t="s">
        <v>5849</v>
      </c>
      <c r="DJ270" s="34" t="s">
        <v>4435</v>
      </c>
      <c r="DK270" s="298" t="s">
        <v>4566</v>
      </c>
    </row>
    <row r="271" spans="1:115" ht="15.6" customHeight="1">
      <c r="A271" s="305">
        <v>266</v>
      </c>
      <c r="B271" s="348">
        <v>37</v>
      </c>
      <c r="C271" s="348">
        <v>2006</v>
      </c>
      <c r="D271" s="345" t="s">
        <v>4679</v>
      </c>
      <c r="E271" s="333" t="s">
        <v>4876</v>
      </c>
      <c r="F271" s="325">
        <v>6</v>
      </c>
      <c r="G271" s="328" t="s">
        <v>5932</v>
      </c>
      <c r="H271" s="325" t="s">
        <v>5923</v>
      </c>
      <c r="I271" s="325" t="s">
        <v>6247</v>
      </c>
      <c r="J271" s="313" t="s">
        <v>4596</v>
      </c>
      <c r="K271" s="305" t="s">
        <v>4383</v>
      </c>
      <c r="L271" s="162" t="s">
        <v>5792</v>
      </c>
      <c r="M271" s="305" t="s">
        <v>4508</v>
      </c>
      <c r="N271" s="162" t="s">
        <v>4701</v>
      </c>
      <c r="O271" s="17" t="s">
        <v>4507</v>
      </c>
      <c r="P271" s="162" t="s">
        <v>4470</v>
      </c>
      <c r="Q271" s="162" t="s">
        <v>4470</v>
      </c>
      <c r="R271" s="162" t="s">
        <v>4420</v>
      </c>
      <c r="S271" s="162" t="s">
        <v>5792</v>
      </c>
      <c r="T271" s="162" t="s">
        <v>4420</v>
      </c>
      <c r="U271" s="162" t="s">
        <v>5792</v>
      </c>
      <c r="V271" s="162" t="s">
        <v>6093</v>
      </c>
      <c r="W271" s="17">
        <v>8</v>
      </c>
      <c r="X271" s="239">
        <v>0</v>
      </c>
      <c r="Y271" s="17">
        <v>0</v>
      </c>
      <c r="Z271" s="305" t="s">
        <v>5492</v>
      </c>
      <c r="AA271" s="16">
        <f>INDEX('[2]Cross-Section Database'!$C$2:$V$2928,MATCH(Z271,'[2]Cross-Section Database'!$B$2:$B$2928,0),3)</f>
        <v>200</v>
      </c>
      <c r="AB271" s="16">
        <f>INDEX('[2]Cross-Section Database'!$C$2:$V$2928,MATCH(Z271,'[2]Cross-Section Database'!$B$2:$B$2928,0),4)</f>
        <v>200</v>
      </c>
      <c r="AC271" s="45">
        <f>INDEX('[2]Cross-Section Database'!$C$2:$V$2928,MATCH(Z271,'[2]Cross-Section Database'!$B$2:$B$2928,0),6)</f>
        <v>8.8000000000000007</v>
      </c>
      <c r="AD271" s="45">
        <f>INDEX('[2]Cross-Section Database'!$C$2:$V$2928,MATCH(Z271,'[2]Cross-Section Database'!$B$2:$B$2928,0),5)</f>
        <v>8.8000000000000007</v>
      </c>
      <c r="AE271" s="16">
        <v>1250</v>
      </c>
      <c r="AF271" s="305" t="s">
        <v>4601</v>
      </c>
      <c r="AG271" s="16">
        <f>INDEX('[2]Cross-Section Database'!$C$2:$V$2928,MATCH(AF271,'[2]Cross-Section Database'!$B$2:$B$2928,0),3)</f>
        <v>248</v>
      </c>
      <c r="AH271" s="16">
        <f>INDEX('[2]Cross-Section Database'!$C$2:$V$2928,MATCH(AF271,'[2]Cross-Section Database'!$B$2:$B$2928,0),4)</f>
        <v>124</v>
      </c>
      <c r="AI271" s="16">
        <f>INDEX('[2]Cross-Section Database'!$C$2:$V$2928,MATCH(AF271,'[2]Cross-Section Database'!$B$2:$B$2928,0),6)</f>
        <v>8</v>
      </c>
      <c r="AJ271" s="16">
        <f>INDEX('[2]Cross-Section Database'!$C$2:$V$2928,MATCH(AF271,'[2]Cross-Section Database'!$B$2:$B$2928,0),5)</f>
        <v>5</v>
      </c>
      <c r="AK271" s="16">
        <v>1750</v>
      </c>
      <c r="AL271" s="16">
        <f>INDEX('[2]Cross-Section Database'!$C$2:$V$3928,MATCH(AF271,'[2]Cross-Section Database'!$B$2:$B$3928,0),11)</f>
        <v>35400000</v>
      </c>
      <c r="AM271" s="26">
        <f>INDEX('[2]Cross-Section Database'!$C$2:$V$3928,MATCH(AF271,'[2]Cross-Section Database'!$B$2:$B$3928,0),12)</f>
        <v>319000</v>
      </c>
      <c r="AN271" s="16">
        <v>10</v>
      </c>
      <c r="AO271" s="16">
        <v>200</v>
      </c>
      <c r="AP271" s="16">
        <v>300</v>
      </c>
      <c r="AQ271" s="16">
        <v>25</v>
      </c>
      <c r="AR271" s="162">
        <v>25</v>
      </c>
      <c r="AS271" s="306" t="s">
        <v>5659</v>
      </c>
      <c r="AT271" s="163" t="s">
        <v>4605</v>
      </c>
      <c r="AU271" s="290">
        <f t="shared" ref="AU271:AU276" si="150" xml:space="preserve"> 300/AV271/0.25</f>
        <v>60</v>
      </c>
      <c r="AV271" s="163">
        <v>20</v>
      </c>
      <c r="AW271" s="163">
        <f t="shared" si="135"/>
        <v>245</v>
      </c>
      <c r="AX271" s="21">
        <v>85</v>
      </c>
      <c r="AY271" s="21">
        <f t="shared" ref="AY271:AY276" si="151">AX271</f>
        <v>85</v>
      </c>
      <c r="AZ271" s="21">
        <v>0</v>
      </c>
      <c r="BA271" s="21">
        <v>100</v>
      </c>
      <c r="BB271" s="21">
        <f t="shared" ref="BB271:BB276" si="152">AP271-AX271-AY271-AZ271</f>
        <v>130</v>
      </c>
      <c r="BC271" s="15" t="s">
        <v>4470</v>
      </c>
      <c r="BD271" s="163" t="s">
        <v>6209</v>
      </c>
      <c r="BE271" s="163" t="s">
        <v>6209</v>
      </c>
      <c r="BF271" s="163">
        <v>2</v>
      </c>
      <c r="BG271" s="163">
        <v>4</v>
      </c>
      <c r="BH271" s="305">
        <v>120</v>
      </c>
      <c r="BI271" s="162">
        <v>515</v>
      </c>
      <c r="BJ271" s="162" t="s">
        <v>6194</v>
      </c>
      <c r="BK271" s="162">
        <v>1</v>
      </c>
      <c r="BL271" s="162">
        <v>180</v>
      </c>
      <c r="BM271" s="162">
        <v>1678</v>
      </c>
      <c r="BN271" s="162">
        <v>52</v>
      </c>
      <c r="BO271" s="162" t="s">
        <v>4590</v>
      </c>
      <c r="BP271" s="305" t="s">
        <v>5856</v>
      </c>
      <c r="BQ271" s="162">
        <v>5</v>
      </c>
      <c r="BR271" s="162">
        <v>1</v>
      </c>
      <c r="BS271" s="162">
        <v>19</v>
      </c>
      <c r="BT271" s="162">
        <v>100</v>
      </c>
      <c r="BU271" s="162">
        <v>100</v>
      </c>
      <c r="BV271" s="17">
        <v>265</v>
      </c>
      <c r="BW271" s="162" t="s">
        <v>4606</v>
      </c>
      <c r="BX271" s="162" t="s">
        <v>4581</v>
      </c>
      <c r="BY271" s="16">
        <f t="shared" ref="BY271:BY274" si="153">((BI271/150)+1)*PI()*12^2/4</f>
        <v>501.39818751293103</v>
      </c>
      <c r="BZ271" s="16">
        <f>4*PI()*16^2/4</f>
        <v>804.24771931898704</v>
      </c>
      <c r="CA271" s="162">
        <v>20</v>
      </c>
      <c r="CB271" s="123">
        <f>BZ271/(BH271-BN271)/BI271</f>
        <v>2.2965383190148118E-2</v>
      </c>
      <c r="CC271" s="106" t="s">
        <v>5664</v>
      </c>
      <c r="CD271" s="65">
        <v>300</v>
      </c>
      <c r="CE271" s="30">
        <v>372</v>
      </c>
      <c r="CF271" s="65">
        <v>505</v>
      </c>
      <c r="CG271" s="31">
        <v>524.5</v>
      </c>
      <c r="CH271" s="66">
        <v>200000</v>
      </c>
      <c r="CI271" s="106" t="s">
        <v>5664</v>
      </c>
      <c r="CJ271" s="65">
        <v>300</v>
      </c>
      <c r="CK271" s="162">
        <v>372</v>
      </c>
      <c r="CL271" s="65">
        <v>505</v>
      </c>
      <c r="CM271" s="16">
        <v>524.5</v>
      </c>
      <c r="CN271" s="81">
        <v>200000</v>
      </c>
      <c r="CO271" s="106" t="s">
        <v>5664</v>
      </c>
      <c r="CP271" s="65">
        <v>300</v>
      </c>
      <c r="CQ271" s="30">
        <v>372</v>
      </c>
      <c r="CR271" s="65">
        <v>505</v>
      </c>
      <c r="CS271" s="31">
        <v>524.5</v>
      </c>
      <c r="CT271" s="66">
        <v>200000</v>
      </c>
      <c r="CU271" s="106" t="s">
        <v>5667</v>
      </c>
      <c r="CV271" s="16">
        <v>17.5</v>
      </c>
      <c r="CW271" s="16">
        <v>1.7</v>
      </c>
      <c r="CX271" s="66">
        <v>29000</v>
      </c>
      <c r="CY271" s="305">
        <v>596</v>
      </c>
      <c r="CZ271" s="162">
        <v>683</v>
      </c>
      <c r="DA271" s="66">
        <v>200000</v>
      </c>
      <c r="DB271" s="293">
        <v>550</v>
      </c>
      <c r="DC271" s="162">
        <v>8.8000000000000007</v>
      </c>
      <c r="DD271" s="162">
        <v>640</v>
      </c>
      <c r="DE271" s="162">
        <v>984</v>
      </c>
      <c r="DF271" s="162">
        <v>800</v>
      </c>
      <c r="DG271" s="162">
        <v>1040</v>
      </c>
      <c r="DH271" s="66">
        <v>200000</v>
      </c>
      <c r="DI271" s="43" t="s">
        <v>6042</v>
      </c>
      <c r="DJ271" s="162" t="s">
        <v>4561</v>
      </c>
      <c r="DK271" s="296" t="s">
        <v>6151</v>
      </c>
    </row>
    <row r="272" spans="1:115">
      <c r="A272" s="306">
        <v>267</v>
      </c>
      <c r="B272" s="349"/>
      <c r="C272" s="349"/>
      <c r="D272" s="346"/>
      <c r="E272" s="334"/>
      <c r="F272" s="326"/>
      <c r="G272" s="329"/>
      <c r="H272" s="326"/>
      <c r="I272" s="326"/>
      <c r="J272" s="309" t="s">
        <v>4597</v>
      </c>
      <c r="K272" s="306" t="s">
        <v>4383</v>
      </c>
      <c r="L272" s="163" t="s">
        <v>5792</v>
      </c>
      <c r="M272" s="306" t="s">
        <v>4508</v>
      </c>
      <c r="N272" s="163" t="s">
        <v>4701</v>
      </c>
      <c r="O272" s="18" t="s">
        <v>4507</v>
      </c>
      <c r="P272" s="163" t="s">
        <v>4470</v>
      </c>
      <c r="Q272" s="163" t="s">
        <v>4470</v>
      </c>
      <c r="R272" s="163" t="s">
        <v>4420</v>
      </c>
      <c r="S272" s="163" t="s">
        <v>5792</v>
      </c>
      <c r="T272" s="163" t="s">
        <v>4420</v>
      </c>
      <c r="U272" s="163" t="s">
        <v>5792</v>
      </c>
      <c r="V272" s="163" t="s">
        <v>6093</v>
      </c>
      <c r="W272" s="18">
        <v>8</v>
      </c>
      <c r="X272" s="230">
        <v>0</v>
      </c>
      <c r="Y272" s="18">
        <v>0</v>
      </c>
      <c r="Z272" s="306" t="s">
        <v>5492</v>
      </c>
      <c r="AA272" s="163">
        <f>INDEX('[2]Cross-Section Database'!$C$2:$V$2928,MATCH(Z272,'[2]Cross-Section Database'!$B$2:$B$2928,0),3)</f>
        <v>200</v>
      </c>
      <c r="AB272" s="163">
        <f>INDEX('[2]Cross-Section Database'!$C$2:$V$2928,MATCH(Z272,'[2]Cross-Section Database'!$B$2:$B$2928,0),4)</f>
        <v>200</v>
      </c>
      <c r="AC272" s="21">
        <f>INDEX('[2]Cross-Section Database'!$C$2:$V$2928,MATCH(Z272,'[2]Cross-Section Database'!$B$2:$B$2928,0),6)</f>
        <v>8.8000000000000007</v>
      </c>
      <c r="AD272" s="21">
        <f>INDEX('[2]Cross-Section Database'!$C$2:$V$2928,MATCH(Z272,'[2]Cross-Section Database'!$B$2:$B$2928,0),5)</f>
        <v>8.8000000000000007</v>
      </c>
      <c r="AE272" s="21">
        <v>1250</v>
      </c>
      <c r="AF272" s="306" t="s">
        <v>4601</v>
      </c>
      <c r="AG272" s="21">
        <f>INDEX('[2]Cross-Section Database'!$C$2:$V$2928,MATCH(AF272,'[2]Cross-Section Database'!$B$2:$B$2928,0),3)</f>
        <v>248</v>
      </c>
      <c r="AH272" s="21">
        <f>INDEX('[2]Cross-Section Database'!$C$2:$V$2928,MATCH(AF272,'[2]Cross-Section Database'!$B$2:$B$2928,0),4)</f>
        <v>124</v>
      </c>
      <c r="AI272" s="21">
        <f>INDEX('[2]Cross-Section Database'!$C$2:$V$2928,MATCH(AF272,'[2]Cross-Section Database'!$B$2:$B$2928,0),6)</f>
        <v>8</v>
      </c>
      <c r="AJ272" s="21">
        <f>INDEX('[2]Cross-Section Database'!$C$2:$V$2928,MATCH(AF272,'[2]Cross-Section Database'!$B$2:$B$2928,0),5)</f>
        <v>5</v>
      </c>
      <c r="AK272" s="21">
        <v>1751</v>
      </c>
      <c r="AL272" s="21">
        <f>INDEX('[2]Cross-Section Database'!$C$2:$V$3928,MATCH(AF272,'[2]Cross-Section Database'!$B$2:$B$3928,0),11)</f>
        <v>35400000</v>
      </c>
      <c r="AM272" s="24">
        <f>INDEX('[2]Cross-Section Database'!$C$2:$V$3928,MATCH(AF272,'[2]Cross-Section Database'!$B$2:$B$3928,0),12)</f>
        <v>319000</v>
      </c>
      <c r="AN272" s="21">
        <v>10</v>
      </c>
      <c r="AO272" s="21">
        <v>200</v>
      </c>
      <c r="AP272" s="21">
        <v>300</v>
      </c>
      <c r="AQ272" s="21">
        <v>25</v>
      </c>
      <c r="AR272" s="21">
        <v>25</v>
      </c>
      <c r="AS272" s="306" t="s">
        <v>5659</v>
      </c>
      <c r="AT272" s="163" t="s">
        <v>4605</v>
      </c>
      <c r="AU272" s="44">
        <f t="shared" si="150"/>
        <v>60</v>
      </c>
      <c r="AV272" s="163">
        <v>20</v>
      </c>
      <c r="AW272" s="163">
        <f t="shared" si="135"/>
        <v>245</v>
      </c>
      <c r="AX272" s="21">
        <v>85</v>
      </c>
      <c r="AY272" s="21">
        <f t="shared" si="151"/>
        <v>85</v>
      </c>
      <c r="AZ272" s="21">
        <v>0</v>
      </c>
      <c r="BA272" s="21">
        <v>100</v>
      </c>
      <c r="BB272" s="21">
        <f t="shared" si="152"/>
        <v>130</v>
      </c>
      <c r="BC272" s="15" t="s">
        <v>4470</v>
      </c>
      <c r="BD272" s="163" t="s">
        <v>6209</v>
      </c>
      <c r="BE272" s="163" t="s">
        <v>6209</v>
      </c>
      <c r="BF272" s="163">
        <v>2</v>
      </c>
      <c r="BG272" s="163">
        <v>4</v>
      </c>
      <c r="BH272" s="306">
        <v>120</v>
      </c>
      <c r="BI272" s="163">
        <v>515</v>
      </c>
      <c r="BJ272" s="163" t="s">
        <v>6194</v>
      </c>
      <c r="BK272" s="163">
        <v>1</v>
      </c>
      <c r="BL272" s="163">
        <v>180</v>
      </c>
      <c r="BM272" s="163">
        <v>1678</v>
      </c>
      <c r="BN272" s="163">
        <v>52</v>
      </c>
      <c r="BO272" s="163" t="s">
        <v>4590</v>
      </c>
      <c r="BP272" s="306" t="s">
        <v>5856</v>
      </c>
      <c r="BQ272" s="163">
        <v>3</v>
      </c>
      <c r="BR272" s="163">
        <v>1</v>
      </c>
      <c r="BS272" s="163">
        <v>19</v>
      </c>
      <c r="BT272" s="163">
        <v>100</v>
      </c>
      <c r="BU272" s="163">
        <v>100</v>
      </c>
      <c r="BV272" s="18">
        <v>480</v>
      </c>
      <c r="BW272" s="163" t="s">
        <v>4606</v>
      </c>
      <c r="BX272" s="163" t="s">
        <v>4581</v>
      </c>
      <c r="BY272" s="21">
        <f t="shared" si="153"/>
        <v>501.39818751293103</v>
      </c>
      <c r="BZ272" s="21">
        <f>4*PI()*16^2/4</f>
        <v>804.24771931898704</v>
      </c>
      <c r="CA272" s="163">
        <v>20</v>
      </c>
      <c r="CB272" s="121">
        <f t="shared" ref="CB272:CB275" si="154">BZ272/(BH272-BN272)/BI272</f>
        <v>2.2965383190148118E-2</v>
      </c>
      <c r="CC272" s="107" t="s">
        <v>5664</v>
      </c>
      <c r="CD272" s="60">
        <v>300</v>
      </c>
      <c r="CE272" s="32">
        <v>372</v>
      </c>
      <c r="CF272" s="60">
        <v>505</v>
      </c>
      <c r="CG272" s="33">
        <v>524.5</v>
      </c>
      <c r="CH272" s="67">
        <v>200000</v>
      </c>
      <c r="CI272" s="107" t="s">
        <v>5664</v>
      </c>
      <c r="CJ272" s="60">
        <v>300</v>
      </c>
      <c r="CK272" s="163">
        <v>372</v>
      </c>
      <c r="CL272" s="60">
        <v>505</v>
      </c>
      <c r="CM272" s="21">
        <v>524.5</v>
      </c>
      <c r="CN272" s="69">
        <v>200000</v>
      </c>
      <c r="CO272" s="107" t="s">
        <v>5664</v>
      </c>
      <c r="CP272" s="60">
        <v>300</v>
      </c>
      <c r="CQ272" s="32">
        <v>372</v>
      </c>
      <c r="CR272" s="60">
        <v>505</v>
      </c>
      <c r="CS272" s="33">
        <v>524.5</v>
      </c>
      <c r="CT272" s="67">
        <v>200000</v>
      </c>
      <c r="CU272" s="107" t="s">
        <v>5667</v>
      </c>
      <c r="CV272" s="21">
        <v>17.5</v>
      </c>
      <c r="CW272" s="21">
        <v>1.7</v>
      </c>
      <c r="CX272" s="67">
        <v>29000</v>
      </c>
      <c r="CY272" s="306">
        <v>596</v>
      </c>
      <c r="CZ272" s="163">
        <v>683</v>
      </c>
      <c r="DA272" s="67">
        <v>200000</v>
      </c>
      <c r="DB272" s="294">
        <v>550</v>
      </c>
      <c r="DC272" s="163">
        <v>8.8000000000000007</v>
      </c>
      <c r="DD272" s="163">
        <v>640</v>
      </c>
      <c r="DE272" s="163">
        <v>984</v>
      </c>
      <c r="DF272" s="163">
        <v>800</v>
      </c>
      <c r="DG272" s="163">
        <v>1040</v>
      </c>
      <c r="DH272" s="67">
        <v>200000</v>
      </c>
      <c r="DI272" s="41" t="s">
        <v>6042</v>
      </c>
      <c r="DJ272" s="163" t="s">
        <v>4561</v>
      </c>
      <c r="DK272" s="297" t="s">
        <v>6152</v>
      </c>
    </row>
    <row r="273" spans="1:115">
      <c r="A273" s="306">
        <v>268</v>
      </c>
      <c r="B273" s="349"/>
      <c r="C273" s="349"/>
      <c r="D273" s="346"/>
      <c r="E273" s="334"/>
      <c r="F273" s="326"/>
      <c r="G273" s="329"/>
      <c r="H273" s="326"/>
      <c r="I273" s="326"/>
      <c r="J273" s="309" t="s">
        <v>4598</v>
      </c>
      <c r="K273" s="306" t="s">
        <v>4383</v>
      </c>
      <c r="L273" s="163" t="s">
        <v>5792</v>
      </c>
      <c r="M273" s="306" t="s">
        <v>4508</v>
      </c>
      <c r="N273" s="163" t="s">
        <v>4701</v>
      </c>
      <c r="O273" s="18" t="s">
        <v>4507</v>
      </c>
      <c r="P273" s="163" t="s">
        <v>4470</v>
      </c>
      <c r="Q273" s="163" t="s">
        <v>4470</v>
      </c>
      <c r="R273" s="163" t="s">
        <v>4420</v>
      </c>
      <c r="S273" s="163" t="s">
        <v>5792</v>
      </c>
      <c r="T273" s="163" t="s">
        <v>4420</v>
      </c>
      <c r="U273" s="163" t="s">
        <v>5792</v>
      </c>
      <c r="V273" s="163" t="s">
        <v>6093</v>
      </c>
      <c r="W273" s="18">
        <v>8</v>
      </c>
      <c r="X273" s="230">
        <v>0</v>
      </c>
      <c r="Y273" s="18">
        <v>0</v>
      </c>
      <c r="Z273" s="306" t="s">
        <v>5492</v>
      </c>
      <c r="AA273" s="163">
        <f>INDEX('[2]Cross-Section Database'!$C$2:$V$2928,MATCH(Z273,'[2]Cross-Section Database'!$B$2:$B$2928,0),3)</f>
        <v>200</v>
      </c>
      <c r="AB273" s="163">
        <f>INDEX('[2]Cross-Section Database'!$C$2:$V$2928,MATCH(Z273,'[2]Cross-Section Database'!$B$2:$B$2928,0),4)</f>
        <v>200</v>
      </c>
      <c r="AC273" s="21">
        <f>INDEX('[2]Cross-Section Database'!$C$2:$V$2928,MATCH(Z273,'[2]Cross-Section Database'!$B$2:$B$2928,0),6)</f>
        <v>8.8000000000000007</v>
      </c>
      <c r="AD273" s="21">
        <f>INDEX('[2]Cross-Section Database'!$C$2:$V$2928,MATCH(Z273,'[2]Cross-Section Database'!$B$2:$B$2928,0),5)</f>
        <v>8.8000000000000007</v>
      </c>
      <c r="AE273" s="21">
        <v>1250</v>
      </c>
      <c r="AF273" s="306" t="s">
        <v>4601</v>
      </c>
      <c r="AG273" s="21">
        <f>INDEX('[2]Cross-Section Database'!$C$2:$V$2928,MATCH(AF273,'[2]Cross-Section Database'!$B$2:$B$2928,0),3)</f>
        <v>248</v>
      </c>
      <c r="AH273" s="21">
        <f>INDEX('[2]Cross-Section Database'!$C$2:$V$2928,MATCH(AF273,'[2]Cross-Section Database'!$B$2:$B$2928,0),4)</f>
        <v>124</v>
      </c>
      <c r="AI273" s="21">
        <f>INDEX('[2]Cross-Section Database'!$C$2:$V$2928,MATCH(AF273,'[2]Cross-Section Database'!$B$2:$B$2928,0),6)</f>
        <v>8</v>
      </c>
      <c r="AJ273" s="21">
        <f>INDEX('[2]Cross-Section Database'!$C$2:$V$2928,MATCH(AF273,'[2]Cross-Section Database'!$B$2:$B$2928,0),5)</f>
        <v>5</v>
      </c>
      <c r="AK273" s="21">
        <v>1752</v>
      </c>
      <c r="AL273" s="21">
        <f>INDEX('[2]Cross-Section Database'!$C$2:$V$3928,MATCH(AF273,'[2]Cross-Section Database'!$B$2:$B$3928,0),11)</f>
        <v>35400000</v>
      </c>
      <c r="AM273" s="24">
        <f>INDEX('[2]Cross-Section Database'!$C$2:$V$3928,MATCH(AF273,'[2]Cross-Section Database'!$B$2:$B$3928,0),12)</f>
        <v>319000</v>
      </c>
      <c r="AN273" s="21">
        <v>10</v>
      </c>
      <c r="AO273" s="21">
        <v>200</v>
      </c>
      <c r="AP273" s="21">
        <v>300</v>
      </c>
      <c r="AQ273" s="21">
        <v>25</v>
      </c>
      <c r="AR273" s="21">
        <v>25</v>
      </c>
      <c r="AS273" s="306" t="s">
        <v>5659</v>
      </c>
      <c r="AT273" s="163" t="s">
        <v>4605</v>
      </c>
      <c r="AU273" s="163">
        <f t="shared" si="150"/>
        <v>60</v>
      </c>
      <c r="AV273" s="163">
        <v>20</v>
      </c>
      <c r="AW273" s="163">
        <f t="shared" si="135"/>
        <v>245</v>
      </c>
      <c r="AX273" s="21">
        <v>85</v>
      </c>
      <c r="AY273" s="21">
        <f t="shared" si="151"/>
        <v>85</v>
      </c>
      <c r="AZ273" s="21">
        <v>0</v>
      </c>
      <c r="BA273" s="21">
        <v>100</v>
      </c>
      <c r="BB273" s="21">
        <f t="shared" si="152"/>
        <v>130</v>
      </c>
      <c r="BC273" s="15" t="s">
        <v>4470</v>
      </c>
      <c r="BD273" s="163" t="s">
        <v>6209</v>
      </c>
      <c r="BE273" s="163" t="s">
        <v>6209</v>
      </c>
      <c r="BF273" s="163">
        <v>2</v>
      </c>
      <c r="BG273" s="163">
        <v>4</v>
      </c>
      <c r="BH273" s="306">
        <v>120</v>
      </c>
      <c r="BI273" s="163">
        <v>515</v>
      </c>
      <c r="BJ273" s="163" t="s">
        <v>6194</v>
      </c>
      <c r="BK273" s="163">
        <v>1</v>
      </c>
      <c r="BL273" s="163">
        <v>180</v>
      </c>
      <c r="BM273" s="163">
        <v>1678</v>
      </c>
      <c r="BN273" s="163">
        <v>52</v>
      </c>
      <c r="BO273" s="163" t="s">
        <v>4590</v>
      </c>
      <c r="BP273" s="306" t="s">
        <v>5856</v>
      </c>
      <c r="BQ273" s="163">
        <v>2</v>
      </c>
      <c r="BR273" s="163">
        <v>1</v>
      </c>
      <c r="BS273" s="163">
        <v>19</v>
      </c>
      <c r="BT273" s="163">
        <v>100</v>
      </c>
      <c r="BU273" s="163">
        <v>100</v>
      </c>
      <c r="BV273" s="18">
        <v>800</v>
      </c>
      <c r="BW273" s="163" t="s">
        <v>4606</v>
      </c>
      <c r="BX273" s="163" t="s">
        <v>4581</v>
      </c>
      <c r="BY273" s="21">
        <f t="shared" si="153"/>
        <v>501.39818751293103</v>
      </c>
      <c r="BZ273" s="21">
        <f>4*PI()*16^2/4</f>
        <v>804.24771931898704</v>
      </c>
      <c r="CA273" s="163">
        <v>20</v>
      </c>
      <c r="CB273" s="121">
        <f t="shared" si="154"/>
        <v>2.2965383190148118E-2</v>
      </c>
      <c r="CC273" s="107" t="s">
        <v>5664</v>
      </c>
      <c r="CD273" s="60">
        <v>300</v>
      </c>
      <c r="CE273" s="32">
        <v>372</v>
      </c>
      <c r="CF273" s="60">
        <v>505</v>
      </c>
      <c r="CG273" s="33">
        <v>524.5</v>
      </c>
      <c r="CH273" s="67">
        <v>200000</v>
      </c>
      <c r="CI273" s="107" t="s">
        <v>5664</v>
      </c>
      <c r="CJ273" s="60">
        <v>300</v>
      </c>
      <c r="CK273" s="163">
        <v>372</v>
      </c>
      <c r="CL273" s="60">
        <v>505</v>
      </c>
      <c r="CM273" s="21">
        <v>524.5</v>
      </c>
      <c r="CN273" s="69">
        <v>200000</v>
      </c>
      <c r="CO273" s="107" t="s">
        <v>5664</v>
      </c>
      <c r="CP273" s="60">
        <v>300</v>
      </c>
      <c r="CQ273" s="32">
        <v>372</v>
      </c>
      <c r="CR273" s="60">
        <v>505</v>
      </c>
      <c r="CS273" s="33">
        <v>524.5</v>
      </c>
      <c r="CT273" s="67">
        <v>200000</v>
      </c>
      <c r="CU273" s="107" t="s">
        <v>5667</v>
      </c>
      <c r="CV273" s="21">
        <v>17.5</v>
      </c>
      <c r="CW273" s="21">
        <v>1.7</v>
      </c>
      <c r="CX273" s="67">
        <v>29000</v>
      </c>
      <c r="CY273" s="306">
        <v>596</v>
      </c>
      <c r="CZ273" s="163">
        <v>683</v>
      </c>
      <c r="DA273" s="67">
        <v>200000</v>
      </c>
      <c r="DB273" s="294">
        <v>550</v>
      </c>
      <c r="DC273" s="163">
        <v>8.8000000000000007</v>
      </c>
      <c r="DD273" s="163">
        <v>640</v>
      </c>
      <c r="DE273" s="163">
        <v>984</v>
      </c>
      <c r="DF273" s="163">
        <v>800</v>
      </c>
      <c r="DG273" s="163">
        <v>1040</v>
      </c>
      <c r="DH273" s="67">
        <v>200000</v>
      </c>
      <c r="DI273" s="41" t="s">
        <v>6042</v>
      </c>
      <c r="DJ273" s="163" t="s">
        <v>4561</v>
      </c>
      <c r="DK273" s="297" t="s">
        <v>6153</v>
      </c>
    </row>
    <row r="274" spans="1:115">
      <c r="A274" s="306">
        <v>269</v>
      </c>
      <c r="B274" s="349"/>
      <c r="C274" s="349"/>
      <c r="D274" s="346"/>
      <c r="E274" s="334"/>
      <c r="F274" s="326"/>
      <c r="G274" s="329"/>
      <c r="H274" s="326"/>
      <c r="I274" s="326"/>
      <c r="J274" s="309" t="s">
        <v>4599</v>
      </c>
      <c r="K274" s="306" t="s">
        <v>4383</v>
      </c>
      <c r="L274" s="163" t="s">
        <v>5792</v>
      </c>
      <c r="M274" s="306" t="s">
        <v>4508</v>
      </c>
      <c r="N274" s="163" t="s">
        <v>4701</v>
      </c>
      <c r="O274" s="18" t="s">
        <v>4507</v>
      </c>
      <c r="P274" s="163" t="s">
        <v>4470</v>
      </c>
      <c r="Q274" s="163" t="s">
        <v>4470</v>
      </c>
      <c r="R274" s="163" t="s">
        <v>4420</v>
      </c>
      <c r="S274" s="163" t="s">
        <v>5792</v>
      </c>
      <c r="T274" s="163" t="s">
        <v>4420</v>
      </c>
      <c r="U274" s="163" t="s">
        <v>5792</v>
      </c>
      <c r="V274" s="163" t="s">
        <v>6093</v>
      </c>
      <c r="W274" s="18">
        <v>8</v>
      </c>
      <c r="X274" s="230">
        <v>0</v>
      </c>
      <c r="Y274" s="18">
        <v>0</v>
      </c>
      <c r="Z274" s="306" t="s">
        <v>5492</v>
      </c>
      <c r="AA274" s="21">
        <f>INDEX('[2]Cross-Section Database'!$C$2:$V$2928,MATCH(Z274,'[2]Cross-Section Database'!$B$2:$B$2928,0),3)</f>
        <v>200</v>
      </c>
      <c r="AB274" s="21">
        <f>INDEX('[2]Cross-Section Database'!$C$2:$V$2928,MATCH(Z274,'[2]Cross-Section Database'!$B$2:$B$2928,0),4)</f>
        <v>200</v>
      </c>
      <c r="AC274" s="21">
        <f>INDEX('[2]Cross-Section Database'!$C$2:$V$2928,MATCH(Z274,'[2]Cross-Section Database'!$B$2:$B$2928,0),6)</f>
        <v>8.8000000000000007</v>
      </c>
      <c r="AD274" s="21">
        <f>INDEX('[2]Cross-Section Database'!$C$2:$V$2928,MATCH(Z274,'[2]Cross-Section Database'!$B$2:$B$2928,0),5)</f>
        <v>8.8000000000000007</v>
      </c>
      <c r="AE274" s="21">
        <v>1250</v>
      </c>
      <c r="AF274" s="306" t="s">
        <v>4601</v>
      </c>
      <c r="AG274" s="21">
        <f>INDEX('[2]Cross-Section Database'!$C$2:$V$2928,MATCH(AF274,'[2]Cross-Section Database'!$B$2:$B$2928,0),3)</f>
        <v>248</v>
      </c>
      <c r="AH274" s="21">
        <f>INDEX('[2]Cross-Section Database'!$C$2:$V$2928,MATCH(AF274,'[2]Cross-Section Database'!$B$2:$B$2928,0),4)</f>
        <v>124</v>
      </c>
      <c r="AI274" s="21">
        <f>INDEX('[2]Cross-Section Database'!$C$2:$V$2928,MATCH(AF274,'[2]Cross-Section Database'!$B$2:$B$2928,0),6)</f>
        <v>8</v>
      </c>
      <c r="AJ274" s="21">
        <f>INDEX('[2]Cross-Section Database'!$C$2:$V$2928,MATCH(AF274,'[2]Cross-Section Database'!$B$2:$B$2928,0),5)</f>
        <v>5</v>
      </c>
      <c r="AK274" s="21">
        <v>1753</v>
      </c>
      <c r="AL274" s="21">
        <f>INDEX('[2]Cross-Section Database'!$C$2:$V$3928,MATCH(AF274,'[2]Cross-Section Database'!$B$2:$B$3928,0),11)</f>
        <v>35400000</v>
      </c>
      <c r="AM274" s="24">
        <f>INDEX('[2]Cross-Section Database'!$C$2:$V$3928,MATCH(AF274,'[2]Cross-Section Database'!$B$2:$B$3928,0),12)</f>
        <v>319000</v>
      </c>
      <c r="AN274" s="21">
        <v>10</v>
      </c>
      <c r="AO274" s="21">
        <v>200</v>
      </c>
      <c r="AP274" s="21">
        <v>300</v>
      </c>
      <c r="AQ274" s="21">
        <v>25</v>
      </c>
      <c r="AR274" s="21">
        <v>25</v>
      </c>
      <c r="AS274" s="306" t="s">
        <v>5659</v>
      </c>
      <c r="AT274" s="163" t="s">
        <v>4605</v>
      </c>
      <c r="AU274" s="163">
        <f t="shared" si="150"/>
        <v>60</v>
      </c>
      <c r="AV274" s="163">
        <v>20</v>
      </c>
      <c r="AW274" s="163">
        <f t="shared" si="135"/>
        <v>245</v>
      </c>
      <c r="AX274" s="21">
        <v>85</v>
      </c>
      <c r="AY274" s="21">
        <f t="shared" si="151"/>
        <v>85</v>
      </c>
      <c r="AZ274" s="21">
        <v>0</v>
      </c>
      <c r="BA274" s="21">
        <v>100</v>
      </c>
      <c r="BB274" s="21">
        <f t="shared" si="152"/>
        <v>130</v>
      </c>
      <c r="BC274" s="15" t="s">
        <v>4470</v>
      </c>
      <c r="BD274" s="163" t="s">
        <v>6209</v>
      </c>
      <c r="BE274" s="163" t="s">
        <v>6209</v>
      </c>
      <c r="BF274" s="163">
        <v>2</v>
      </c>
      <c r="BG274" s="163">
        <v>4</v>
      </c>
      <c r="BH274" s="306">
        <v>120</v>
      </c>
      <c r="BI274" s="163">
        <v>515</v>
      </c>
      <c r="BJ274" s="163" t="s">
        <v>6194</v>
      </c>
      <c r="BK274" s="163">
        <v>1</v>
      </c>
      <c r="BL274" s="163">
        <v>180</v>
      </c>
      <c r="BM274" s="163">
        <v>1678</v>
      </c>
      <c r="BN274" s="163">
        <v>52</v>
      </c>
      <c r="BO274" s="163" t="s">
        <v>4590</v>
      </c>
      <c r="BP274" s="306" t="s">
        <v>5856</v>
      </c>
      <c r="BQ274" s="163">
        <v>3</v>
      </c>
      <c r="BR274" s="163">
        <v>1</v>
      </c>
      <c r="BS274" s="163">
        <v>19</v>
      </c>
      <c r="BT274" s="163">
        <v>100</v>
      </c>
      <c r="BU274" s="163">
        <v>100</v>
      </c>
      <c r="BV274" s="18">
        <v>480</v>
      </c>
      <c r="BW274" s="163" t="s">
        <v>4606</v>
      </c>
      <c r="BX274" s="163" t="s">
        <v>4604</v>
      </c>
      <c r="BY274" s="21">
        <f t="shared" si="153"/>
        <v>501.39818751293103</v>
      </c>
      <c r="BZ274" s="21">
        <f>2*PI()*16^2/4</f>
        <v>402.12385965949352</v>
      </c>
      <c r="CA274" s="163">
        <v>20</v>
      </c>
      <c r="CB274" s="121">
        <f t="shared" si="154"/>
        <v>1.1482691595074059E-2</v>
      </c>
      <c r="CC274" s="107" t="s">
        <v>5664</v>
      </c>
      <c r="CD274" s="60">
        <v>300</v>
      </c>
      <c r="CE274" s="32">
        <v>372</v>
      </c>
      <c r="CF274" s="60">
        <v>505</v>
      </c>
      <c r="CG274" s="33">
        <v>524.5</v>
      </c>
      <c r="CH274" s="67">
        <v>200000</v>
      </c>
      <c r="CI274" s="107" t="s">
        <v>5664</v>
      </c>
      <c r="CJ274" s="60">
        <v>300</v>
      </c>
      <c r="CK274" s="163">
        <v>372</v>
      </c>
      <c r="CL274" s="60">
        <v>505</v>
      </c>
      <c r="CM274" s="21">
        <v>524.5</v>
      </c>
      <c r="CN274" s="69">
        <v>200000</v>
      </c>
      <c r="CO274" s="107" t="s">
        <v>5664</v>
      </c>
      <c r="CP274" s="60">
        <v>300</v>
      </c>
      <c r="CQ274" s="32">
        <v>372</v>
      </c>
      <c r="CR274" s="60">
        <v>505</v>
      </c>
      <c r="CS274" s="33">
        <v>524.5</v>
      </c>
      <c r="CT274" s="67">
        <v>200000</v>
      </c>
      <c r="CU274" s="107" t="s">
        <v>5667</v>
      </c>
      <c r="CV274" s="21">
        <v>17.5</v>
      </c>
      <c r="CW274" s="21">
        <v>1.7</v>
      </c>
      <c r="CX274" s="67">
        <v>29000</v>
      </c>
      <c r="CY274" s="306">
        <v>596</v>
      </c>
      <c r="CZ274" s="163">
        <v>683</v>
      </c>
      <c r="DA274" s="67">
        <v>200000</v>
      </c>
      <c r="DB274" s="294">
        <v>550</v>
      </c>
      <c r="DC274" s="163">
        <v>8.8000000000000007</v>
      </c>
      <c r="DD274" s="163">
        <v>640</v>
      </c>
      <c r="DE274" s="163">
        <v>984</v>
      </c>
      <c r="DF274" s="163">
        <v>800</v>
      </c>
      <c r="DG274" s="163">
        <v>1040</v>
      </c>
      <c r="DH274" s="67">
        <v>200000</v>
      </c>
      <c r="DI274" s="41" t="s">
        <v>6043</v>
      </c>
      <c r="DJ274" s="163" t="s">
        <v>4561</v>
      </c>
      <c r="DK274" s="297" t="s">
        <v>6154</v>
      </c>
    </row>
    <row r="275" spans="1:115">
      <c r="A275" s="306">
        <v>270</v>
      </c>
      <c r="B275" s="349"/>
      <c r="C275" s="349"/>
      <c r="D275" s="346"/>
      <c r="E275" s="334"/>
      <c r="F275" s="326"/>
      <c r="G275" s="329"/>
      <c r="H275" s="326"/>
      <c r="I275" s="326"/>
      <c r="J275" s="309" t="s">
        <v>4600</v>
      </c>
      <c r="K275" s="306" t="s">
        <v>4383</v>
      </c>
      <c r="L275" s="163" t="s">
        <v>5792</v>
      </c>
      <c r="M275" s="306" t="s">
        <v>4508</v>
      </c>
      <c r="N275" s="163" t="s">
        <v>4701</v>
      </c>
      <c r="O275" s="18" t="s">
        <v>4507</v>
      </c>
      <c r="P275" s="163" t="s">
        <v>4470</v>
      </c>
      <c r="Q275" s="163" t="s">
        <v>4470</v>
      </c>
      <c r="R275" s="163" t="s">
        <v>4420</v>
      </c>
      <c r="S275" s="163" t="s">
        <v>5792</v>
      </c>
      <c r="T275" s="163" t="s">
        <v>4420</v>
      </c>
      <c r="U275" s="163" t="s">
        <v>5792</v>
      </c>
      <c r="V275" s="163" t="s">
        <v>6093</v>
      </c>
      <c r="W275" s="18">
        <v>8</v>
      </c>
      <c r="X275" s="230">
        <v>0</v>
      </c>
      <c r="Y275" s="18">
        <v>0</v>
      </c>
      <c r="Z275" s="306" t="s">
        <v>5492</v>
      </c>
      <c r="AA275" s="21">
        <f>INDEX('[2]Cross-Section Database'!$C$2:$V$2928,MATCH(Z275,'[2]Cross-Section Database'!$B$2:$B$2928,0),3)</f>
        <v>200</v>
      </c>
      <c r="AB275" s="21">
        <f>INDEX('[2]Cross-Section Database'!$C$2:$V$2928,MATCH(Z275,'[2]Cross-Section Database'!$B$2:$B$2928,0),4)</f>
        <v>200</v>
      </c>
      <c r="AC275" s="21">
        <f>INDEX('[2]Cross-Section Database'!$C$2:$V$2928,MATCH(Z275,'[2]Cross-Section Database'!$B$2:$B$2928,0),6)</f>
        <v>8.8000000000000007</v>
      </c>
      <c r="AD275" s="21">
        <f>INDEX('[2]Cross-Section Database'!$C$2:$V$2928,MATCH(Z275,'[2]Cross-Section Database'!$B$2:$B$2928,0),5)</f>
        <v>8.8000000000000007</v>
      </c>
      <c r="AE275" s="21">
        <v>1250</v>
      </c>
      <c r="AF275" s="306" t="s">
        <v>4601</v>
      </c>
      <c r="AG275" s="21">
        <f>INDEX('[2]Cross-Section Database'!$C$2:$V$2928,MATCH(AF275,'[2]Cross-Section Database'!$B$2:$B$2928,0),3)</f>
        <v>248</v>
      </c>
      <c r="AH275" s="21">
        <f>INDEX('[2]Cross-Section Database'!$C$2:$V$2928,MATCH(AF275,'[2]Cross-Section Database'!$B$2:$B$2928,0),4)</f>
        <v>124</v>
      </c>
      <c r="AI275" s="21">
        <f>INDEX('[2]Cross-Section Database'!$C$2:$V$2928,MATCH(AF275,'[2]Cross-Section Database'!$B$2:$B$2928,0),6)</f>
        <v>8</v>
      </c>
      <c r="AJ275" s="21">
        <f>INDEX('[2]Cross-Section Database'!$C$2:$V$2928,MATCH(AF275,'[2]Cross-Section Database'!$B$2:$B$2928,0),5)</f>
        <v>5</v>
      </c>
      <c r="AK275" s="21">
        <v>1754</v>
      </c>
      <c r="AL275" s="21">
        <f>INDEX('[2]Cross-Section Database'!$C$2:$V$3928,MATCH(AF275,'[2]Cross-Section Database'!$B$2:$B$3928,0),11)</f>
        <v>35400000</v>
      </c>
      <c r="AM275" s="24">
        <f>INDEX('[2]Cross-Section Database'!$C$2:$V$3928,MATCH(AF275,'[2]Cross-Section Database'!$B$2:$B$3928,0),12)</f>
        <v>319000</v>
      </c>
      <c r="AN275" s="21">
        <v>10</v>
      </c>
      <c r="AO275" s="21">
        <v>200</v>
      </c>
      <c r="AP275" s="21">
        <v>300</v>
      </c>
      <c r="AQ275" s="21">
        <v>25</v>
      </c>
      <c r="AR275" s="21">
        <v>25</v>
      </c>
      <c r="AS275" s="306" t="s">
        <v>5659</v>
      </c>
      <c r="AT275" s="163" t="s">
        <v>4605</v>
      </c>
      <c r="AU275" s="163">
        <f t="shared" si="150"/>
        <v>60</v>
      </c>
      <c r="AV275" s="163">
        <v>20</v>
      </c>
      <c r="AW275" s="163">
        <f t="shared" si="135"/>
        <v>245</v>
      </c>
      <c r="AX275" s="21">
        <v>85</v>
      </c>
      <c r="AY275" s="21">
        <f t="shared" si="151"/>
        <v>85</v>
      </c>
      <c r="AZ275" s="21">
        <v>0</v>
      </c>
      <c r="BA275" s="21">
        <v>100</v>
      </c>
      <c r="BB275" s="21">
        <f t="shared" si="152"/>
        <v>130</v>
      </c>
      <c r="BC275" s="15" t="s">
        <v>4470</v>
      </c>
      <c r="BD275" s="163" t="s">
        <v>6209</v>
      </c>
      <c r="BE275" s="163" t="s">
        <v>6209</v>
      </c>
      <c r="BF275" s="163">
        <v>2</v>
      </c>
      <c r="BG275" s="163">
        <v>4</v>
      </c>
      <c r="BH275" s="306">
        <v>120</v>
      </c>
      <c r="BI275" s="163">
        <v>515</v>
      </c>
      <c r="BJ275" s="163" t="s">
        <v>6194</v>
      </c>
      <c r="BK275" s="163">
        <v>1</v>
      </c>
      <c r="BL275" s="163">
        <v>180</v>
      </c>
      <c r="BM275" s="163">
        <v>1678</v>
      </c>
      <c r="BN275" s="163">
        <v>52</v>
      </c>
      <c r="BO275" s="163" t="s">
        <v>4590</v>
      </c>
      <c r="BP275" s="306" t="s">
        <v>5856</v>
      </c>
      <c r="BQ275" s="163">
        <v>8</v>
      </c>
      <c r="BR275" s="163">
        <v>1</v>
      </c>
      <c r="BS275" s="163">
        <v>19</v>
      </c>
      <c r="BT275" s="163">
        <v>100</v>
      </c>
      <c r="BU275" s="163">
        <v>100</v>
      </c>
      <c r="BV275" s="18">
        <v>160</v>
      </c>
      <c r="BW275" s="163" t="s">
        <v>4606</v>
      </c>
      <c r="BX275" s="163" t="s">
        <v>4602</v>
      </c>
      <c r="BY275" s="21">
        <f>((BI275/150)+1)*PI()*12^2/4</f>
        <v>501.39818751293103</v>
      </c>
      <c r="BZ275" s="21">
        <f>6*PI()*16^2/4</f>
        <v>1206.3715789784806</v>
      </c>
      <c r="CA275" s="163">
        <v>20</v>
      </c>
      <c r="CB275" s="121">
        <f t="shared" si="154"/>
        <v>3.4448074785222174E-2</v>
      </c>
      <c r="CC275" s="107" t="s">
        <v>5664</v>
      </c>
      <c r="CD275" s="60">
        <v>300</v>
      </c>
      <c r="CE275" s="32">
        <v>372</v>
      </c>
      <c r="CF275" s="60">
        <v>505</v>
      </c>
      <c r="CG275" s="33">
        <v>524.5</v>
      </c>
      <c r="CH275" s="67">
        <v>200000</v>
      </c>
      <c r="CI275" s="107" t="s">
        <v>5664</v>
      </c>
      <c r="CJ275" s="60">
        <v>300</v>
      </c>
      <c r="CK275" s="163">
        <v>372</v>
      </c>
      <c r="CL275" s="60">
        <v>505</v>
      </c>
      <c r="CM275" s="21">
        <v>524.5</v>
      </c>
      <c r="CN275" s="69">
        <v>200000</v>
      </c>
      <c r="CO275" s="107" t="s">
        <v>5664</v>
      </c>
      <c r="CP275" s="60">
        <v>300</v>
      </c>
      <c r="CQ275" s="32">
        <v>372</v>
      </c>
      <c r="CR275" s="60">
        <v>505</v>
      </c>
      <c r="CS275" s="33">
        <v>524.5</v>
      </c>
      <c r="CT275" s="67">
        <v>200000</v>
      </c>
      <c r="CU275" s="107" t="s">
        <v>5667</v>
      </c>
      <c r="CV275" s="21">
        <v>17.5</v>
      </c>
      <c r="CW275" s="21">
        <v>1.7</v>
      </c>
      <c r="CX275" s="67">
        <v>29000</v>
      </c>
      <c r="CY275" s="306">
        <v>596</v>
      </c>
      <c r="CZ275" s="163">
        <v>683</v>
      </c>
      <c r="DA275" s="67">
        <v>200000</v>
      </c>
      <c r="DB275" s="294">
        <v>550</v>
      </c>
      <c r="DC275" s="163">
        <v>8.8000000000000007</v>
      </c>
      <c r="DD275" s="163">
        <v>640</v>
      </c>
      <c r="DE275" s="163">
        <v>984</v>
      </c>
      <c r="DF275" s="163">
        <v>800</v>
      </c>
      <c r="DG275" s="163">
        <v>1040</v>
      </c>
      <c r="DH275" s="67">
        <v>200000</v>
      </c>
      <c r="DI275" s="41" t="s">
        <v>6044</v>
      </c>
      <c r="DJ275" s="163" t="s">
        <v>4561</v>
      </c>
      <c r="DK275" s="297" t="s">
        <v>6155</v>
      </c>
    </row>
    <row r="276" spans="1:115" ht="15.6" customHeight="1" thickBot="1">
      <c r="A276" s="306">
        <v>271</v>
      </c>
      <c r="B276" s="349"/>
      <c r="C276" s="349"/>
      <c r="D276" s="346"/>
      <c r="E276" s="334"/>
      <c r="F276" s="326"/>
      <c r="G276" s="329"/>
      <c r="H276" s="326"/>
      <c r="I276" s="326"/>
      <c r="J276" s="41" t="s">
        <v>4603</v>
      </c>
      <c r="K276" s="306" t="s">
        <v>4383</v>
      </c>
      <c r="L276" s="163" t="s">
        <v>5792</v>
      </c>
      <c r="M276" s="306" t="s">
        <v>4508</v>
      </c>
      <c r="N276" s="163" t="s">
        <v>4701</v>
      </c>
      <c r="O276" s="18" t="s">
        <v>4507</v>
      </c>
      <c r="P276" s="163" t="s">
        <v>4420</v>
      </c>
      <c r="Q276" s="163" t="s">
        <v>4470</v>
      </c>
      <c r="R276" s="163" t="s">
        <v>4420</v>
      </c>
      <c r="S276" s="163" t="s">
        <v>5792</v>
      </c>
      <c r="T276" s="163" t="s">
        <v>4420</v>
      </c>
      <c r="U276" s="163" t="s">
        <v>5792</v>
      </c>
      <c r="V276" s="163" t="s">
        <v>6093</v>
      </c>
      <c r="W276" s="18">
        <v>8</v>
      </c>
      <c r="X276" s="230">
        <v>0</v>
      </c>
      <c r="Y276" s="18">
        <v>0</v>
      </c>
      <c r="Z276" s="306" t="s">
        <v>5492</v>
      </c>
      <c r="AA276" s="21">
        <f>INDEX('[2]Cross-Section Database'!$C$2:$V$2928,MATCH(Z276,'[2]Cross-Section Database'!$B$2:$B$2928,0),3)</f>
        <v>200</v>
      </c>
      <c r="AB276" s="21">
        <f>INDEX('[2]Cross-Section Database'!$C$2:$V$2928,MATCH(Z276,'[2]Cross-Section Database'!$B$2:$B$2928,0),4)</f>
        <v>200</v>
      </c>
      <c r="AC276" s="21">
        <f>INDEX('[2]Cross-Section Database'!$C$2:$V$2928,MATCH(Z276,'[2]Cross-Section Database'!$B$2:$B$2928,0),6)</f>
        <v>8.8000000000000007</v>
      </c>
      <c r="AD276" s="21">
        <f>INDEX('[2]Cross-Section Database'!$C$2:$V$2928,MATCH(Z276,'[2]Cross-Section Database'!$B$2:$B$2928,0),5)</f>
        <v>8.8000000000000007</v>
      </c>
      <c r="AE276" s="21">
        <v>1250</v>
      </c>
      <c r="AF276" s="306" t="s">
        <v>4601</v>
      </c>
      <c r="AG276" s="21">
        <f>INDEX('[2]Cross-Section Database'!$C$2:$V$2928,MATCH(AF276,'[2]Cross-Section Database'!$B$2:$B$2928,0),3)</f>
        <v>248</v>
      </c>
      <c r="AH276" s="21">
        <f>INDEX('[2]Cross-Section Database'!$C$2:$V$2928,MATCH(AF276,'[2]Cross-Section Database'!$B$2:$B$2928,0),4)</f>
        <v>124</v>
      </c>
      <c r="AI276" s="21">
        <f>INDEX('[2]Cross-Section Database'!$C$2:$V$2928,MATCH(AF276,'[2]Cross-Section Database'!$B$2:$B$2928,0),6)</f>
        <v>8</v>
      </c>
      <c r="AJ276" s="21">
        <f>INDEX('[2]Cross-Section Database'!$C$2:$V$2928,MATCH(AF276,'[2]Cross-Section Database'!$B$2:$B$2928,0),5)</f>
        <v>5</v>
      </c>
      <c r="AK276" s="21">
        <v>1755</v>
      </c>
      <c r="AL276" s="21">
        <f>INDEX('[2]Cross-Section Database'!$C$2:$V$3928,MATCH(AF276,'[2]Cross-Section Database'!$B$2:$B$3928,0),11)</f>
        <v>35400000</v>
      </c>
      <c r="AM276" s="24">
        <f>INDEX('[2]Cross-Section Database'!$C$2:$V$3928,MATCH(AF276,'[2]Cross-Section Database'!$B$2:$B$3928,0),12)</f>
        <v>319000</v>
      </c>
      <c r="AN276" s="21">
        <v>10</v>
      </c>
      <c r="AO276" s="21">
        <v>200</v>
      </c>
      <c r="AP276" s="21">
        <v>300</v>
      </c>
      <c r="AQ276" s="21">
        <v>25</v>
      </c>
      <c r="AR276" s="21">
        <v>25</v>
      </c>
      <c r="AS276" s="306" t="s">
        <v>5659</v>
      </c>
      <c r="AT276" s="163" t="s">
        <v>4605</v>
      </c>
      <c r="AU276" s="163">
        <f t="shared" si="150"/>
        <v>60</v>
      </c>
      <c r="AV276" s="163">
        <v>20</v>
      </c>
      <c r="AW276" s="163">
        <f t="shared" si="135"/>
        <v>245</v>
      </c>
      <c r="AX276" s="21">
        <v>85</v>
      </c>
      <c r="AY276" s="21">
        <f t="shared" si="151"/>
        <v>85</v>
      </c>
      <c r="AZ276" s="21">
        <v>0</v>
      </c>
      <c r="BA276" s="21">
        <v>100</v>
      </c>
      <c r="BB276" s="21">
        <f t="shared" si="152"/>
        <v>130</v>
      </c>
      <c r="BC276" s="15" t="s">
        <v>4470</v>
      </c>
      <c r="BD276" s="163" t="s">
        <v>6209</v>
      </c>
      <c r="BE276" s="163" t="s">
        <v>6209</v>
      </c>
      <c r="BF276" s="163">
        <v>2</v>
      </c>
      <c r="BG276" s="163">
        <v>4</v>
      </c>
      <c r="BH276" s="202" t="s">
        <v>5792</v>
      </c>
      <c r="BI276" s="203" t="s">
        <v>5792</v>
      </c>
      <c r="BJ276" s="203" t="s">
        <v>5792</v>
      </c>
      <c r="BK276" s="203" t="s">
        <v>5792</v>
      </c>
      <c r="BL276" s="203" t="s">
        <v>5792</v>
      </c>
      <c r="BM276" s="203" t="s">
        <v>5792</v>
      </c>
      <c r="BN276" s="203" t="s">
        <v>5792</v>
      </c>
      <c r="BO276" s="203" t="s">
        <v>5792</v>
      </c>
      <c r="BP276" s="202" t="s">
        <v>5792</v>
      </c>
      <c r="BQ276" s="203" t="s">
        <v>5792</v>
      </c>
      <c r="BR276" s="203" t="s">
        <v>5792</v>
      </c>
      <c r="BS276" s="203" t="s">
        <v>5792</v>
      </c>
      <c r="BT276" s="203" t="s">
        <v>5792</v>
      </c>
      <c r="BU276" s="203" t="s">
        <v>5792</v>
      </c>
      <c r="BV276" s="218" t="s">
        <v>5792</v>
      </c>
      <c r="BW276" s="203" t="s">
        <v>5792</v>
      </c>
      <c r="BX276" s="203" t="s">
        <v>5792</v>
      </c>
      <c r="BY276" s="203" t="s">
        <v>5792</v>
      </c>
      <c r="BZ276" s="203" t="s">
        <v>5792</v>
      </c>
      <c r="CA276" s="203" t="s">
        <v>5792</v>
      </c>
      <c r="CB276" s="218" t="s">
        <v>5792</v>
      </c>
      <c r="CC276" s="107" t="s">
        <v>5664</v>
      </c>
      <c r="CD276" s="60">
        <v>300</v>
      </c>
      <c r="CE276" s="32">
        <v>372</v>
      </c>
      <c r="CF276" s="60">
        <v>505</v>
      </c>
      <c r="CG276" s="33">
        <v>524.5</v>
      </c>
      <c r="CH276" s="67">
        <v>200000</v>
      </c>
      <c r="CI276" s="107" t="s">
        <v>5664</v>
      </c>
      <c r="CJ276" s="60">
        <v>300</v>
      </c>
      <c r="CK276" s="163">
        <v>372</v>
      </c>
      <c r="CL276" s="60">
        <v>505</v>
      </c>
      <c r="CM276" s="21">
        <v>524.5</v>
      </c>
      <c r="CN276" s="69">
        <v>200000</v>
      </c>
      <c r="CO276" s="107" t="s">
        <v>5664</v>
      </c>
      <c r="CP276" s="60">
        <v>300</v>
      </c>
      <c r="CQ276" s="32">
        <v>372</v>
      </c>
      <c r="CR276" s="60">
        <v>505</v>
      </c>
      <c r="CS276" s="33">
        <v>524.5</v>
      </c>
      <c r="CT276" s="67">
        <v>200000</v>
      </c>
      <c r="CU276" s="207" t="s">
        <v>5792</v>
      </c>
      <c r="CV276" s="217" t="s">
        <v>5792</v>
      </c>
      <c r="CW276" s="217" t="s">
        <v>5792</v>
      </c>
      <c r="CX276" s="209" t="s">
        <v>5792</v>
      </c>
      <c r="CY276" s="207" t="s">
        <v>5792</v>
      </c>
      <c r="CZ276" s="208" t="s">
        <v>5792</v>
      </c>
      <c r="DA276" s="209" t="s">
        <v>5792</v>
      </c>
      <c r="DB276" s="283" t="s">
        <v>5792</v>
      </c>
      <c r="DC276" s="163">
        <v>8.8000000000000007</v>
      </c>
      <c r="DD276" s="163">
        <v>640</v>
      </c>
      <c r="DE276" s="163">
        <v>984</v>
      </c>
      <c r="DF276" s="163">
        <v>800</v>
      </c>
      <c r="DG276" s="163">
        <v>1040</v>
      </c>
      <c r="DH276" s="67">
        <v>200000</v>
      </c>
      <c r="DI276" s="41" t="s">
        <v>6045</v>
      </c>
      <c r="DJ276" s="163" t="s">
        <v>4561</v>
      </c>
      <c r="DK276" s="297" t="s">
        <v>4566</v>
      </c>
    </row>
    <row r="277" spans="1:115" ht="15.6" customHeight="1">
      <c r="A277" s="305">
        <v>272</v>
      </c>
      <c r="B277" s="325">
        <v>38</v>
      </c>
      <c r="C277" s="325">
        <v>2007</v>
      </c>
      <c r="D277" s="342" t="s">
        <v>5994</v>
      </c>
      <c r="E277" s="342" t="s">
        <v>4875</v>
      </c>
      <c r="F277" s="325">
        <v>2</v>
      </c>
      <c r="G277" s="336" t="s">
        <v>5921</v>
      </c>
      <c r="H277" s="336" t="s">
        <v>5920</v>
      </c>
      <c r="I277" s="336" t="s">
        <v>6248</v>
      </c>
      <c r="J277" s="129" t="s">
        <v>4743</v>
      </c>
      <c r="K277" s="305" t="s">
        <v>6314</v>
      </c>
      <c r="L277" s="162" t="s">
        <v>5792</v>
      </c>
      <c r="M277" s="305" t="s">
        <v>4509</v>
      </c>
      <c r="N277" s="162" t="s">
        <v>4703</v>
      </c>
      <c r="O277" s="17" t="s">
        <v>4507</v>
      </c>
      <c r="P277" s="162" t="s">
        <v>6312</v>
      </c>
      <c r="Q277" s="162" t="s">
        <v>4420</v>
      </c>
      <c r="R277" s="162" t="s">
        <v>6169</v>
      </c>
      <c r="S277" s="162">
        <v>12</v>
      </c>
      <c r="T277" s="162" t="s">
        <v>4420</v>
      </c>
      <c r="U277" s="162" t="s">
        <v>5792</v>
      </c>
      <c r="V277" s="162" t="s">
        <v>4560</v>
      </c>
      <c r="W277" s="90">
        <v>0</v>
      </c>
      <c r="X277" s="239">
        <v>0</v>
      </c>
      <c r="Y277" s="17">
        <v>485</v>
      </c>
      <c r="Z277" s="305" t="s">
        <v>6204</v>
      </c>
      <c r="AA277" s="16">
        <v>294</v>
      </c>
      <c r="AB277" s="16">
        <v>250</v>
      </c>
      <c r="AC277" s="288">
        <v>25</v>
      </c>
      <c r="AD277" s="16">
        <v>8</v>
      </c>
      <c r="AE277" s="16">
        <v>1200</v>
      </c>
      <c r="AF277" s="305" t="s">
        <v>6292</v>
      </c>
      <c r="AG277" s="16">
        <f>INDEX('[2]Cross-Section Database'!$C$2:$V$2928,MATCH(AF277,'[2]Cross-Section Database'!$B$2:$B$2928,0),3)</f>
        <v>294</v>
      </c>
      <c r="AH277" s="16">
        <f>INDEX('[2]Cross-Section Database'!$C$2:$V$2928,MATCH(AF277,'[2]Cross-Section Database'!$B$2:$B$2928,0),4)</f>
        <v>200</v>
      </c>
      <c r="AI277" s="16">
        <f>INDEX('[2]Cross-Section Database'!$C$2:$V$2928,MATCH(AF277,'[2]Cross-Section Database'!$B$2:$B$2928,0),6)</f>
        <v>12</v>
      </c>
      <c r="AJ277" s="16">
        <f>INDEX('[2]Cross-Section Database'!$C$2:$V$2928,MATCH(AF277,'[2]Cross-Section Database'!$B$2:$B$2928,0),5)</f>
        <v>8</v>
      </c>
      <c r="AK277" s="16">
        <v>1000</v>
      </c>
      <c r="AL277" s="16">
        <f>INDEX('[2]Cross-Section Database'!$C$2:$V$3928,MATCH(AF277,'[2]Cross-Section Database'!$B$2:$B$3928,0),11)</f>
        <v>111000000</v>
      </c>
      <c r="AM277" s="26">
        <f>INDEX('[2]Cross-Section Database'!$C$2:$V$3928,MATCH(AF277,'[2]Cross-Section Database'!$B$2:$B$3928,0),12)</f>
        <v>842000</v>
      </c>
      <c r="AN277" s="16">
        <v>20</v>
      </c>
      <c r="AO277" s="16">
        <v>200</v>
      </c>
      <c r="AP277" s="16">
        <v>320</v>
      </c>
      <c r="AQ277" s="16">
        <f>(AP277-AG277)-AR277</f>
        <v>13</v>
      </c>
      <c r="AR277" s="16">
        <f>(AP277-AG277)/2</f>
        <v>13</v>
      </c>
      <c r="AS277" s="305" t="s">
        <v>5807</v>
      </c>
      <c r="AT277" s="162" t="s">
        <v>6134</v>
      </c>
      <c r="AU277" s="16" t="s">
        <v>6134</v>
      </c>
      <c r="AV277" s="162">
        <v>20</v>
      </c>
      <c r="AW277" s="162">
        <f t="shared" si="135"/>
        <v>245</v>
      </c>
      <c r="AX277" s="16">
        <v>72</v>
      </c>
      <c r="AY277" s="16">
        <v>72</v>
      </c>
      <c r="AZ277" s="16">
        <v>88</v>
      </c>
      <c r="BA277" s="16">
        <v>108</v>
      </c>
      <c r="BB277" s="16">
        <v>0</v>
      </c>
      <c r="BC277" s="22" t="s">
        <v>4470</v>
      </c>
      <c r="BD277" s="162" t="s">
        <v>6209</v>
      </c>
      <c r="BE277" s="162" t="s">
        <v>6209</v>
      </c>
      <c r="BF277" s="162">
        <v>4</v>
      </c>
      <c r="BG277" s="17">
        <v>6</v>
      </c>
      <c r="BH277" s="200" t="s">
        <v>5792</v>
      </c>
      <c r="BI277" s="201" t="s">
        <v>5792</v>
      </c>
      <c r="BJ277" s="201" t="s">
        <v>5792</v>
      </c>
      <c r="BK277" s="201" t="s">
        <v>5792</v>
      </c>
      <c r="BL277" s="201" t="s">
        <v>5792</v>
      </c>
      <c r="BM277" s="201" t="s">
        <v>5792</v>
      </c>
      <c r="BN277" s="201" t="s">
        <v>5792</v>
      </c>
      <c r="BO277" s="201" t="s">
        <v>5792</v>
      </c>
      <c r="BP277" s="200" t="s">
        <v>5792</v>
      </c>
      <c r="BQ277" s="201" t="s">
        <v>5792</v>
      </c>
      <c r="BR277" s="201" t="s">
        <v>5792</v>
      </c>
      <c r="BS277" s="201" t="s">
        <v>5792</v>
      </c>
      <c r="BT277" s="201" t="s">
        <v>5792</v>
      </c>
      <c r="BU277" s="201" t="s">
        <v>5792</v>
      </c>
      <c r="BV277" s="219" t="s">
        <v>5792</v>
      </c>
      <c r="BW277" s="201" t="s">
        <v>5792</v>
      </c>
      <c r="BX277" s="201" t="s">
        <v>5792</v>
      </c>
      <c r="BY277" s="201" t="s">
        <v>5792</v>
      </c>
      <c r="BZ277" s="201" t="s">
        <v>5792</v>
      </c>
      <c r="CA277" s="201" t="s">
        <v>5792</v>
      </c>
      <c r="CB277" s="219" t="s">
        <v>5792</v>
      </c>
      <c r="CC277" s="162" t="s">
        <v>6327</v>
      </c>
      <c r="CD277" s="162">
        <v>345</v>
      </c>
      <c r="CE277" s="12">
        <v>409</v>
      </c>
      <c r="CF277" s="194">
        <v>490</v>
      </c>
      <c r="CG277" s="39">
        <v>536.6</v>
      </c>
      <c r="CH277" s="80">
        <v>192061.5</v>
      </c>
      <c r="CI277" s="305" t="s">
        <v>6327</v>
      </c>
      <c r="CJ277" s="65">
        <v>345</v>
      </c>
      <c r="CK277" s="16">
        <v>409</v>
      </c>
      <c r="CL277" s="65">
        <v>490</v>
      </c>
      <c r="CM277" s="16">
        <v>536.6</v>
      </c>
      <c r="CN277" s="81">
        <v>192061.5</v>
      </c>
      <c r="CO277" s="305" t="s">
        <v>6327</v>
      </c>
      <c r="CP277" s="162">
        <v>345</v>
      </c>
      <c r="CQ277" s="16">
        <v>372.6</v>
      </c>
      <c r="CR277" s="162">
        <v>490</v>
      </c>
      <c r="CS277" s="16">
        <v>537</v>
      </c>
      <c r="CT277" s="81">
        <v>188671</v>
      </c>
      <c r="CU277" s="204" t="s">
        <v>5792</v>
      </c>
      <c r="CV277" s="205" t="s">
        <v>5792</v>
      </c>
      <c r="CW277" s="205" t="s">
        <v>5792</v>
      </c>
      <c r="CX277" s="206" t="s">
        <v>5792</v>
      </c>
      <c r="CY277" s="204" t="s">
        <v>5792</v>
      </c>
      <c r="CZ277" s="205" t="s">
        <v>5792</v>
      </c>
      <c r="DA277" s="206" t="s">
        <v>5792</v>
      </c>
      <c r="DB277" s="282" t="s">
        <v>5792</v>
      </c>
      <c r="DC277" s="162">
        <v>10.9</v>
      </c>
      <c r="DD277" s="162">
        <v>900</v>
      </c>
      <c r="DE277" s="162">
        <v>995</v>
      </c>
      <c r="DF277" s="162">
        <v>1000</v>
      </c>
      <c r="DG277" s="162">
        <v>1161</v>
      </c>
      <c r="DH277" s="94">
        <v>206000</v>
      </c>
      <c r="DI277" s="28" t="s">
        <v>5832</v>
      </c>
      <c r="DJ277" s="162" t="s">
        <v>4435</v>
      </c>
      <c r="DK277" s="296" t="s">
        <v>4566</v>
      </c>
    </row>
    <row r="278" spans="1:115" ht="15.6" customHeight="1" thickBot="1">
      <c r="A278" s="306">
        <v>273</v>
      </c>
      <c r="B278" s="327"/>
      <c r="C278" s="327"/>
      <c r="D278" s="344"/>
      <c r="E278" s="344"/>
      <c r="F278" s="327"/>
      <c r="G278" s="338"/>
      <c r="H278" s="338"/>
      <c r="I278" s="338"/>
      <c r="J278" s="321" t="s">
        <v>4744</v>
      </c>
      <c r="K278" s="306" t="s">
        <v>6318</v>
      </c>
      <c r="L278" s="163" t="s">
        <v>6059</v>
      </c>
      <c r="M278" s="306" t="s">
        <v>4509</v>
      </c>
      <c r="N278" s="163" t="s">
        <v>4703</v>
      </c>
      <c r="O278" s="18" t="s">
        <v>4507</v>
      </c>
      <c r="P278" s="163" t="s">
        <v>6312</v>
      </c>
      <c r="Q278" s="163" t="s">
        <v>4420</v>
      </c>
      <c r="R278" s="163" t="s">
        <v>6169</v>
      </c>
      <c r="S278" s="163">
        <v>12</v>
      </c>
      <c r="T278" s="163" t="s">
        <v>4420</v>
      </c>
      <c r="U278" s="163" t="s">
        <v>5792</v>
      </c>
      <c r="V278" s="163" t="s">
        <v>4560</v>
      </c>
      <c r="W278" s="89">
        <v>0</v>
      </c>
      <c r="X278" s="230">
        <v>0</v>
      </c>
      <c r="Y278" s="18">
        <v>485</v>
      </c>
      <c r="Z278" s="143" t="s">
        <v>6204</v>
      </c>
      <c r="AA278" s="21">
        <v>294</v>
      </c>
      <c r="AB278" s="21">
        <v>250</v>
      </c>
      <c r="AC278" s="289">
        <v>25</v>
      </c>
      <c r="AD278" s="21">
        <v>8</v>
      </c>
      <c r="AE278" s="23">
        <v>1200</v>
      </c>
      <c r="AF278" s="143" t="s">
        <v>4711</v>
      </c>
      <c r="AG278" s="23">
        <f>INDEX('[2]Cross-Section Database'!$C$2:$V$2928,MATCH(AF278,'[2]Cross-Section Database'!$B$2:$B$2928,0),3)</f>
        <v>294</v>
      </c>
      <c r="AH278" s="23">
        <f>INDEX('[2]Cross-Section Database'!$C$2:$V$2928,MATCH(AF278,'[2]Cross-Section Database'!$B$2:$B$2928,0),4)</f>
        <v>200</v>
      </c>
      <c r="AI278" s="23">
        <f>INDEX('[2]Cross-Section Database'!$C$2:$V$2928,MATCH(AF278,'[2]Cross-Section Database'!$B$2:$B$2928,0),6)</f>
        <v>12</v>
      </c>
      <c r="AJ278" s="23">
        <f>INDEX('[2]Cross-Section Database'!$C$2:$V$2928,MATCH(AF278,'[2]Cross-Section Database'!$B$2:$B$2928,0),5)</f>
        <v>8</v>
      </c>
      <c r="AK278" s="23">
        <v>1000</v>
      </c>
      <c r="AL278" s="23">
        <f>INDEX('[2]Cross-Section Database'!$C$2:$V$3928,MATCH(AF278,'[2]Cross-Section Database'!$B$2:$B$3928,0),11)</f>
        <v>111000000</v>
      </c>
      <c r="AM278" s="25">
        <f>INDEX('[2]Cross-Section Database'!$C$2:$V$3928,MATCH(AF278,'[2]Cross-Section Database'!$B$2:$B$3928,0),12)</f>
        <v>842000</v>
      </c>
      <c r="AN278" s="23">
        <v>20</v>
      </c>
      <c r="AO278" s="23">
        <v>200</v>
      </c>
      <c r="AP278" s="23">
        <v>320</v>
      </c>
      <c r="AQ278" s="23">
        <f>(AP278-AG278)-AR278</f>
        <v>13</v>
      </c>
      <c r="AR278" s="23">
        <f>(AP278-AG278)/2</f>
        <v>13</v>
      </c>
      <c r="AS278" s="143" t="s">
        <v>5807</v>
      </c>
      <c r="AT278" s="164" t="s">
        <v>4503</v>
      </c>
      <c r="AU278" s="23">
        <v>199</v>
      </c>
      <c r="AV278" s="164">
        <v>20</v>
      </c>
      <c r="AW278" s="164">
        <f t="shared" si="135"/>
        <v>245</v>
      </c>
      <c r="AX278" s="23">
        <v>72</v>
      </c>
      <c r="AY278" s="23">
        <v>72</v>
      </c>
      <c r="AZ278" s="23">
        <v>88</v>
      </c>
      <c r="BA278" s="23">
        <v>108</v>
      </c>
      <c r="BB278" s="23">
        <v>0</v>
      </c>
      <c r="BC278" s="19" t="s">
        <v>4470</v>
      </c>
      <c r="BD278" s="164" t="s">
        <v>6209</v>
      </c>
      <c r="BE278" s="164" t="s">
        <v>6209</v>
      </c>
      <c r="BF278" s="164">
        <v>4</v>
      </c>
      <c r="BG278" s="14">
        <v>6</v>
      </c>
      <c r="BH278" s="197" t="s">
        <v>5792</v>
      </c>
      <c r="BI278" s="198" t="s">
        <v>5792</v>
      </c>
      <c r="BJ278" s="198" t="s">
        <v>5792</v>
      </c>
      <c r="BK278" s="198" t="s">
        <v>5792</v>
      </c>
      <c r="BL278" s="198" t="s">
        <v>5792</v>
      </c>
      <c r="BM278" s="198" t="s">
        <v>5792</v>
      </c>
      <c r="BN278" s="198" t="s">
        <v>5792</v>
      </c>
      <c r="BO278" s="198" t="s">
        <v>5792</v>
      </c>
      <c r="BP278" s="197" t="s">
        <v>5792</v>
      </c>
      <c r="BQ278" s="198" t="s">
        <v>5792</v>
      </c>
      <c r="BR278" s="198" t="s">
        <v>5792</v>
      </c>
      <c r="BS278" s="198" t="s">
        <v>5792</v>
      </c>
      <c r="BT278" s="198" t="s">
        <v>5792</v>
      </c>
      <c r="BU278" s="198" t="s">
        <v>5792</v>
      </c>
      <c r="BV278" s="220" t="s">
        <v>5792</v>
      </c>
      <c r="BW278" s="198" t="s">
        <v>5792</v>
      </c>
      <c r="BX278" s="198" t="s">
        <v>5792</v>
      </c>
      <c r="BY278" s="198" t="s">
        <v>5792</v>
      </c>
      <c r="BZ278" s="198" t="s">
        <v>5792</v>
      </c>
      <c r="CA278" s="198" t="s">
        <v>5792</v>
      </c>
      <c r="CB278" s="220" t="s">
        <v>5792</v>
      </c>
      <c r="CC278" s="164" t="s">
        <v>6327</v>
      </c>
      <c r="CD278" s="164">
        <v>345</v>
      </c>
      <c r="CE278" s="13">
        <v>409</v>
      </c>
      <c r="CF278" s="74">
        <v>490</v>
      </c>
      <c r="CG278" s="36">
        <v>536.6</v>
      </c>
      <c r="CH278" s="75">
        <v>192061.5</v>
      </c>
      <c r="CI278" s="306" t="s">
        <v>6327</v>
      </c>
      <c r="CJ278" s="60">
        <v>345</v>
      </c>
      <c r="CK278" s="21">
        <v>409</v>
      </c>
      <c r="CL278" s="60">
        <v>490</v>
      </c>
      <c r="CM278" s="21">
        <v>536.6</v>
      </c>
      <c r="CN278" s="69">
        <v>192061.5</v>
      </c>
      <c r="CO278" s="306" t="s">
        <v>6327</v>
      </c>
      <c r="CP278" s="163">
        <v>345</v>
      </c>
      <c r="CQ278" s="21">
        <v>372.6</v>
      </c>
      <c r="CR278" s="163">
        <v>490</v>
      </c>
      <c r="CS278" s="21">
        <v>537</v>
      </c>
      <c r="CT278" s="69">
        <v>188671</v>
      </c>
      <c r="CU278" s="210" t="s">
        <v>5792</v>
      </c>
      <c r="CV278" s="211" t="s">
        <v>5792</v>
      </c>
      <c r="CW278" s="211" t="s">
        <v>5792</v>
      </c>
      <c r="CX278" s="212" t="s">
        <v>5792</v>
      </c>
      <c r="CY278" s="210" t="s">
        <v>5792</v>
      </c>
      <c r="CZ278" s="211" t="s">
        <v>5792</v>
      </c>
      <c r="DA278" s="212" t="s">
        <v>5792</v>
      </c>
      <c r="DB278" s="284" t="s">
        <v>5792</v>
      </c>
      <c r="DC278" s="164">
        <v>10.9</v>
      </c>
      <c r="DD278" s="164">
        <v>900</v>
      </c>
      <c r="DE278" s="164">
        <v>995</v>
      </c>
      <c r="DF278" s="164">
        <v>1000</v>
      </c>
      <c r="DG278" s="164">
        <v>1161</v>
      </c>
      <c r="DH278" s="97">
        <v>206000</v>
      </c>
      <c r="DI278" s="27" t="s">
        <v>5838</v>
      </c>
      <c r="DJ278" s="163" t="s">
        <v>4435</v>
      </c>
      <c r="DK278" s="297" t="s">
        <v>4566</v>
      </c>
    </row>
    <row r="279" spans="1:115" ht="15.6" customHeight="1">
      <c r="A279" s="305">
        <v>274</v>
      </c>
      <c r="B279" s="325">
        <v>39</v>
      </c>
      <c r="C279" s="325">
        <v>2007</v>
      </c>
      <c r="D279" s="342" t="s">
        <v>5995</v>
      </c>
      <c r="E279" s="342" t="s">
        <v>4874</v>
      </c>
      <c r="F279" s="325">
        <v>3</v>
      </c>
      <c r="G279" s="336" t="s">
        <v>5922</v>
      </c>
      <c r="H279" s="336" t="s">
        <v>5920</v>
      </c>
      <c r="I279" s="336" t="s">
        <v>6249</v>
      </c>
      <c r="J279" s="322" t="s">
        <v>4622</v>
      </c>
      <c r="K279" s="305" t="s">
        <v>6318</v>
      </c>
      <c r="L279" s="162" t="s">
        <v>6059</v>
      </c>
      <c r="M279" s="305" t="s">
        <v>4508</v>
      </c>
      <c r="N279" s="162" t="s">
        <v>4700</v>
      </c>
      <c r="O279" s="17" t="s">
        <v>4507</v>
      </c>
      <c r="P279" s="162" t="s">
        <v>4420</v>
      </c>
      <c r="Q279" s="162" t="s">
        <v>4420</v>
      </c>
      <c r="R279" s="162" t="s">
        <v>4420</v>
      </c>
      <c r="S279" s="162" t="s">
        <v>5792</v>
      </c>
      <c r="T279" s="162" t="s">
        <v>4420</v>
      </c>
      <c r="U279" s="162" t="s">
        <v>5792</v>
      </c>
      <c r="V279" s="30" t="s">
        <v>4559</v>
      </c>
      <c r="W279" s="88">
        <v>6</v>
      </c>
      <c r="X279" s="239">
        <v>0</v>
      </c>
      <c r="Y279" s="17">
        <v>0</v>
      </c>
      <c r="Z279" s="305" t="s">
        <v>4745</v>
      </c>
      <c r="AA279" s="16">
        <f>INDEX('[2]Cross-Section Database'!$C$2:$V$2928,MATCH(Z279,'[2]Cross-Section Database'!$B$2:$B$2928,0),3)</f>
        <v>200</v>
      </c>
      <c r="AB279" s="16">
        <f>INDEX('[2]Cross-Section Database'!$C$2:$V$2928,MATCH(Z279,'[2]Cross-Section Database'!$B$2:$B$2928,0),4)</f>
        <v>200</v>
      </c>
      <c r="AC279" s="16">
        <f>INDEX('[2]Cross-Section Database'!$C$2:$V$2928,MATCH(Z279,'[2]Cross-Section Database'!$B$2:$B$2928,0),6)</f>
        <v>12</v>
      </c>
      <c r="AD279" s="16">
        <f>INDEX('[2]Cross-Section Database'!$C$2:$V$2928,MATCH(Z279,'[2]Cross-Section Database'!$B$2:$B$2928,0),5)</f>
        <v>8</v>
      </c>
      <c r="AE279" s="31">
        <v>3000</v>
      </c>
      <c r="AF279" s="305" t="s">
        <v>4746</v>
      </c>
      <c r="AG279" s="16">
        <v>300</v>
      </c>
      <c r="AH279" s="16">
        <v>150</v>
      </c>
      <c r="AI279" s="16">
        <v>10</v>
      </c>
      <c r="AJ279" s="16">
        <v>6</v>
      </c>
      <c r="AK279" s="16">
        <v>1479</v>
      </c>
      <c r="AL279" s="16">
        <f>AH279*AG279^3/12-(AH279-AJ279)*(AG279-2*AI279)^3/12</f>
        <v>74076000</v>
      </c>
      <c r="AM279" s="24">
        <f>AH279*AG279^2/4-(AH279-AJ279)*(AG279-2*AI279)^2/4</f>
        <v>552600</v>
      </c>
      <c r="AN279" s="16">
        <v>10</v>
      </c>
      <c r="AO279" s="16">
        <v>150</v>
      </c>
      <c r="AP279" s="16">
        <v>300</v>
      </c>
      <c r="AQ279" s="16">
        <f>(AP279-AG279)-AR279</f>
        <v>0</v>
      </c>
      <c r="AR279" s="16">
        <f>(AP279-AG279)/2</f>
        <v>0</v>
      </c>
      <c r="AS279" s="305" t="s">
        <v>5807</v>
      </c>
      <c r="AT279" s="162" t="s">
        <v>6134</v>
      </c>
      <c r="AU279" s="162" t="s">
        <v>6134</v>
      </c>
      <c r="AV279" s="162">
        <v>20</v>
      </c>
      <c r="AW279" s="162">
        <f t="shared" si="135"/>
        <v>245</v>
      </c>
      <c r="AX279" s="31">
        <v>45</v>
      </c>
      <c r="AY279" s="31">
        <v>45</v>
      </c>
      <c r="AZ279" s="16">
        <v>70</v>
      </c>
      <c r="BA279" s="16">
        <v>90</v>
      </c>
      <c r="BB279" s="16">
        <v>70</v>
      </c>
      <c r="BC279" s="22" t="s">
        <v>6312</v>
      </c>
      <c r="BD279" s="162" t="s">
        <v>4465</v>
      </c>
      <c r="BE279" s="162" t="s">
        <v>4465</v>
      </c>
      <c r="BF279" s="162">
        <v>4</v>
      </c>
      <c r="BG279" s="17">
        <v>8</v>
      </c>
      <c r="BH279" s="200" t="s">
        <v>5792</v>
      </c>
      <c r="BI279" s="201" t="s">
        <v>5792</v>
      </c>
      <c r="BJ279" s="201" t="s">
        <v>5792</v>
      </c>
      <c r="BK279" s="201" t="s">
        <v>5792</v>
      </c>
      <c r="BL279" s="201" t="s">
        <v>5792</v>
      </c>
      <c r="BM279" s="201" t="s">
        <v>5792</v>
      </c>
      <c r="BN279" s="201" t="s">
        <v>5792</v>
      </c>
      <c r="BO279" s="201" t="s">
        <v>5792</v>
      </c>
      <c r="BP279" s="200" t="s">
        <v>5792</v>
      </c>
      <c r="BQ279" s="201" t="s">
        <v>5792</v>
      </c>
      <c r="BR279" s="201" t="s">
        <v>5792</v>
      </c>
      <c r="BS279" s="201" t="s">
        <v>5792</v>
      </c>
      <c r="BT279" s="201" t="s">
        <v>5792</v>
      </c>
      <c r="BU279" s="201" t="s">
        <v>5792</v>
      </c>
      <c r="BV279" s="219" t="s">
        <v>5792</v>
      </c>
      <c r="BW279" s="201" t="s">
        <v>5792</v>
      </c>
      <c r="BX279" s="201" t="s">
        <v>5792</v>
      </c>
      <c r="BY279" s="201" t="s">
        <v>5792</v>
      </c>
      <c r="BZ279" s="201" t="s">
        <v>5792</v>
      </c>
      <c r="CA279" s="201" t="s">
        <v>5792</v>
      </c>
      <c r="CB279" s="224" t="s">
        <v>5792</v>
      </c>
      <c r="CC279" s="305" t="s">
        <v>6327</v>
      </c>
      <c r="CD279" s="162">
        <v>345</v>
      </c>
      <c r="CE279" s="16">
        <v>406.45</v>
      </c>
      <c r="CF279" s="194">
        <v>490</v>
      </c>
      <c r="CG279" s="16">
        <v>495.23329999999999</v>
      </c>
      <c r="CH279" s="81">
        <v>210000</v>
      </c>
      <c r="CI279" s="305" t="s">
        <v>6327</v>
      </c>
      <c r="CJ279" s="65">
        <v>345</v>
      </c>
      <c r="CK279" s="16">
        <v>407.05</v>
      </c>
      <c r="CL279" s="65">
        <v>490</v>
      </c>
      <c r="CM279" s="16">
        <v>533.63329999999996</v>
      </c>
      <c r="CN279" s="81">
        <v>206667</v>
      </c>
      <c r="CO279" s="305" t="s">
        <v>6327</v>
      </c>
      <c r="CP279" s="162">
        <v>345</v>
      </c>
      <c r="CQ279" s="16">
        <v>418.73329999999999</v>
      </c>
      <c r="CR279" s="162">
        <v>490</v>
      </c>
      <c r="CS279" s="16">
        <v>502.9667</v>
      </c>
      <c r="CT279" s="81">
        <v>212333</v>
      </c>
      <c r="CU279" s="204" t="s">
        <v>5792</v>
      </c>
      <c r="CV279" s="205" t="s">
        <v>5792</v>
      </c>
      <c r="CW279" s="205" t="s">
        <v>5792</v>
      </c>
      <c r="CX279" s="206" t="s">
        <v>5792</v>
      </c>
      <c r="CY279" s="205" t="s">
        <v>5792</v>
      </c>
      <c r="CZ279" s="205" t="s">
        <v>5792</v>
      </c>
      <c r="DA279" s="206" t="s">
        <v>5792</v>
      </c>
      <c r="DB279" s="282" t="s">
        <v>5792</v>
      </c>
      <c r="DC279" s="162">
        <v>10.9</v>
      </c>
      <c r="DD279" s="302">
        <v>900</v>
      </c>
      <c r="DE279" s="30">
        <v>990</v>
      </c>
      <c r="DF279" s="302">
        <v>1000</v>
      </c>
      <c r="DG279" s="30">
        <v>1100</v>
      </c>
      <c r="DH279" s="66">
        <v>200000</v>
      </c>
      <c r="DI279" s="28" t="s">
        <v>6011</v>
      </c>
      <c r="DJ279" s="162" t="s">
        <v>4435</v>
      </c>
      <c r="DK279" s="296" t="s">
        <v>4566</v>
      </c>
    </row>
    <row r="280" spans="1:115">
      <c r="A280" s="306">
        <v>275</v>
      </c>
      <c r="B280" s="326"/>
      <c r="C280" s="326"/>
      <c r="D280" s="343"/>
      <c r="E280" s="343"/>
      <c r="F280" s="326"/>
      <c r="G280" s="337"/>
      <c r="H280" s="337"/>
      <c r="I280" s="337"/>
      <c r="J280" s="317" t="s">
        <v>4598</v>
      </c>
      <c r="K280" s="306" t="s">
        <v>6318</v>
      </c>
      <c r="L280" s="163" t="s">
        <v>6059</v>
      </c>
      <c r="M280" s="306" t="s">
        <v>4508</v>
      </c>
      <c r="N280" s="163" t="s">
        <v>4700</v>
      </c>
      <c r="O280" s="18" t="s">
        <v>4507</v>
      </c>
      <c r="P280" s="163" t="s">
        <v>4470</v>
      </c>
      <c r="Q280" s="163" t="s">
        <v>4420</v>
      </c>
      <c r="R280" s="163" t="s">
        <v>6169</v>
      </c>
      <c r="S280" s="163">
        <v>10</v>
      </c>
      <c r="T280" s="163" t="s">
        <v>4420</v>
      </c>
      <c r="U280" s="163" t="s">
        <v>5792</v>
      </c>
      <c r="V280" s="32" t="s">
        <v>4559</v>
      </c>
      <c r="W280" s="73">
        <v>6</v>
      </c>
      <c r="X280" s="230">
        <v>0</v>
      </c>
      <c r="Y280" s="18">
        <v>0</v>
      </c>
      <c r="Z280" s="306" t="s">
        <v>4745</v>
      </c>
      <c r="AA280" s="21">
        <f>INDEX('[2]Cross-Section Database'!$C$2:$V$2928,MATCH(Z280,'[2]Cross-Section Database'!$B$2:$B$2928,0),3)</f>
        <v>200</v>
      </c>
      <c r="AB280" s="21">
        <f>INDEX('[2]Cross-Section Database'!$C$2:$V$2928,MATCH(Z280,'[2]Cross-Section Database'!$B$2:$B$2928,0),4)</f>
        <v>200</v>
      </c>
      <c r="AC280" s="21">
        <f>INDEX('[2]Cross-Section Database'!$C$2:$V$2928,MATCH(Z280,'[2]Cross-Section Database'!$B$2:$B$2928,0),6)</f>
        <v>12</v>
      </c>
      <c r="AD280" s="21">
        <f>INDEX('[2]Cross-Section Database'!$C$2:$V$2928,MATCH(Z280,'[2]Cross-Section Database'!$B$2:$B$2928,0),5)</f>
        <v>8</v>
      </c>
      <c r="AE280" s="33">
        <v>3000</v>
      </c>
      <c r="AF280" s="306" t="s">
        <v>4746</v>
      </c>
      <c r="AG280" s="21">
        <v>300</v>
      </c>
      <c r="AH280" s="21">
        <v>150</v>
      </c>
      <c r="AI280" s="21">
        <v>10</v>
      </c>
      <c r="AJ280" s="21">
        <v>6</v>
      </c>
      <c r="AK280" s="21">
        <v>1479</v>
      </c>
      <c r="AL280" s="21">
        <f>AH280*AG280^3/12-(AH280-AJ280)*(AG280-2*AI280)^3/12</f>
        <v>74076000</v>
      </c>
      <c r="AM280" s="24">
        <f>AH280*AG280^2/4-(AH280-AJ280)*(AG280-2*AI280)^2/4</f>
        <v>552600</v>
      </c>
      <c r="AN280" s="21">
        <v>10</v>
      </c>
      <c r="AO280" s="21">
        <v>150</v>
      </c>
      <c r="AP280" s="21">
        <v>300</v>
      </c>
      <c r="AQ280" s="21">
        <f>(AP280-AG280)-AR280</f>
        <v>0</v>
      </c>
      <c r="AR280" s="21">
        <f>(AP280-AG280)/2</f>
        <v>0</v>
      </c>
      <c r="AS280" s="306" t="s">
        <v>5807</v>
      </c>
      <c r="AT280" s="163" t="s">
        <v>6134</v>
      </c>
      <c r="AU280" s="163" t="s">
        <v>6134</v>
      </c>
      <c r="AV280" s="163">
        <v>20</v>
      </c>
      <c r="AW280" s="163">
        <f t="shared" si="135"/>
        <v>245</v>
      </c>
      <c r="AX280" s="33">
        <v>45</v>
      </c>
      <c r="AY280" s="33">
        <v>45</v>
      </c>
      <c r="AZ280" s="21">
        <v>70</v>
      </c>
      <c r="BA280" s="21">
        <v>90</v>
      </c>
      <c r="BB280" s="21">
        <v>70</v>
      </c>
      <c r="BC280" s="15" t="s">
        <v>6312</v>
      </c>
      <c r="BD280" s="163" t="s">
        <v>4465</v>
      </c>
      <c r="BE280" s="163" t="s">
        <v>4465</v>
      </c>
      <c r="BF280" s="163">
        <v>4</v>
      </c>
      <c r="BG280" s="18">
        <v>8</v>
      </c>
      <c r="BH280" s="306">
        <v>140</v>
      </c>
      <c r="BI280" s="163">
        <v>1200</v>
      </c>
      <c r="BJ280" s="163" t="s">
        <v>6195</v>
      </c>
      <c r="BK280" s="163">
        <v>0.8</v>
      </c>
      <c r="BL280" s="163">
        <v>145</v>
      </c>
      <c r="BM280" s="163">
        <v>983</v>
      </c>
      <c r="BN280" s="163">
        <v>76</v>
      </c>
      <c r="BO280" s="163" t="s">
        <v>4591</v>
      </c>
      <c r="BP280" s="306" t="s">
        <v>5856</v>
      </c>
      <c r="BQ280" s="163">
        <v>14</v>
      </c>
      <c r="BR280" s="163">
        <v>2</v>
      </c>
      <c r="BS280" s="32">
        <v>19</v>
      </c>
      <c r="BT280" s="163">
        <v>90</v>
      </c>
      <c r="BU280" s="163">
        <v>200</v>
      </c>
      <c r="BV280" s="18">
        <v>350</v>
      </c>
      <c r="BW280" s="163" t="s">
        <v>4747</v>
      </c>
      <c r="BX280" s="163" t="s">
        <v>6121</v>
      </c>
      <c r="BY280" s="21">
        <f>((BI280/200)+1)*PI()*6^2/4</f>
        <v>197.92033717615698</v>
      </c>
      <c r="BZ280" s="21">
        <f>8*PI()*10^2/4</f>
        <v>628.31853071795865</v>
      </c>
      <c r="CA280" s="163">
        <v>20</v>
      </c>
      <c r="CB280" s="121">
        <v>8.0999999999999996E-3</v>
      </c>
      <c r="CC280" s="306" t="s">
        <v>6327</v>
      </c>
      <c r="CD280" s="163">
        <v>345</v>
      </c>
      <c r="CE280" s="21">
        <v>406.45</v>
      </c>
      <c r="CF280" s="63">
        <v>490</v>
      </c>
      <c r="CG280" s="21">
        <v>495.23329999999999</v>
      </c>
      <c r="CH280" s="69">
        <v>210000</v>
      </c>
      <c r="CI280" s="306" t="s">
        <v>6327</v>
      </c>
      <c r="CJ280" s="60">
        <v>345</v>
      </c>
      <c r="CK280" s="21">
        <v>407.05</v>
      </c>
      <c r="CL280" s="60">
        <v>490</v>
      </c>
      <c r="CM280" s="21">
        <v>533.63329999999996</v>
      </c>
      <c r="CN280" s="69">
        <v>206667</v>
      </c>
      <c r="CO280" s="306" t="s">
        <v>6327</v>
      </c>
      <c r="CP280" s="163">
        <v>345</v>
      </c>
      <c r="CQ280" s="21">
        <v>418.73329999999999</v>
      </c>
      <c r="CR280" s="163">
        <v>490</v>
      </c>
      <c r="CS280" s="21">
        <v>502.9667</v>
      </c>
      <c r="CT280" s="69">
        <v>212333</v>
      </c>
      <c r="CU280" s="306" t="s">
        <v>5796</v>
      </c>
      <c r="CV280" s="21">
        <v>41.48</v>
      </c>
      <c r="CW280" s="33">
        <v>2.9</v>
      </c>
      <c r="CX280" s="69">
        <v>41429</v>
      </c>
      <c r="CY280" s="21">
        <v>446.77</v>
      </c>
      <c r="CZ280" s="64">
        <v>588.16999999999996</v>
      </c>
      <c r="DA280" s="69">
        <v>192000</v>
      </c>
      <c r="DB280" s="286">
        <v>345</v>
      </c>
      <c r="DC280" s="163">
        <v>10.9</v>
      </c>
      <c r="DD280" s="303">
        <v>900</v>
      </c>
      <c r="DE280" s="32">
        <v>990</v>
      </c>
      <c r="DF280" s="303">
        <v>1000</v>
      </c>
      <c r="DG280" s="32">
        <v>1100</v>
      </c>
      <c r="DH280" s="67">
        <v>200000</v>
      </c>
      <c r="DI280" s="29" t="s">
        <v>5850</v>
      </c>
      <c r="DJ280" s="306" t="s">
        <v>4435</v>
      </c>
      <c r="DK280" s="297" t="s">
        <v>4566</v>
      </c>
    </row>
    <row r="281" spans="1:115" ht="15.6" customHeight="1" thickBot="1">
      <c r="A281" s="143">
        <v>276</v>
      </c>
      <c r="B281" s="327"/>
      <c r="C281" s="327"/>
      <c r="D281" s="344"/>
      <c r="E281" s="344"/>
      <c r="F281" s="327"/>
      <c r="G281" s="338"/>
      <c r="H281" s="338"/>
      <c r="I281" s="338"/>
      <c r="J281" s="318" t="s">
        <v>4599</v>
      </c>
      <c r="K281" s="143" t="s">
        <v>6318</v>
      </c>
      <c r="L281" s="164" t="s">
        <v>6059</v>
      </c>
      <c r="M281" s="143" t="s">
        <v>4508</v>
      </c>
      <c r="N281" s="164" t="s">
        <v>4700</v>
      </c>
      <c r="O281" s="14" t="s">
        <v>4507</v>
      </c>
      <c r="P281" s="164" t="s">
        <v>4470</v>
      </c>
      <c r="Q281" s="164" t="s">
        <v>4420</v>
      </c>
      <c r="R281" s="164" t="s">
        <v>4420</v>
      </c>
      <c r="S281" s="164" t="s">
        <v>5792</v>
      </c>
      <c r="T281" s="164" t="s">
        <v>4420</v>
      </c>
      <c r="U281" s="164" t="s">
        <v>5792</v>
      </c>
      <c r="V281" s="34" t="s">
        <v>4559</v>
      </c>
      <c r="W281" s="118">
        <v>6</v>
      </c>
      <c r="X281" s="235">
        <v>0</v>
      </c>
      <c r="Y281" s="14">
        <v>0</v>
      </c>
      <c r="Z281" s="143" t="s">
        <v>4745</v>
      </c>
      <c r="AA281" s="23">
        <f>INDEX('[2]Cross-Section Database'!$C$2:$V$2928,MATCH(Z281,'[2]Cross-Section Database'!$B$2:$B$2928,0),3)</f>
        <v>200</v>
      </c>
      <c r="AB281" s="23">
        <f>INDEX('[2]Cross-Section Database'!$C$2:$V$2928,MATCH(Z281,'[2]Cross-Section Database'!$B$2:$B$2928,0),4)</f>
        <v>200</v>
      </c>
      <c r="AC281" s="23">
        <f>INDEX('[2]Cross-Section Database'!$C$2:$V$2928,MATCH(Z281,'[2]Cross-Section Database'!$B$2:$B$2928,0),6)</f>
        <v>12</v>
      </c>
      <c r="AD281" s="23">
        <f>INDEX('[2]Cross-Section Database'!$C$2:$V$2928,MATCH(Z281,'[2]Cross-Section Database'!$B$2:$B$2928,0),5)</f>
        <v>8</v>
      </c>
      <c r="AE281" s="35">
        <v>3000</v>
      </c>
      <c r="AF281" s="143" t="s">
        <v>4746</v>
      </c>
      <c r="AG281" s="23">
        <v>300</v>
      </c>
      <c r="AH281" s="23">
        <v>150</v>
      </c>
      <c r="AI281" s="23">
        <v>10</v>
      </c>
      <c r="AJ281" s="23">
        <v>6</v>
      </c>
      <c r="AK281" s="23">
        <v>1479</v>
      </c>
      <c r="AL281" s="23">
        <f>AH281*AG281^3/12-(AH281-AJ281)*(AG281-2*AI281)^3/12</f>
        <v>74076000</v>
      </c>
      <c r="AM281" s="25">
        <f>AH281*AG281^2/4-(AH281-AJ281)*(AG281-2*AI281)^2/4</f>
        <v>552600</v>
      </c>
      <c r="AN281" s="23">
        <v>10</v>
      </c>
      <c r="AO281" s="23">
        <v>150</v>
      </c>
      <c r="AP281" s="23">
        <v>300</v>
      </c>
      <c r="AQ281" s="23">
        <f>(AP281-AG281)-AR281</f>
        <v>0</v>
      </c>
      <c r="AR281" s="23">
        <f>(AP281-AG281)/2</f>
        <v>0</v>
      </c>
      <c r="AS281" s="143" t="s">
        <v>5807</v>
      </c>
      <c r="AT281" s="164" t="s">
        <v>6134</v>
      </c>
      <c r="AU281" s="164" t="s">
        <v>6134</v>
      </c>
      <c r="AV281" s="164">
        <v>20</v>
      </c>
      <c r="AW281" s="164">
        <f t="shared" si="135"/>
        <v>245</v>
      </c>
      <c r="AX281" s="35">
        <v>45</v>
      </c>
      <c r="AY281" s="35">
        <v>45</v>
      </c>
      <c r="AZ281" s="23">
        <v>70</v>
      </c>
      <c r="BA281" s="23">
        <v>90</v>
      </c>
      <c r="BB281" s="23">
        <v>70</v>
      </c>
      <c r="BC281" s="19" t="s">
        <v>6312</v>
      </c>
      <c r="BD281" s="164" t="s">
        <v>4465</v>
      </c>
      <c r="BE281" s="164" t="s">
        <v>4465</v>
      </c>
      <c r="BF281" s="164">
        <v>4</v>
      </c>
      <c r="BG281" s="14">
        <v>8</v>
      </c>
      <c r="BH281" s="143">
        <v>140</v>
      </c>
      <c r="BI281" s="164">
        <v>1200</v>
      </c>
      <c r="BJ281" s="164" t="s">
        <v>6195</v>
      </c>
      <c r="BK281" s="164">
        <v>0.8</v>
      </c>
      <c r="BL281" s="164">
        <v>145</v>
      </c>
      <c r="BM281" s="164">
        <v>983</v>
      </c>
      <c r="BN281" s="164">
        <v>76</v>
      </c>
      <c r="BO281" s="164" t="s">
        <v>4591</v>
      </c>
      <c r="BP281" s="143" t="s">
        <v>5856</v>
      </c>
      <c r="BQ281" s="164">
        <v>14</v>
      </c>
      <c r="BR281" s="164">
        <v>2</v>
      </c>
      <c r="BS281" s="34">
        <v>19</v>
      </c>
      <c r="BT281" s="164">
        <v>90</v>
      </c>
      <c r="BU281" s="164">
        <v>200</v>
      </c>
      <c r="BV281" s="14">
        <v>350</v>
      </c>
      <c r="BW281" s="164" t="s">
        <v>4747</v>
      </c>
      <c r="BX281" s="164" t="s">
        <v>6121</v>
      </c>
      <c r="BY281" s="23">
        <f>((BI281/200)+1)*PI()*6^2/4</f>
        <v>197.92033717615698</v>
      </c>
      <c r="BZ281" s="21">
        <f>8*PI()*10^2/4</f>
        <v>628.31853071795865</v>
      </c>
      <c r="CA281" s="164">
        <v>20</v>
      </c>
      <c r="CB281" s="122">
        <v>8.0999999999999996E-3</v>
      </c>
      <c r="CC281" s="143" t="s">
        <v>4748</v>
      </c>
      <c r="CD281" s="164">
        <v>345</v>
      </c>
      <c r="CE281" s="23">
        <v>406.45</v>
      </c>
      <c r="CF281" s="74">
        <v>490</v>
      </c>
      <c r="CG281" s="23">
        <v>495.23329999999999</v>
      </c>
      <c r="CH281" s="83">
        <v>210000</v>
      </c>
      <c r="CI281" s="143" t="s">
        <v>4748</v>
      </c>
      <c r="CJ281" s="87">
        <v>345</v>
      </c>
      <c r="CK281" s="23">
        <v>407.05</v>
      </c>
      <c r="CL281" s="87">
        <v>490</v>
      </c>
      <c r="CM281" s="23">
        <v>533.63329999999996</v>
      </c>
      <c r="CN281" s="83">
        <v>206667</v>
      </c>
      <c r="CO281" s="143" t="s">
        <v>4748</v>
      </c>
      <c r="CP281" s="164">
        <v>345</v>
      </c>
      <c r="CQ281" s="23">
        <v>418.73329999999999</v>
      </c>
      <c r="CR281" s="164">
        <v>490</v>
      </c>
      <c r="CS281" s="23">
        <v>502.9667</v>
      </c>
      <c r="CT281" s="83">
        <v>212333</v>
      </c>
      <c r="CU281" s="143" t="s">
        <v>5796</v>
      </c>
      <c r="CV281" s="23">
        <v>41.48</v>
      </c>
      <c r="CW281" s="33">
        <v>2.9</v>
      </c>
      <c r="CX281" s="83">
        <v>41429</v>
      </c>
      <c r="CY281" s="23">
        <v>446.77</v>
      </c>
      <c r="CZ281" s="84">
        <v>588.16999999999996</v>
      </c>
      <c r="DA281" s="83">
        <v>192000</v>
      </c>
      <c r="DB281" s="287">
        <v>345</v>
      </c>
      <c r="DC281" s="164">
        <v>10.9</v>
      </c>
      <c r="DD281" s="304">
        <v>900</v>
      </c>
      <c r="DE281" s="34">
        <v>990</v>
      </c>
      <c r="DF281" s="304">
        <v>1000</v>
      </c>
      <c r="DG281" s="34">
        <v>1100</v>
      </c>
      <c r="DH281" s="70">
        <v>200000</v>
      </c>
      <c r="DI281" s="27" t="s">
        <v>5850</v>
      </c>
      <c r="DJ281" s="306" t="s">
        <v>4435</v>
      </c>
      <c r="DK281" s="297" t="s">
        <v>4566</v>
      </c>
    </row>
    <row r="282" spans="1:115" ht="15.6" customHeight="1">
      <c r="A282" s="306">
        <v>277</v>
      </c>
      <c r="B282" s="325">
        <v>40</v>
      </c>
      <c r="C282" s="325">
        <v>2007</v>
      </c>
      <c r="D282" s="342" t="s">
        <v>4680</v>
      </c>
      <c r="E282" s="342" t="s">
        <v>4850</v>
      </c>
      <c r="F282" s="325">
        <v>10</v>
      </c>
      <c r="G282" s="336" t="s">
        <v>5898</v>
      </c>
      <c r="H282" s="336" t="s">
        <v>5897</v>
      </c>
      <c r="I282" s="336" t="s">
        <v>6250</v>
      </c>
      <c r="J282" s="41" t="s">
        <v>4824</v>
      </c>
      <c r="K282" s="306" t="s">
        <v>6314</v>
      </c>
      <c r="L282" s="163" t="s">
        <v>5792</v>
      </c>
      <c r="M282" s="306" t="s">
        <v>4509</v>
      </c>
      <c r="N282" s="163" t="s">
        <v>4703</v>
      </c>
      <c r="O282" s="18" t="s">
        <v>4507</v>
      </c>
      <c r="P282" s="163" t="s">
        <v>6312</v>
      </c>
      <c r="Q282" s="163" t="s">
        <v>4420</v>
      </c>
      <c r="R282" s="163" t="s">
        <v>4420</v>
      </c>
      <c r="S282" s="163" t="s">
        <v>5792</v>
      </c>
      <c r="T282" s="163" t="s">
        <v>4420</v>
      </c>
      <c r="U282" s="163" t="s">
        <v>5792</v>
      </c>
      <c r="V282" s="163" t="s">
        <v>6051</v>
      </c>
      <c r="W282" s="18">
        <v>10</v>
      </c>
      <c r="X282" s="239">
        <v>0</v>
      </c>
      <c r="Y282" s="17">
        <v>0</v>
      </c>
      <c r="Z282" s="305" t="s">
        <v>6293</v>
      </c>
      <c r="AA282" s="16">
        <f>INDEX('[2]Cross-Section Database'!$C$2:$V$2928,MATCH(Z282,'[2]Cross-Section Database'!$B$2:$B$2928,0),3)</f>
        <v>340</v>
      </c>
      <c r="AB282" s="16">
        <f>INDEX('[2]Cross-Section Database'!$C$2:$V$2928,MATCH(Z282,'[2]Cross-Section Database'!$B$2:$B$2928,0),4)</f>
        <v>310</v>
      </c>
      <c r="AC282" s="16">
        <f>INDEX('[2]Cross-Section Database'!$C$2:$V$2928,MATCH(Z282,'[2]Cross-Section Database'!$B$2:$B$2928,0),6)</f>
        <v>39</v>
      </c>
      <c r="AD282" s="16">
        <f>INDEX('[2]Cross-Section Database'!$C$2:$V$2928,MATCH(Z282,'[2]Cross-Section Database'!$B$2:$B$2928,0),5)</f>
        <v>21</v>
      </c>
      <c r="AE282" s="16">
        <v>1540</v>
      </c>
      <c r="AF282" s="305" t="s">
        <v>6328</v>
      </c>
      <c r="AG282" s="16">
        <f>INDEX('[2]Cross-Section Database'!$C$2:$V$2928,MATCH(AF282,'[2]Cross-Section Database'!$B$2:$B$2928,0),3)</f>
        <v>310</v>
      </c>
      <c r="AH282" s="16">
        <f>INDEX('[2]Cross-Section Database'!$C$2:$V$2928,MATCH(AF282,'[2]Cross-Section Database'!$B$2:$B$2928,0),4)</f>
        <v>300</v>
      </c>
      <c r="AI282" s="16">
        <f>INDEX('[2]Cross-Section Database'!$C$2:$V$2928,MATCH(AF282,'[2]Cross-Section Database'!$B$2:$B$2928,0),6)</f>
        <v>15.5</v>
      </c>
      <c r="AJ282" s="16">
        <f>INDEX('[2]Cross-Section Database'!$C$2:$V$2928,MATCH(AF282,'[2]Cross-Section Database'!$B$2:$B$2928,0),5)</f>
        <v>9</v>
      </c>
      <c r="AK282" s="16">
        <v>1300</v>
      </c>
      <c r="AL282" s="16">
        <f>INDEX('[2]Cross-Section Database'!$C$2:$V$3928,MATCH(AF282,'[2]Cross-Section Database'!$B$2:$B$3928,0),11)</f>
        <v>229300000</v>
      </c>
      <c r="AM282" s="26">
        <f>INDEX('[2]Cross-Section Database'!$C$2:$V$3928,MATCH(AF282,'[2]Cross-Section Database'!$B$2:$B$3928,0),12)</f>
        <v>1628000</v>
      </c>
      <c r="AN282" s="16">
        <v>15.3</v>
      </c>
      <c r="AO282" s="16">
        <v>300</v>
      </c>
      <c r="AP282" s="16">
        <v>360</v>
      </c>
      <c r="AQ282" s="16">
        <v>25</v>
      </c>
      <c r="AR282" s="16">
        <v>25</v>
      </c>
      <c r="AS282" s="305" t="s">
        <v>5807</v>
      </c>
      <c r="AT282" s="162" t="s">
        <v>4499</v>
      </c>
      <c r="AU282" s="16">
        <f t="shared" ref="AU282:AU294" si="155">0.175*AW282*DF282/1000</f>
        <v>75.365499999999997</v>
      </c>
      <c r="AV282" s="162">
        <v>24</v>
      </c>
      <c r="AW282" s="162">
        <f t="shared" si="135"/>
        <v>353</v>
      </c>
      <c r="AX282" s="16">
        <v>100</v>
      </c>
      <c r="AY282" s="16">
        <v>100</v>
      </c>
      <c r="AZ282" s="16">
        <v>0</v>
      </c>
      <c r="BA282" s="16">
        <v>150</v>
      </c>
      <c r="BB282" s="16">
        <v>160</v>
      </c>
      <c r="BC282" s="22" t="s">
        <v>6313</v>
      </c>
      <c r="BD282" s="162" t="s">
        <v>6209</v>
      </c>
      <c r="BE282" s="162" t="s">
        <v>6209</v>
      </c>
      <c r="BF282" s="162">
        <v>2</v>
      </c>
      <c r="BG282" s="162">
        <v>4</v>
      </c>
      <c r="BH282" s="200" t="s">
        <v>5792</v>
      </c>
      <c r="BI282" s="201" t="s">
        <v>5792</v>
      </c>
      <c r="BJ282" s="201" t="s">
        <v>5792</v>
      </c>
      <c r="BK282" s="201" t="s">
        <v>5792</v>
      </c>
      <c r="BL282" s="201" t="s">
        <v>5792</v>
      </c>
      <c r="BM282" s="201" t="s">
        <v>5792</v>
      </c>
      <c r="BN282" s="201" t="s">
        <v>5792</v>
      </c>
      <c r="BO282" s="201" t="s">
        <v>5792</v>
      </c>
      <c r="BP282" s="200" t="s">
        <v>5792</v>
      </c>
      <c r="BQ282" s="201" t="s">
        <v>5792</v>
      </c>
      <c r="BR282" s="201" t="s">
        <v>5792</v>
      </c>
      <c r="BS282" s="201" t="s">
        <v>5792</v>
      </c>
      <c r="BT282" s="201" t="s">
        <v>5792</v>
      </c>
      <c r="BU282" s="201" t="s">
        <v>5792</v>
      </c>
      <c r="BV282" s="219" t="s">
        <v>5792</v>
      </c>
      <c r="BW282" s="201" t="s">
        <v>5792</v>
      </c>
      <c r="BX282" s="201" t="s">
        <v>5792</v>
      </c>
      <c r="BY282" s="201" t="s">
        <v>5792</v>
      </c>
      <c r="BZ282" s="201" t="s">
        <v>5792</v>
      </c>
      <c r="CA282" s="201" t="s">
        <v>5792</v>
      </c>
      <c r="CB282" s="219" t="s">
        <v>5792</v>
      </c>
      <c r="CC282" s="305" t="s">
        <v>5972</v>
      </c>
      <c r="CD282" s="162">
        <v>355</v>
      </c>
      <c r="CE282" s="31">
        <f t="shared" ref="CE282:CE291" si="156">CD282*1.1</f>
        <v>390.50000000000006</v>
      </c>
      <c r="CF282" s="194">
        <v>470</v>
      </c>
      <c r="CG282" s="31">
        <f t="shared" ref="CG282:CG291" si="157">CF282*1.1</f>
        <v>517</v>
      </c>
      <c r="CH282" s="66">
        <v>200000</v>
      </c>
      <c r="CI282" s="305" t="s">
        <v>5972</v>
      </c>
      <c r="CJ282" s="65">
        <v>355</v>
      </c>
      <c r="CK282" s="31">
        <f t="shared" ref="CK282:CK291" si="158">CJ282*1.1</f>
        <v>390.50000000000006</v>
      </c>
      <c r="CL282" s="65">
        <v>470</v>
      </c>
      <c r="CM282" s="31">
        <f t="shared" ref="CM282:CM291" si="159">CL282*1.1</f>
        <v>517</v>
      </c>
      <c r="CN282" s="66">
        <v>200000</v>
      </c>
      <c r="CO282" s="305" t="s">
        <v>4826</v>
      </c>
      <c r="CP282" s="16">
        <v>460</v>
      </c>
      <c r="CQ282" s="16">
        <v>483.1</v>
      </c>
      <c r="CR282" s="16">
        <v>575</v>
      </c>
      <c r="CS282" s="16">
        <f>CQ282/0.84</f>
        <v>575.11904761904771</v>
      </c>
      <c r="CT282" s="81">
        <v>219800</v>
      </c>
      <c r="CU282" s="204" t="s">
        <v>5792</v>
      </c>
      <c r="CV282" s="205" t="s">
        <v>5792</v>
      </c>
      <c r="CW282" s="205" t="s">
        <v>5792</v>
      </c>
      <c r="CX282" s="206" t="s">
        <v>5792</v>
      </c>
      <c r="CY282" s="204" t="s">
        <v>5792</v>
      </c>
      <c r="CZ282" s="205" t="s">
        <v>5792</v>
      </c>
      <c r="DA282" s="206" t="s">
        <v>5792</v>
      </c>
      <c r="DB282" s="282" t="s">
        <v>5792</v>
      </c>
      <c r="DC282" s="162">
        <v>12.9</v>
      </c>
      <c r="DD282" s="162">
        <v>1100</v>
      </c>
      <c r="DE282" s="16">
        <v>1112.5</v>
      </c>
      <c r="DF282" s="162">
        <v>1220</v>
      </c>
      <c r="DG282" s="162">
        <v>1413</v>
      </c>
      <c r="DH282" s="66">
        <v>200000</v>
      </c>
      <c r="DI282" s="28" t="s">
        <v>4794</v>
      </c>
      <c r="DJ282" s="162" t="s">
        <v>4435</v>
      </c>
      <c r="DK282" s="296" t="s">
        <v>4566</v>
      </c>
    </row>
    <row r="283" spans="1:115">
      <c r="A283" s="306">
        <v>278</v>
      </c>
      <c r="B283" s="326"/>
      <c r="C283" s="326"/>
      <c r="D283" s="343"/>
      <c r="E283" s="343"/>
      <c r="F283" s="326"/>
      <c r="G283" s="337"/>
      <c r="H283" s="337"/>
      <c r="I283" s="337"/>
      <c r="J283" s="41" t="s">
        <v>4825</v>
      </c>
      <c r="K283" s="306" t="s">
        <v>6314</v>
      </c>
      <c r="L283" s="163" t="s">
        <v>5792</v>
      </c>
      <c r="M283" s="306" t="s">
        <v>4509</v>
      </c>
      <c r="N283" s="163" t="s">
        <v>4703</v>
      </c>
      <c r="O283" s="18" t="s">
        <v>4507</v>
      </c>
      <c r="P283" s="163" t="s">
        <v>6312</v>
      </c>
      <c r="Q283" s="163" t="s">
        <v>4420</v>
      </c>
      <c r="R283" s="163" t="s">
        <v>4420</v>
      </c>
      <c r="S283" s="163" t="s">
        <v>5792</v>
      </c>
      <c r="T283" s="163" t="s">
        <v>4420</v>
      </c>
      <c r="U283" s="163" t="s">
        <v>5792</v>
      </c>
      <c r="V283" s="163" t="s">
        <v>6051</v>
      </c>
      <c r="W283" s="18">
        <v>10</v>
      </c>
      <c r="X283" s="230">
        <v>0</v>
      </c>
      <c r="Y283" s="18">
        <v>0</v>
      </c>
      <c r="Z283" s="306" t="s">
        <v>6293</v>
      </c>
      <c r="AA283" s="21">
        <f>INDEX('[2]Cross-Section Database'!$C$2:$V$2928,MATCH(Z283,'[2]Cross-Section Database'!$B$2:$B$2928,0),3)</f>
        <v>340</v>
      </c>
      <c r="AB283" s="21">
        <f>INDEX('[2]Cross-Section Database'!$C$2:$V$2928,MATCH(Z283,'[2]Cross-Section Database'!$B$2:$B$2928,0),4)</f>
        <v>310</v>
      </c>
      <c r="AC283" s="21">
        <f>INDEX('[2]Cross-Section Database'!$C$2:$V$2928,MATCH(Z283,'[2]Cross-Section Database'!$B$2:$B$2928,0),6)</f>
        <v>39</v>
      </c>
      <c r="AD283" s="21">
        <f>INDEX('[2]Cross-Section Database'!$C$2:$V$2928,MATCH(Z283,'[2]Cross-Section Database'!$B$2:$B$2928,0),5)</f>
        <v>21</v>
      </c>
      <c r="AE283" s="21">
        <v>1540</v>
      </c>
      <c r="AF283" s="306" t="s">
        <v>6328</v>
      </c>
      <c r="AG283" s="21">
        <f>INDEX('[2]Cross-Section Database'!$C$2:$V$2928,MATCH(AF283,'[2]Cross-Section Database'!$B$2:$B$2928,0),3)</f>
        <v>310</v>
      </c>
      <c r="AH283" s="21">
        <f>INDEX('[2]Cross-Section Database'!$C$2:$V$2928,MATCH(AF283,'[2]Cross-Section Database'!$B$2:$B$2928,0),4)</f>
        <v>300</v>
      </c>
      <c r="AI283" s="21">
        <f>INDEX('[2]Cross-Section Database'!$C$2:$V$2928,MATCH(AF283,'[2]Cross-Section Database'!$B$2:$B$2928,0),6)</f>
        <v>15.5</v>
      </c>
      <c r="AJ283" s="21">
        <f>INDEX('[2]Cross-Section Database'!$C$2:$V$2928,MATCH(AF283,'[2]Cross-Section Database'!$B$2:$B$2928,0),5)</f>
        <v>9</v>
      </c>
      <c r="AK283" s="21">
        <v>1300</v>
      </c>
      <c r="AL283" s="21">
        <f>INDEX('[2]Cross-Section Database'!$C$2:$V$3928,MATCH(AF283,'[2]Cross-Section Database'!$B$2:$B$3928,0),11)</f>
        <v>229300000</v>
      </c>
      <c r="AM283" s="24">
        <f>INDEX('[2]Cross-Section Database'!$C$2:$V$3928,MATCH(AF283,'[2]Cross-Section Database'!$B$2:$B$3928,0),12)</f>
        <v>1628000</v>
      </c>
      <c r="AN283" s="21">
        <v>15.3</v>
      </c>
      <c r="AO283" s="21">
        <v>300</v>
      </c>
      <c r="AP283" s="21">
        <v>310</v>
      </c>
      <c r="AQ283" s="21">
        <v>0</v>
      </c>
      <c r="AR283" s="21">
        <v>0</v>
      </c>
      <c r="AS283" s="306" t="s">
        <v>5807</v>
      </c>
      <c r="AT283" s="163" t="s">
        <v>4499</v>
      </c>
      <c r="AU283" s="21">
        <f t="shared" si="155"/>
        <v>75.365499999999997</v>
      </c>
      <c r="AV283" s="163">
        <v>24</v>
      </c>
      <c r="AW283" s="163">
        <f t="shared" si="135"/>
        <v>353</v>
      </c>
      <c r="AX283" s="21">
        <v>75</v>
      </c>
      <c r="AY283" s="21">
        <v>75</v>
      </c>
      <c r="AZ283" s="21">
        <v>0</v>
      </c>
      <c r="BA283" s="21">
        <v>150</v>
      </c>
      <c r="BB283" s="21">
        <v>160</v>
      </c>
      <c r="BC283" s="15" t="s">
        <v>6313</v>
      </c>
      <c r="BD283" s="163" t="s">
        <v>6209</v>
      </c>
      <c r="BE283" s="163" t="s">
        <v>6209</v>
      </c>
      <c r="BF283" s="163">
        <v>2</v>
      </c>
      <c r="BG283" s="163">
        <v>4</v>
      </c>
      <c r="BH283" s="202" t="s">
        <v>5792</v>
      </c>
      <c r="BI283" s="203" t="s">
        <v>5792</v>
      </c>
      <c r="BJ283" s="203" t="s">
        <v>5792</v>
      </c>
      <c r="BK283" s="203" t="s">
        <v>5792</v>
      </c>
      <c r="BL283" s="203" t="s">
        <v>5792</v>
      </c>
      <c r="BM283" s="203" t="s">
        <v>5792</v>
      </c>
      <c r="BN283" s="203" t="s">
        <v>5792</v>
      </c>
      <c r="BO283" s="203" t="s">
        <v>5792</v>
      </c>
      <c r="BP283" s="202" t="s">
        <v>5792</v>
      </c>
      <c r="BQ283" s="203" t="s">
        <v>5792</v>
      </c>
      <c r="BR283" s="203" t="s">
        <v>5792</v>
      </c>
      <c r="BS283" s="203" t="s">
        <v>5792</v>
      </c>
      <c r="BT283" s="203" t="s">
        <v>5792</v>
      </c>
      <c r="BU283" s="203" t="s">
        <v>5792</v>
      </c>
      <c r="BV283" s="218" t="s">
        <v>5792</v>
      </c>
      <c r="BW283" s="203" t="s">
        <v>5792</v>
      </c>
      <c r="BX283" s="203" t="s">
        <v>5792</v>
      </c>
      <c r="BY283" s="203" t="s">
        <v>5792</v>
      </c>
      <c r="BZ283" s="203" t="s">
        <v>5792</v>
      </c>
      <c r="CA283" s="203" t="s">
        <v>5792</v>
      </c>
      <c r="CB283" s="218" t="s">
        <v>5792</v>
      </c>
      <c r="CC283" s="306" t="s">
        <v>5972</v>
      </c>
      <c r="CD283" s="163">
        <v>355</v>
      </c>
      <c r="CE283" s="33">
        <f t="shared" si="156"/>
        <v>390.50000000000006</v>
      </c>
      <c r="CF283" s="63">
        <v>470</v>
      </c>
      <c r="CG283" s="33">
        <f t="shared" si="157"/>
        <v>517</v>
      </c>
      <c r="CH283" s="67">
        <v>200000</v>
      </c>
      <c r="CI283" s="306" t="s">
        <v>5972</v>
      </c>
      <c r="CJ283" s="60">
        <v>355</v>
      </c>
      <c r="CK283" s="33">
        <f t="shared" si="158"/>
        <v>390.50000000000006</v>
      </c>
      <c r="CL283" s="60">
        <v>470</v>
      </c>
      <c r="CM283" s="33">
        <f t="shared" si="159"/>
        <v>517</v>
      </c>
      <c r="CN283" s="67">
        <v>200000</v>
      </c>
      <c r="CO283" s="306" t="s">
        <v>4826</v>
      </c>
      <c r="CP283" s="21">
        <v>460</v>
      </c>
      <c r="CQ283" s="21">
        <v>483.1</v>
      </c>
      <c r="CR283" s="21">
        <v>575</v>
      </c>
      <c r="CS283" s="21">
        <f>CQ283/0.84</f>
        <v>575.11904761904771</v>
      </c>
      <c r="CT283" s="69">
        <v>219800</v>
      </c>
      <c r="CU283" s="207" t="s">
        <v>5792</v>
      </c>
      <c r="CV283" s="208" t="s">
        <v>5792</v>
      </c>
      <c r="CW283" s="208" t="s">
        <v>5792</v>
      </c>
      <c r="CX283" s="209" t="s">
        <v>5792</v>
      </c>
      <c r="CY283" s="207" t="s">
        <v>5792</v>
      </c>
      <c r="CZ283" s="208" t="s">
        <v>5792</v>
      </c>
      <c r="DA283" s="209" t="s">
        <v>5792</v>
      </c>
      <c r="DB283" s="283" t="s">
        <v>5792</v>
      </c>
      <c r="DC283" s="163">
        <v>12.9</v>
      </c>
      <c r="DD283" s="163">
        <v>1100</v>
      </c>
      <c r="DE283" s="21">
        <v>112.5</v>
      </c>
      <c r="DF283" s="163">
        <v>1220</v>
      </c>
      <c r="DG283" s="163">
        <v>1413</v>
      </c>
      <c r="DH283" s="67">
        <v>200000</v>
      </c>
      <c r="DI283" s="29" t="s">
        <v>4794</v>
      </c>
      <c r="DJ283" s="306" t="s">
        <v>4435</v>
      </c>
      <c r="DK283" s="297" t="s">
        <v>4566</v>
      </c>
    </row>
    <row r="284" spans="1:115">
      <c r="A284" s="306">
        <v>279</v>
      </c>
      <c r="B284" s="326"/>
      <c r="C284" s="326"/>
      <c r="D284" s="343"/>
      <c r="E284" s="343"/>
      <c r="F284" s="326"/>
      <c r="G284" s="337"/>
      <c r="H284" s="337"/>
      <c r="I284" s="337"/>
      <c r="J284" s="41" t="s">
        <v>6294</v>
      </c>
      <c r="K284" s="306" t="s">
        <v>6314</v>
      </c>
      <c r="L284" s="163" t="s">
        <v>5792</v>
      </c>
      <c r="M284" s="306" t="s">
        <v>4509</v>
      </c>
      <c r="N284" s="163" t="s">
        <v>4703</v>
      </c>
      <c r="O284" s="18" t="s">
        <v>4507</v>
      </c>
      <c r="P284" s="163" t="s">
        <v>6312</v>
      </c>
      <c r="Q284" s="163" t="s">
        <v>4420</v>
      </c>
      <c r="R284" s="163" t="s">
        <v>4420</v>
      </c>
      <c r="S284" s="163" t="s">
        <v>5792</v>
      </c>
      <c r="T284" s="163" t="s">
        <v>4420</v>
      </c>
      <c r="U284" s="163" t="s">
        <v>5792</v>
      </c>
      <c r="V284" s="163" t="s">
        <v>6051</v>
      </c>
      <c r="W284" s="18">
        <v>10</v>
      </c>
      <c r="X284" s="230">
        <v>0</v>
      </c>
      <c r="Y284" s="18">
        <v>0</v>
      </c>
      <c r="Z284" s="306" t="s">
        <v>6293</v>
      </c>
      <c r="AA284" s="21">
        <f>INDEX('[2]Cross-Section Database'!$C$2:$V$2928,MATCH(Z284,'[2]Cross-Section Database'!$B$2:$B$2928,0),3)</f>
        <v>340</v>
      </c>
      <c r="AB284" s="21">
        <f>INDEX('[2]Cross-Section Database'!$C$2:$V$2928,MATCH(Z284,'[2]Cross-Section Database'!$B$2:$B$2928,0),4)</f>
        <v>310</v>
      </c>
      <c r="AC284" s="21">
        <f>INDEX('[2]Cross-Section Database'!$C$2:$V$2928,MATCH(Z284,'[2]Cross-Section Database'!$B$2:$B$2928,0),6)</f>
        <v>39</v>
      </c>
      <c r="AD284" s="21">
        <f>INDEX('[2]Cross-Section Database'!$C$2:$V$2928,MATCH(Z284,'[2]Cross-Section Database'!$B$2:$B$2928,0),5)</f>
        <v>21</v>
      </c>
      <c r="AE284" s="21">
        <v>1540</v>
      </c>
      <c r="AF284" s="306" t="s">
        <v>6328</v>
      </c>
      <c r="AG284" s="21">
        <f>INDEX('[2]Cross-Section Database'!$C$2:$V$2928,MATCH(AF284,'[2]Cross-Section Database'!$B$2:$B$2928,0),3)</f>
        <v>310</v>
      </c>
      <c r="AH284" s="21">
        <f>INDEX('[2]Cross-Section Database'!$C$2:$V$2928,MATCH(AF284,'[2]Cross-Section Database'!$B$2:$B$2928,0),4)</f>
        <v>300</v>
      </c>
      <c r="AI284" s="21">
        <f>INDEX('[2]Cross-Section Database'!$C$2:$V$2928,MATCH(AF284,'[2]Cross-Section Database'!$B$2:$B$2928,0),6)</f>
        <v>15.5</v>
      </c>
      <c r="AJ284" s="21">
        <f>INDEX('[2]Cross-Section Database'!$C$2:$V$2928,MATCH(AF284,'[2]Cross-Section Database'!$B$2:$B$2928,0),5)</f>
        <v>9</v>
      </c>
      <c r="AK284" s="21">
        <v>1300</v>
      </c>
      <c r="AL284" s="21">
        <f>INDEX('[2]Cross-Section Database'!$C$2:$V$3928,MATCH(AF284,'[2]Cross-Section Database'!$B$2:$B$3928,0),11)</f>
        <v>229300000</v>
      </c>
      <c r="AM284" s="24">
        <f>INDEX('[2]Cross-Section Database'!$C$2:$V$3928,MATCH(AF284,'[2]Cross-Section Database'!$B$2:$B$3928,0),12)</f>
        <v>1628000</v>
      </c>
      <c r="AN284" s="21">
        <v>14.75</v>
      </c>
      <c r="AO284" s="21">
        <v>300</v>
      </c>
      <c r="AP284" s="21">
        <v>360</v>
      </c>
      <c r="AQ284" s="21">
        <v>25</v>
      </c>
      <c r="AR284" s="21">
        <v>25</v>
      </c>
      <c r="AS284" s="306" t="s">
        <v>5807</v>
      </c>
      <c r="AT284" s="163" t="s">
        <v>4499</v>
      </c>
      <c r="AU284" s="21">
        <f t="shared" si="155"/>
        <v>75.365499999999997</v>
      </c>
      <c r="AV284" s="163">
        <v>24</v>
      </c>
      <c r="AW284" s="163">
        <f t="shared" si="135"/>
        <v>353</v>
      </c>
      <c r="AX284" s="21">
        <v>100</v>
      </c>
      <c r="AY284" s="21">
        <v>100</v>
      </c>
      <c r="AZ284" s="21">
        <v>0</v>
      </c>
      <c r="BA284" s="21">
        <v>150</v>
      </c>
      <c r="BB284" s="21">
        <v>160</v>
      </c>
      <c r="BC284" s="15" t="s">
        <v>6313</v>
      </c>
      <c r="BD284" s="163" t="s">
        <v>6209</v>
      </c>
      <c r="BE284" s="163" t="s">
        <v>6209</v>
      </c>
      <c r="BF284" s="163">
        <v>2</v>
      </c>
      <c r="BG284" s="163">
        <v>4</v>
      </c>
      <c r="BH284" s="202" t="s">
        <v>5792</v>
      </c>
      <c r="BI284" s="203" t="s">
        <v>5792</v>
      </c>
      <c r="BJ284" s="203" t="s">
        <v>5792</v>
      </c>
      <c r="BK284" s="203" t="s">
        <v>5792</v>
      </c>
      <c r="BL284" s="203" t="s">
        <v>5792</v>
      </c>
      <c r="BM284" s="203" t="s">
        <v>5792</v>
      </c>
      <c r="BN284" s="203" t="s">
        <v>5792</v>
      </c>
      <c r="BO284" s="203" t="s">
        <v>5792</v>
      </c>
      <c r="BP284" s="202" t="s">
        <v>5792</v>
      </c>
      <c r="BQ284" s="203" t="s">
        <v>5792</v>
      </c>
      <c r="BR284" s="203" t="s">
        <v>5792</v>
      </c>
      <c r="BS284" s="203" t="s">
        <v>5792</v>
      </c>
      <c r="BT284" s="203" t="s">
        <v>5792</v>
      </c>
      <c r="BU284" s="203" t="s">
        <v>5792</v>
      </c>
      <c r="BV284" s="218" t="s">
        <v>5792</v>
      </c>
      <c r="BW284" s="203" t="s">
        <v>5792</v>
      </c>
      <c r="BX284" s="203" t="s">
        <v>5792</v>
      </c>
      <c r="BY284" s="203" t="s">
        <v>5792</v>
      </c>
      <c r="BZ284" s="203" t="s">
        <v>5792</v>
      </c>
      <c r="CA284" s="203" t="s">
        <v>5792</v>
      </c>
      <c r="CB284" s="218" t="s">
        <v>5792</v>
      </c>
      <c r="CC284" s="306" t="s">
        <v>5972</v>
      </c>
      <c r="CD284" s="163">
        <v>355</v>
      </c>
      <c r="CE284" s="33">
        <f t="shared" si="156"/>
        <v>390.50000000000006</v>
      </c>
      <c r="CF284" s="63">
        <v>470</v>
      </c>
      <c r="CG284" s="33">
        <f t="shared" si="157"/>
        <v>517</v>
      </c>
      <c r="CH284" s="67">
        <v>200000</v>
      </c>
      <c r="CI284" s="306" t="s">
        <v>5972</v>
      </c>
      <c r="CJ284" s="60">
        <v>355</v>
      </c>
      <c r="CK284" s="33">
        <f t="shared" si="158"/>
        <v>390.50000000000006</v>
      </c>
      <c r="CL284" s="60">
        <v>470</v>
      </c>
      <c r="CM284" s="33">
        <f t="shared" si="159"/>
        <v>517</v>
      </c>
      <c r="CN284" s="67">
        <v>200000</v>
      </c>
      <c r="CO284" s="306" t="s">
        <v>6329</v>
      </c>
      <c r="CP284" s="21">
        <v>690</v>
      </c>
      <c r="CQ284" s="21">
        <v>774</v>
      </c>
      <c r="CR284" s="21">
        <v>770</v>
      </c>
      <c r="CS284" s="21">
        <v>814</v>
      </c>
      <c r="CT284" s="69">
        <v>206400</v>
      </c>
      <c r="CU284" s="207" t="s">
        <v>5792</v>
      </c>
      <c r="CV284" s="208" t="s">
        <v>5792</v>
      </c>
      <c r="CW284" s="208" t="s">
        <v>5792</v>
      </c>
      <c r="CX284" s="209" t="s">
        <v>5792</v>
      </c>
      <c r="CY284" s="207" t="s">
        <v>5792</v>
      </c>
      <c r="CZ284" s="208" t="s">
        <v>5792</v>
      </c>
      <c r="DA284" s="209" t="s">
        <v>5792</v>
      </c>
      <c r="DB284" s="283" t="s">
        <v>5792</v>
      </c>
      <c r="DC284" s="163">
        <v>12.9</v>
      </c>
      <c r="DD284" s="163">
        <v>1100</v>
      </c>
      <c r="DE284" s="21">
        <v>112.5</v>
      </c>
      <c r="DF284" s="163">
        <v>1220</v>
      </c>
      <c r="DG284" s="163">
        <v>1413</v>
      </c>
      <c r="DH284" s="67">
        <v>200000</v>
      </c>
      <c r="DI284" s="29" t="s">
        <v>15</v>
      </c>
      <c r="DJ284" s="306" t="s">
        <v>4435</v>
      </c>
      <c r="DK284" s="297" t="s">
        <v>4566</v>
      </c>
    </row>
    <row r="285" spans="1:115">
      <c r="A285" s="306">
        <v>280</v>
      </c>
      <c r="B285" s="326"/>
      <c r="C285" s="326"/>
      <c r="D285" s="343"/>
      <c r="E285" s="343"/>
      <c r="F285" s="326"/>
      <c r="G285" s="337"/>
      <c r="H285" s="337"/>
      <c r="I285" s="337"/>
      <c r="J285" s="41" t="s">
        <v>6295</v>
      </c>
      <c r="K285" s="306" t="s">
        <v>4383</v>
      </c>
      <c r="L285" s="163" t="s">
        <v>5792</v>
      </c>
      <c r="M285" s="306" t="s">
        <v>4509</v>
      </c>
      <c r="N285" s="163" t="s">
        <v>4703</v>
      </c>
      <c r="O285" s="18" t="s">
        <v>4507</v>
      </c>
      <c r="P285" s="163" t="s">
        <v>6312</v>
      </c>
      <c r="Q285" s="163" t="s">
        <v>4420</v>
      </c>
      <c r="R285" s="163" t="s">
        <v>4420</v>
      </c>
      <c r="S285" s="163" t="s">
        <v>5792</v>
      </c>
      <c r="T285" s="163" t="s">
        <v>4420</v>
      </c>
      <c r="U285" s="163" t="s">
        <v>5792</v>
      </c>
      <c r="V285" s="163" t="s">
        <v>6051</v>
      </c>
      <c r="W285" s="18">
        <v>10</v>
      </c>
      <c r="X285" s="230">
        <v>0</v>
      </c>
      <c r="Y285" s="18">
        <v>0</v>
      </c>
      <c r="Z285" s="306" t="s">
        <v>6293</v>
      </c>
      <c r="AA285" s="21">
        <f>INDEX('[2]Cross-Section Database'!$C$2:$V$2928,MATCH(Z285,'[2]Cross-Section Database'!$B$2:$B$2928,0),3)</f>
        <v>340</v>
      </c>
      <c r="AB285" s="21">
        <f>INDEX('[2]Cross-Section Database'!$C$2:$V$2928,MATCH(Z285,'[2]Cross-Section Database'!$B$2:$B$2928,0),4)</f>
        <v>310</v>
      </c>
      <c r="AC285" s="21">
        <f>INDEX('[2]Cross-Section Database'!$C$2:$V$2928,MATCH(Z285,'[2]Cross-Section Database'!$B$2:$B$2928,0),6)</f>
        <v>39</v>
      </c>
      <c r="AD285" s="21">
        <f>INDEX('[2]Cross-Section Database'!$C$2:$V$2928,MATCH(Z285,'[2]Cross-Section Database'!$B$2:$B$2928,0),5)</f>
        <v>21</v>
      </c>
      <c r="AE285" s="21">
        <v>1540</v>
      </c>
      <c r="AF285" s="306" t="s">
        <v>6328</v>
      </c>
      <c r="AG285" s="21">
        <f>INDEX('[2]Cross-Section Database'!$C$2:$V$2928,MATCH(AF285,'[2]Cross-Section Database'!$B$2:$B$2928,0),3)</f>
        <v>310</v>
      </c>
      <c r="AH285" s="21">
        <f>INDEX('[2]Cross-Section Database'!$C$2:$V$2928,MATCH(AF285,'[2]Cross-Section Database'!$B$2:$B$2928,0),4)</f>
        <v>300</v>
      </c>
      <c r="AI285" s="21">
        <f>INDEX('[2]Cross-Section Database'!$C$2:$V$2928,MATCH(AF285,'[2]Cross-Section Database'!$B$2:$B$2928,0),6)</f>
        <v>15.5</v>
      </c>
      <c r="AJ285" s="21">
        <f>INDEX('[2]Cross-Section Database'!$C$2:$V$2928,MATCH(AF285,'[2]Cross-Section Database'!$B$2:$B$2928,0),5)</f>
        <v>9</v>
      </c>
      <c r="AK285" s="21">
        <v>1300</v>
      </c>
      <c r="AL285" s="21">
        <f>INDEX('[2]Cross-Section Database'!$C$2:$V$3928,MATCH(AF285,'[2]Cross-Section Database'!$B$2:$B$3928,0),11)</f>
        <v>229300000</v>
      </c>
      <c r="AM285" s="24">
        <f>INDEX('[2]Cross-Section Database'!$C$2:$V$3928,MATCH(AF285,'[2]Cross-Section Database'!$B$2:$B$3928,0),12)</f>
        <v>1628000</v>
      </c>
      <c r="AN285" s="21">
        <v>14.64</v>
      </c>
      <c r="AO285" s="21">
        <v>300</v>
      </c>
      <c r="AP285" s="21">
        <v>310</v>
      </c>
      <c r="AQ285" s="21">
        <v>0</v>
      </c>
      <c r="AR285" s="21">
        <v>0</v>
      </c>
      <c r="AS285" s="306" t="s">
        <v>5807</v>
      </c>
      <c r="AT285" s="163" t="s">
        <v>4499</v>
      </c>
      <c r="AU285" s="21">
        <f t="shared" si="155"/>
        <v>75.365499999999997</v>
      </c>
      <c r="AV285" s="163">
        <v>24</v>
      </c>
      <c r="AW285" s="163">
        <f t="shared" si="135"/>
        <v>353</v>
      </c>
      <c r="AX285" s="21">
        <v>75</v>
      </c>
      <c r="AY285" s="21">
        <v>75</v>
      </c>
      <c r="AZ285" s="21">
        <v>0</v>
      </c>
      <c r="BA285" s="21">
        <v>150</v>
      </c>
      <c r="BB285" s="21">
        <v>160</v>
      </c>
      <c r="BC285" s="15" t="s">
        <v>6313</v>
      </c>
      <c r="BD285" s="163" t="s">
        <v>6209</v>
      </c>
      <c r="BE285" s="163" t="s">
        <v>6209</v>
      </c>
      <c r="BF285" s="163">
        <v>2</v>
      </c>
      <c r="BG285" s="163">
        <v>4</v>
      </c>
      <c r="BH285" s="202" t="s">
        <v>5792</v>
      </c>
      <c r="BI285" s="203" t="s">
        <v>5792</v>
      </c>
      <c r="BJ285" s="203" t="s">
        <v>5792</v>
      </c>
      <c r="BK285" s="203" t="s">
        <v>5792</v>
      </c>
      <c r="BL285" s="203" t="s">
        <v>5792</v>
      </c>
      <c r="BM285" s="203" t="s">
        <v>5792</v>
      </c>
      <c r="BN285" s="203" t="s">
        <v>5792</v>
      </c>
      <c r="BO285" s="203" t="s">
        <v>5792</v>
      </c>
      <c r="BP285" s="202" t="s">
        <v>5792</v>
      </c>
      <c r="BQ285" s="203" t="s">
        <v>5792</v>
      </c>
      <c r="BR285" s="203" t="s">
        <v>5792</v>
      </c>
      <c r="BS285" s="203" t="s">
        <v>5792</v>
      </c>
      <c r="BT285" s="203" t="s">
        <v>5792</v>
      </c>
      <c r="BU285" s="203" t="s">
        <v>5792</v>
      </c>
      <c r="BV285" s="218" t="s">
        <v>5792</v>
      </c>
      <c r="BW285" s="203" t="s">
        <v>5792</v>
      </c>
      <c r="BX285" s="203" t="s">
        <v>5792</v>
      </c>
      <c r="BY285" s="203" t="s">
        <v>5792</v>
      </c>
      <c r="BZ285" s="203" t="s">
        <v>5792</v>
      </c>
      <c r="CA285" s="203" t="s">
        <v>5792</v>
      </c>
      <c r="CB285" s="218" t="s">
        <v>5792</v>
      </c>
      <c r="CC285" s="306" t="s">
        <v>5972</v>
      </c>
      <c r="CD285" s="163">
        <v>355</v>
      </c>
      <c r="CE285" s="33">
        <f t="shared" si="156"/>
        <v>390.50000000000006</v>
      </c>
      <c r="CF285" s="63">
        <v>470</v>
      </c>
      <c r="CG285" s="33">
        <f t="shared" si="157"/>
        <v>517</v>
      </c>
      <c r="CH285" s="67">
        <v>200000</v>
      </c>
      <c r="CI285" s="306" t="s">
        <v>5972</v>
      </c>
      <c r="CJ285" s="60">
        <v>355</v>
      </c>
      <c r="CK285" s="33">
        <f t="shared" si="158"/>
        <v>390.50000000000006</v>
      </c>
      <c r="CL285" s="60">
        <v>470</v>
      </c>
      <c r="CM285" s="33">
        <f t="shared" si="159"/>
        <v>517</v>
      </c>
      <c r="CN285" s="67">
        <v>200000</v>
      </c>
      <c r="CO285" s="306" t="s">
        <v>6329</v>
      </c>
      <c r="CP285" s="21">
        <v>690</v>
      </c>
      <c r="CQ285" s="21">
        <v>774</v>
      </c>
      <c r="CR285" s="21">
        <v>770</v>
      </c>
      <c r="CS285" s="21">
        <v>814</v>
      </c>
      <c r="CT285" s="69">
        <v>206400</v>
      </c>
      <c r="CU285" s="207" t="s">
        <v>5792</v>
      </c>
      <c r="CV285" s="208" t="s">
        <v>5792</v>
      </c>
      <c r="CW285" s="208" t="s">
        <v>5792</v>
      </c>
      <c r="CX285" s="209" t="s">
        <v>5792</v>
      </c>
      <c r="CY285" s="207" t="s">
        <v>5792</v>
      </c>
      <c r="CZ285" s="208" t="s">
        <v>5792</v>
      </c>
      <c r="DA285" s="209" t="s">
        <v>5792</v>
      </c>
      <c r="DB285" s="283" t="s">
        <v>5792</v>
      </c>
      <c r="DC285" s="163">
        <v>12.9</v>
      </c>
      <c r="DD285" s="163">
        <v>1100</v>
      </c>
      <c r="DE285" s="21">
        <v>112.5</v>
      </c>
      <c r="DF285" s="163">
        <v>1220</v>
      </c>
      <c r="DG285" s="163">
        <v>1413</v>
      </c>
      <c r="DH285" s="67">
        <v>200000</v>
      </c>
      <c r="DI285" s="29" t="s">
        <v>15</v>
      </c>
      <c r="DJ285" s="306" t="s">
        <v>4435</v>
      </c>
      <c r="DK285" s="297" t="s">
        <v>4566</v>
      </c>
    </row>
    <row r="286" spans="1:115">
      <c r="A286" s="306">
        <v>281</v>
      </c>
      <c r="B286" s="326"/>
      <c r="C286" s="326"/>
      <c r="D286" s="343"/>
      <c r="E286" s="343"/>
      <c r="F286" s="326"/>
      <c r="G286" s="337"/>
      <c r="H286" s="337"/>
      <c r="I286" s="337"/>
      <c r="J286" s="41" t="s">
        <v>4793</v>
      </c>
      <c r="K286" s="306" t="s">
        <v>4383</v>
      </c>
      <c r="L286" s="163" t="s">
        <v>5792</v>
      </c>
      <c r="M286" s="306" t="s">
        <v>4509</v>
      </c>
      <c r="N286" s="163" t="s">
        <v>4703</v>
      </c>
      <c r="O286" s="18" t="s">
        <v>4507</v>
      </c>
      <c r="P286" s="163" t="s">
        <v>6312</v>
      </c>
      <c r="Q286" s="163" t="s">
        <v>4420</v>
      </c>
      <c r="R286" s="163" t="s">
        <v>4420</v>
      </c>
      <c r="S286" s="163" t="s">
        <v>5792</v>
      </c>
      <c r="T286" s="163" t="s">
        <v>4420</v>
      </c>
      <c r="U286" s="163" t="s">
        <v>5792</v>
      </c>
      <c r="V286" s="163" t="s">
        <v>6051</v>
      </c>
      <c r="W286" s="18">
        <v>10</v>
      </c>
      <c r="X286" s="230">
        <v>0</v>
      </c>
      <c r="Y286" s="18">
        <v>0</v>
      </c>
      <c r="Z286" s="306" t="s">
        <v>6293</v>
      </c>
      <c r="AA286" s="21">
        <f>INDEX('[2]Cross-Section Database'!$C$2:$V$2928,MATCH(Z286,'[2]Cross-Section Database'!$B$2:$B$2928,0),3)</f>
        <v>340</v>
      </c>
      <c r="AB286" s="21">
        <f>INDEX('[2]Cross-Section Database'!$C$2:$V$2928,MATCH(Z286,'[2]Cross-Section Database'!$B$2:$B$2928,0),4)</f>
        <v>310</v>
      </c>
      <c r="AC286" s="21">
        <f>INDEX('[2]Cross-Section Database'!$C$2:$V$2928,MATCH(Z286,'[2]Cross-Section Database'!$B$2:$B$2928,0),6)</f>
        <v>39</v>
      </c>
      <c r="AD286" s="21">
        <f>INDEX('[2]Cross-Section Database'!$C$2:$V$2928,MATCH(Z286,'[2]Cross-Section Database'!$B$2:$B$2928,0),5)</f>
        <v>21</v>
      </c>
      <c r="AE286" s="21">
        <v>1540</v>
      </c>
      <c r="AF286" s="306" t="s">
        <v>6328</v>
      </c>
      <c r="AG286" s="21">
        <f>INDEX('[2]Cross-Section Database'!$C$2:$V$2928,MATCH(AF286,'[2]Cross-Section Database'!$B$2:$B$2928,0),3)</f>
        <v>310</v>
      </c>
      <c r="AH286" s="21">
        <f>INDEX('[2]Cross-Section Database'!$C$2:$V$2928,MATCH(AF286,'[2]Cross-Section Database'!$B$2:$B$2928,0),4)</f>
        <v>300</v>
      </c>
      <c r="AI286" s="21">
        <f>INDEX('[2]Cross-Section Database'!$C$2:$V$2928,MATCH(AF286,'[2]Cross-Section Database'!$B$2:$B$2928,0),6)</f>
        <v>15.5</v>
      </c>
      <c r="AJ286" s="21">
        <f>INDEX('[2]Cross-Section Database'!$C$2:$V$2928,MATCH(AF286,'[2]Cross-Section Database'!$B$2:$B$2928,0),5)</f>
        <v>9</v>
      </c>
      <c r="AK286" s="21">
        <v>1300</v>
      </c>
      <c r="AL286" s="21">
        <f>INDEX('[2]Cross-Section Database'!$C$2:$V$3928,MATCH(AF286,'[2]Cross-Section Database'!$B$2:$B$3928,0),11)</f>
        <v>229300000</v>
      </c>
      <c r="AM286" s="24">
        <f>INDEX('[2]Cross-Section Database'!$C$2:$V$3928,MATCH(AF286,'[2]Cross-Section Database'!$B$2:$B$3928,0),12)</f>
        <v>1628000</v>
      </c>
      <c r="AN286" s="21">
        <v>10.15</v>
      </c>
      <c r="AO286" s="21">
        <v>300</v>
      </c>
      <c r="AP286" s="21">
        <v>360</v>
      </c>
      <c r="AQ286" s="21">
        <v>25</v>
      </c>
      <c r="AR286" s="21">
        <v>25</v>
      </c>
      <c r="AS286" s="306" t="s">
        <v>5807</v>
      </c>
      <c r="AT286" s="163" t="s">
        <v>4499</v>
      </c>
      <c r="AU286" s="21">
        <f t="shared" si="155"/>
        <v>75.365499999999997</v>
      </c>
      <c r="AV286" s="163">
        <v>24</v>
      </c>
      <c r="AW286" s="163">
        <f t="shared" si="135"/>
        <v>353</v>
      </c>
      <c r="AX286" s="21">
        <v>100</v>
      </c>
      <c r="AY286" s="21">
        <v>100</v>
      </c>
      <c r="AZ286" s="21">
        <v>0</v>
      </c>
      <c r="BA286" s="21">
        <v>150</v>
      </c>
      <c r="BB286" s="21">
        <v>160</v>
      </c>
      <c r="BC286" s="15" t="s">
        <v>6313</v>
      </c>
      <c r="BD286" s="163" t="s">
        <v>6209</v>
      </c>
      <c r="BE286" s="163" t="s">
        <v>6209</v>
      </c>
      <c r="BF286" s="163">
        <v>2</v>
      </c>
      <c r="BG286" s="163">
        <v>4</v>
      </c>
      <c r="BH286" s="202" t="s">
        <v>5792</v>
      </c>
      <c r="BI286" s="203" t="s">
        <v>5792</v>
      </c>
      <c r="BJ286" s="203" t="s">
        <v>5792</v>
      </c>
      <c r="BK286" s="203" t="s">
        <v>5792</v>
      </c>
      <c r="BL286" s="203" t="s">
        <v>5792</v>
      </c>
      <c r="BM286" s="203" t="s">
        <v>5792</v>
      </c>
      <c r="BN286" s="203" t="s">
        <v>5792</v>
      </c>
      <c r="BO286" s="203" t="s">
        <v>5792</v>
      </c>
      <c r="BP286" s="202" t="s">
        <v>5792</v>
      </c>
      <c r="BQ286" s="203" t="s">
        <v>5792</v>
      </c>
      <c r="BR286" s="203" t="s">
        <v>5792</v>
      </c>
      <c r="BS286" s="203" t="s">
        <v>5792</v>
      </c>
      <c r="BT286" s="203" t="s">
        <v>5792</v>
      </c>
      <c r="BU286" s="203" t="s">
        <v>5792</v>
      </c>
      <c r="BV286" s="218" t="s">
        <v>5792</v>
      </c>
      <c r="BW286" s="203" t="s">
        <v>5792</v>
      </c>
      <c r="BX286" s="203" t="s">
        <v>5792</v>
      </c>
      <c r="BY286" s="203" t="s">
        <v>5792</v>
      </c>
      <c r="BZ286" s="203" t="s">
        <v>5792</v>
      </c>
      <c r="CA286" s="203" t="s">
        <v>5792</v>
      </c>
      <c r="CB286" s="218" t="s">
        <v>5792</v>
      </c>
      <c r="CC286" s="306" t="s">
        <v>5972</v>
      </c>
      <c r="CD286" s="163">
        <v>355</v>
      </c>
      <c r="CE286" s="33">
        <f t="shared" si="156"/>
        <v>390.50000000000006</v>
      </c>
      <c r="CF286" s="63">
        <v>470</v>
      </c>
      <c r="CG286" s="33">
        <f t="shared" si="157"/>
        <v>517</v>
      </c>
      <c r="CH286" s="67">
        <v>200000</v>
      </c>
      <c r="CI286" s="306" t="s">
        <v>5972</v>
      </c>
      <c r="CJ286" s="60">
        <v>355</v>
      </c>
      <c r="CK286" s="33">
        <f t="shared" si="158"/>
        <v>390.50000000000006</v>
      </c>
      <c r="CL286" s="60">
        <v>470</v>
      </c>
      <c r="CM286" s="33">
        <f t="shared" si="159"/>
        <v>517</v>
      </c>
      <c r="CN286" s="67">
        <v>200000</v>
      </c>
      <c r="CO286" s="306" t="s">
        <v>4385</v>
      </c>
      <c r="CP286" s="21">
        <v>690</v>
      </c>
      <c r="CQ286" s="21">
        <v>697.8</v>
      </c>
      <c r="CR286" s="21">
        <v>770</v>
      </c>
      <c r="CS286" s="21">
        <f>CQ286/0.93</f>
        <v>750.32258064516122</v>
      </c>
      <c r="CT286" s="69">
        <v>205900</v>
      </c>
      <c r="CU286" s="207" t="s">
        <v>5792</v>
      </c>
      <c r="CV286" s="208" t="s">
        <v>5792</v>
      </c>
      <c r="CW286" s="208" t="s">
        <v>5792</v>
      </c>
      <c r="CX286" s="209" t="s">
        <v>5792</v>
      </c>
      <c r="CY286" s="207" t="s">
        <v>5792</v>
      </c>
      <c r="CZ286" s="208" t="s">
        <v>5792</v>
      </c>
      <c r="DA286" s="209" t="s">
        <v>5792</v>
      </c>
      <c r="DB286" s="283" t="s">
        <v>5792</v>
      </c>
      <c r="DC286" s="163">
        <v>12.9</v>
      </c>
      <c r="DD286" s="163">
        <v>1100</v>
      </c>
      <c r="DE286" s="21">
        <v>112.5</v>
      </c>
      <c r="DF286" s="163">
        <v>1220</v>
      </c>
      <c r="DG286" s="163">
        <v>1413</v>
      </c>
      <c r="DH286" s="67">
        <v>200000</v>
      </c>
      <c r="DI286" s="29" t="s">
        <v>5839</v>
      </c>
      <c r="DJ286" s="306" t="s">
        <v>4435</v>
      </c>
      <c r="DK286" s="297" t="s">
        <v>4566</v>
      </c>
    </row>
    <row r="287" spans="1:115">
      <c r="A287" s="306">
        <v>282</v>
      </c>
      <c r="B287" s="326"/>
      <c r="C287" s="326"/>
      <c r="D287" s="343"/>
      <c r="E287" s="343"/>
      <c r="F287" s="326"/>
      <c r="G287" s="337"/>
      <c r="H287" s="337"/>
      <c r="I287" s="337"/>
      <c r="J287" s="41" t="s">
        <v>6330</v>
      </c>
      <c r="K287" s="306" t="s">
        <v>4383</v>
      </c>
      <c r="L287" s="163" t="s">
        <v>5792</v>
      </c>
      <c r="M287" s="306" t="s">
        <v>4509</v>
      </c>
      <c r="N287" s="163" t="s">
        <v>4703</v>
      </c>
      <c r="O287" s="18" t="s">
        <v>4507</v>
      </c>
      <c r="P287" s="163" t="s">
        <v>6312</v>
      </c>
      <c r="Q287" s="163" t="s">
        <v>4420</v>
      </c>
      <c r="R287" s="163" t="s">
        <v>4420</v>
      </c>
      <c r="S287" s="163" t="s">
        <v>5792</v>
      </c>
      <c r="T287" s="163" t="s">
        <v>4420</v>
      </c>
      <c r="U287" s="163" t="s">
        <v>5792</v>
      </c>
      <c r="V287" s="163" t="s">
        <v>6051</v>
      </c>
      <c r="W287" s="18">
        <v>10</v>
      </c>
      <c r="X287" s="230">
        <v>0</v>
      </c>
      <c r="Y287" s="18">
        <v>0</v>
      </c>
      <c r="Z287" s="306" t="s">
        <v>6293</v>
      </c>
      <c r="AA287" s="21">
        <f>INDEX('[2]Cross-Section Database'!$C$2:$V$2928,MATCH(Z287,'[2]Cross-Section Database'!$B$2:$B$2928,0),3)</f>
        <v>340</v>
      </c>
      <c r="AB287" s="21">
        <f>INDEX('[2]Cross-Section Database'!$C$2:$V$2928,MATCH(Z287,'[2]Cross-Section Database'!$B$2:$B$2928,0),4)</f>
        <v>310</v>
      </c>
      <c r="AC287" s="21">
        <f>INDEX('[2]Cross-Section Database'!$C$2:$V$2928,MATCH(Z287,'[2]Cross-Section Database'!$B$2:$B$2928,0),6)</f>
        <v>39</v>
      </c>
      <c r="AD287" s="21">
        <f>INDEX('[2]Cross-Section Database'!$C$2:$V$2928,MATCH(Z287,'[2]Cross-Section Database'!$B$2:$B$2928,0),5)</f>
        <v>21</v>
      </c>
      <c r="AE287" s="21">
        <v>1540</v>
      </c>
      <c r="AF287" s="306" t="s">
        <v>6328</v>
      </c>
      <c r="AG287" s="21">
        <f>INDEX('[2]Cross-Section Database'!$C$2:$V$2928,MATCH(AF287,'[2]Cross-Section Database'!$B$2:$B$2928,0),3)</f>
        <v>310</v>
      </c>
      <c r="AH287" s="21">
        <f>INDEX('[2]Cross-Section Database'!$C$2:$V$2928,MATCH(AF287,'[2]Cross-Section Database'!$B$2:$B$2928,0),4)</f>
        <v>300</v>
      </c>
      <c r="AI287" s="21">
        <f>INDEX('[2]Cross-Section Database'!$C$2:$V$2928,MATCH(AF287,'[2]Cross-Section Database'!$B$2:$B$2928,0),6)</f>
        <v>15.5</v>
      </c>
      <c r="AJ287" s="21">
        <f>INDEX('[2]Cross-Section Database'!$C$2:$V$2928,MATCH(AF287,'[2]Cross-Section Database'!$B$2:$B$2928,0),5)</f>
        <v>9</v>
      </c>
      <c r="AK287" s="21">
        <v>1300</v>
      </c>
      <c r="AL287" s="21">
        <f>INDEX('[2]Cross-Section Database'!$C$2:$V$3928,MATCH(AF287,'[2]Cross-Section Database'!$B$2:$B$3928,0),11)</f>
        <v>229300000</v>
      </c>
      <c r="AM287" s="24">
        <f>INDEX('[2]Cross-Section Database'!$C$2:$V$3928,MATCH(AF287,'[2]Cross-Section Database'!$B$2:$B$3928,0),12)</f>
        <v>1628000</v>
      </c>
      <c r="AN287" s="21">
        <v>10.25</v>
      </c>
      <c r="AO287" s="21">
        <v>300</v>
      </c>
      <c r="AP287" s="21">
        <v>310</v>
      </c>
      <c r="AQ287" s="21">
        <v>0</v>
      </c>
      <c r="AR287" s="21">
        <v>0</v>
      </c>
      <c r="AS287" s="306" t="s">
        <v>5807</v>
      </c>
      <c r="AT287" s="163" t="s">
        <v>4499</v>
      </c>
      <c r="AU287" s="21">
        <f t="shared" si="155"/>
        <v>75.365499999999997</v>
      </c>
      <c r="AV287" s="163">
        <v>24</v>
      </c>
      <c r="AW287" s="163">
        <f t="shared" si="135"/>
        <v>353</v>
      </c>
      <c r="AX287" s="21">
        <v>75</v>
      </c>
      <c r="AY287" s="21">
        <v>75</v>
      </c>
      <c r="AZ287" s="21">
        <v>0</v>
      </c>
      <c r="BA287" s="21">
        <v>150</v>
      </c>
      <c r="BB287" s="21">
        <v>160</v>
      </c>
      <c r="BC287" s="15" t="s">
        <v>6313</v>
      </c>
      <c r="BD287" s="163" t="s">
        <v>6209</v>
      </c>
      <c r="BE287" s="163" t="s">
        <v>6209</v>
      </c>
      <c r="BF287" s="163">
        <v>2</v>
      </c>
      <c r="BG287" s="163">
        <v>4</v>
      </c>
      <c r="BH287" s="202" t="s">
        <v>5792</v>
      </c>
      <c r="BI287" s="203" t="s">
        <v>5792</v>
      </c>
      <c r="BJ287" s="203" t="s">
        <v>5792</v>
      </c>
      <c r="BK287" s="203" t="s">
        <v>5792</v>
      </c>
      <c r="BL287" s="203" t="s">
        <v>5792</v>
      </c>
      <c r="BM287" s="203" t="s">
        <v>5792</v>
      </c>
      <c r="BN287" s="203" t="s">
        <v>5792</v>
      </c>
      <c r="BO287" s="203" t="s">
        <v>5792</v>
      </c>
      <c r="BP287" s="202" t="s">
        <v>5792</v>
      </c>
      <c r="BQ287" s="203" t="s">
        <v>5792</v>
      </c>
      <c r="BR287" s="203" t="s">
        <v>5792</v>
      </c>
      <c r="BS287" s="203" t="s">
        <v>5792</v>
      </c>
      <c r="BT287" s="203" t="s">
        <v>5792</v>
      </c>
      <c r="BU287" s="203" t="s">
        <v>5792</v>
      </c>
      <c r="BV287" s="218" t="s">
        <v>5792</v>
      </c>
      <c r="BW287" s="203" t="s">
        <v>5792</v>
      </c>
      <c r="BX287" s="203" t="s">
        <v>5792</v>
      </c>
      <c r="BY287" s="203" t="s">
        <v>5792</v>
      </c>
      <c r="BZ287" s="203" t="s">
        <v>5792</v>
      </c>
      <c r="CA287" s="203" t="s">
        <v>5792</v>
      </c>
      <c r="CB287" s="218" t="s">
        <v>5792</v>
      </c>
      <c r="CC287" s="306" t="s">
        <v>5972</v>
      </c>
      <c r="CD287" s="163">
        <v>355</v>
      </c>
      <c r="CE287" s="33">
        <f t="shared" si="156"/>
        <v>390.50000000000006</v>
      </c>
      <c r="CF287" s="63">
        <v>470</v>
      </c>
      <c r="CG287" s="33">
        <f t="shared" si="157"/>
        <v>517</v>
      </c>
      <c r="CH287" s="67">
        <v>200000</v>
      </c>
      <c r="CI287" s="306" t="s">
        <v>5972</v>
      </c>
      <c r="CJ287" s="60">
        <v>355</v>
      </c>
      <c r="CK287" s="33">
        <f t="shared" si="158"/>
        <v>390.50000000000006</v>
      </c>
      <c r="CL287" s="60">
        <v>470</v>
      </c>
      <c r="CM287" s="33">
        <f t="shared" si="159"/>
        <v>517</v>
      </c>
      <c r="CN287" s="67">
        <v>200000</v>
      </c>
      <c r="CO287" s="306" t="s">
        <v>4385</v>
      </c>
      <c r="CP287" s="21">
        <v>690</v>
      </c>
      <c r="CQ287" s="21">
        <v>697.8</v>
      </c>
      <c r="CR287" s="21">
        <v>770</v>
      </c>
      <c r="CS287" s="21">
        <f>CQ287/0.93</f>
        <v>750.32258064516122</v>
      </c>
      <c r="CT287" s="69">
        <v>205900</v>
      </c>
      <c r="CU287" s="207" t="s">
        <v>5792</v>
      </c>
      <c r="CV287" s="208" t="s">
        <v>5792</v>
      </c>
      <c r="CW287" s="208" t="s">
        <v>5792</v>
      </c>
      <c r="CX287" s="209" t="s">
        <v>5792</v>
      </c>
      <c r="CY287" s="207" t="s">
        <v>5792</v>
      </c>
      <c r="CZ287" s="208" t="s">
        <v>5792</v>
      </c>
      <c r="DA287" s="209" t="s">
        <v>5792</v>
      </c>
      <c r="DB287" s="283" t="s">
        <v>5792</v>
      </c>
      <c r="DC287" s="163">
        <v>12.9</v>
      </c>
      <c r="DD287" s="163">
        <v>1100</v>
      </c>
      <c r="DE287" s="21">
        <v>112.5</v>
      </c>
      <c r="DF287" s="163">
        <v>1220</v>
      </c>
      <c r="DG287" s="163">
        <v>1413</v>
      </c>
      <c r="DH287" s="67">
        <v>200000</v>
      </c>
      <c r="DI287" s="29" t="s">
        <v>5839</v>
      </c>
      <c r="DJ287" s="306" t="s">
        <v>4435</v>
      </c>
      <c r="DK287" s="297" t="s">
        <v>4566</v>
      </c>
    </row>
    <row r="288" spans="1:115">
      <c r="A288" s="306">
        <v>283</v>
      </c>
      <c r="B288" s="326"/>
      <c r="C288" s="326"/>
      <c r="D288" s="343"/>
      <c r="E288" s="343"/>
      <c r="F288" s="326"/>
      <c r="G288" s="337"/>
      <c r="H288" s="337"/>
      <c r="I288" s="337"/>
      <c r="J288" s="41" t="s">
        <v>4827</v>
      </c>
      <c r="K288" s="306" t="s">
        <v>4383</v>
      </c>
      <c r="L288" s="163" t="s">
        <v>5792</v>
      </c>
      <c r="M288" s="306" t="s">
        <v>4509</v>
      </c>
      <c r="N288" s="163" t="s">
        <v>4703</v>
      </c>
      <c r="O288" s="18" t="s">
        <v>4507</v>
      </c>
      <c r="P288" s="163" t="s">
        <v>6312</v>
      </c>
      <c r="Q288" s="163" t="s">
        <v>4420</v>
      </c>
      <c r="R288" s="163" t="s">
        <v>4420</v>
      </c>
      <c r="S288" s="163" t="s">
        <v>5792</v>
      </c>
      <c r="T288" s="163" t="s">
        <v>4420</v>
      </c>
      <c r="U288" s="163" t="s">
        <v>5792</v>
      </c>
      <c r="V288" s="163" t="s">
        <v>6051</v>
      </c>
      <c r="W288" s="18">
        <v>10</v>
      </c>
      <c r="X288" s="230">
        <v>0</v>
      </c>
      <c r="Y288" s="18">
        <v>0</v>
      </c>
      <c r="Z288" s="306" t="s">
        <v>6293</v>
      </c>
      <c r="AA288" s="21">
        <f>INDEX('[2]Cross-Section Database'!$C$2:$V$2928,MATCH(Z288,'[2]Cross-Section Database'!$B$2:$B$2928,0),3)</f>
        <v>340</v>
      </c>
      <c r="AB288" s="21">
        <f>INDEX('[2]Cross-Section Database'!$C$2:$V$2928,MATCH(Z288,'[2]Cross-Section Database'!$B$2:$B$2928,0),4)</f>
        <v>310</v>
      </c>
      <c r="AC288" s="21">
        <f>INDEX('[2]Cross-Section Database'!$C$2:$V$2928,MATCH(Z288,'[2]Cross-Section Database'!$B$2:$B$2928,0),6)</f>
        <v>39</v>
      </c>
      <c r="AD288" s="21">
        <f>INDEX('[2]Cross-Section Database'!$C$2:$V$2928,MATCH(Z288,'[2]Cross-Section Database'!$B$2:$B$2928,0),5)</f>
        <v>21</v>
      </c>
      <c r="AE288" s="21">
        <v>1540</v>
      </c>
      <c r="AF288" s="306" t="s">
        <v>6328</v>
      </c>
      <c r="AG288" s="21">
        <f>INDEX('[2]Cross-Section Database'!$C$2:$V$2928,MATCH(AF288,'[2]Cross-Section Database'!$B$2:$B$2928,0),3)</f>
        <v>310</v>
      </c>
      <c r="AH288" s="21">
        <f>INDEX('[2]Cross-Section Database'!$C$2:$V$2928,MATCH(AF288,'[2]Cross-Section Database'!$B$2:$B$2928,0),4)</f>
        <v>300</v>
      </c>
      <c r="AI288" s="21">
        <f>INDEX('[2]Cross-Section Database'!$C$2:$V$2928,MATCH(AF288,'[2]Cross-Section Database'!$B$2:$B$2928,0),6)</f>
        <v>15.5</v>
      </c>
      <c r="AJ288" s="21">
        <f>INDEX('[2]Cross-Section Database'!$C$2:$V$2928,MATCH(AF288,'[2]Cross-Section Database'!$B$2:$B$2928,0),5)</f>
        <v>9</v>
      </c>
      <c r="AK288" s="21">
        <v>1300</v>
      </c>
      <c r="AL288" s="21">
        <f>INDEX('[2]Cross-Section Database'!$C$2:$V$3928,MATCH(AF288,'[2]Cross-Section Database'!$B$2:$B$3928,0),11)</f>
        <v>229300000</v>
      </c>
      <c r="AM288" s="24">
        <f>INDEX('[2]Cross-Section Database'!$C$2:$V$3928,MATCH(AF288,'[2]Cross-Section Database'!$B$2:$B$3928,0),12)</f>
        <v>1628000</v>
      </c>
      <c r="AN288" s="21">
        <v>10.15</v>
      </c>
      <c r="AO288" s="21">
        <v>300</v>
      </c>
      <c r="AP288" s="21">
        <v>360</v>
      </c>
      <c r="AQ288" s="21">
        <v>25</v>
      </c>
      <c r="AR288" s="21">
        <v>25</v>
      </c>
      <c r="AS288" s="306" t="s">
        <v>5807</v>
      </c>
      <c r="AT288" s="163" t="s">
        <v>4499</v>
      </c>
      <c r="AU288" s="21">
        <f t="shared" si="155"/>
        <v>75.365499999999997</v>
      </c>
      <c r="AV288" s="163">
        <v>24</v>
      </c>
      <c r="AW288" s="163">
        <f t="shared" si="135"/>
        <v>353</v>
      </c>
      <c r="AX288" s="21">
        <v>100</v>
      </c>
      <c r="AY288" s="21">
        <v>100</v>
      </c>
      <c r="AZ288" s="21">
        <v>0</v>
      </c>
      <c r="BA288" s="21">
        <v>150</v>
      </c>
      <c r="BB288" s="21">
        <v>160</v>
      </c>
      <c r="BC288" s="15" t="s">
        <v>6313</v>
      </c>
      <c r="BD288" s="163" t="s">
        <v>6209</v>
      </c>
      <c r="BE288" s="163" t="s">
        <v>6209</v>
      </c>
      <c r="BF288" s="163">
        <v>2</v>
      </c>
      <c r="BG288" s="163">
        <v>4</v>
      </c>
      <c r="BH288" s="202" t="s">
        <v>5792</v>
      </c>
      <c r="BI288" s="203" t="s">
        <v>5792</v>
      </c>
      <c r="BJ288" s="203" t="s">
        <v>5792</v>
      </c>
      <c r="BK288" s="203" t="s">
        <v>5792</v>
      </c>
      <c r="BL288" s="203" t="s">
        <v>5792</v>
      </c>
      <c r="BM288" s="203" t="s">
        <v>5792</v>
      </c>
      <c r="BN288" s="203" t="s">
        <v>5792</v>
      </c>
      <c r="BO288" s="203" t="s">
        <v>5792</v>
      </c>
      <c r="BP288" s="202" t="s">
        <v>5792</v>
      </c>
      <c r="BQ288" s="203" t="s">
        <v>5792</v>
      </c>
      <c r="BR288" s="203" t="s">
        <v>5792</v>
      </c>
      <c r="BS288" s="203" t="s">
        <v>5792</v>
      </c>
      <c r="BT288" s="203" t="s">
        <v>5792</v>
      </c>
      <c r="BU288" s="203" t="s">
        <v>5792</v>
      </c>
      <c r="BV288" s="218" t="s">
        <v>5792</v>
      </c>
      <c r="BW288" s="203" t="s">
        <v>5792</v>
      </c>
      <c r="BX288" s="203" t="s">
        <v>5792</v>
      </c>
      <c r="BY288" s="203" t="s">
        <v>5792</v>
      </c>
      <c r="BZ288" s="203" t="s">
        <v>5792</v>
      </c>
      <c r="CA288" s="203" t="s">
        <v>5792</v>
      </c>
      <c r="CB288" s="218" t="s">
        <v>5792</v>
      </c>
      <c r="CC288" s="306" t="s">
        <v>5972</v>
      </c>
      <c r="CD288" s="163">
        <v>355</v>
      </c>
      <c r="CE288" s="33">
        <f t="shared" si="156"/>
        <v>390.50000000000006</v>
      </c>
      <c r="CF288" s="63">
        <v>470</v>
      </c>
      <c r="CG288" s="33">
        <f t="shared" si="157"/>
        <v>517</v>
      </c>
      <c r="CH288" s="67">
        <v>200000</v>
      </c>
      <c r="CI288" s="306" t="s">
        <v>5972</v>
      </c>
      <c r="CJ288" s="60">
        <v>355</v>
      </c>
      <c r="CK288" s="33">
        <f t="shared" si="158"/>
        <v>390.50000000000006</v>
      </c>
      <c r="CL288" s="60">
        <v>470</v>
      </c>
      <c r="CM288" s="33">
        <f t="shared" si="159"/>
        <v>517</v>
      </c>
      <c r="CN288" s="67">
        <v>200000</v>
      </c>
      <c r="CO288" s="306" t="s">
        <v>4831</v>
      </c>
      <c r="CP288" s="21">
        <v>960</v>
      </c>
      <c r="CQ288" s="21">
        <v>951.7</v>
      </c>
      <c r="CR288" s="21">
        <v>1050</v>
      </c>
      <c r="CS288" s="21">
        <v>1051</v>
      </c>
      <c r="CT288" s="69">
        <v>201800</v>
      </c>
      <c r="CU288" s="207" t="s">
        <v>5792</v>
      </c>
      <c r="CV288" s="208" t="s">
        <v>5792</v>
      </c>
      <c r="CW288" s="208" t="s">
        <v>5792</v>
      </c>
      <c r="CX288" s="209" t="s">
        <v>5792</v>
      </c>
      <c r="CY288" s="207" t="s">
        <v>5792</v>
      </c>
      <c r="CZ288" s="208" t="s">
        <v>5792</v>
      </c>
      <c r="DA288" s="209" t="s">
        <v>5792</v>
      </c>
      <c r="DB288" s="283" t="s">
        <v>5792</v>
      </c>
      <c r="DC288" s="163">
        <v>12.9</v>
      </c>
      <c r="DD288" s="163">
        <v>1100</v>
      </c>
      <c r="DE288" s="21">
        <v>112.5</v>
      </c>
      <c r="DF288" s="163">
        <v>1220</v>
      </c>
      <c r="DG288" s="163">
        <v>1413</v>
      </c>
      <c r="DH288" s="67">
        <v>200000</v>
      </c>
      <c r="DI288" s="29" t="s">
        <v>15</v>
      </c>
      <c r="DJ288" s="306" t="s">
        <v>4435</v>
      </c>
      <c r="DK288" s="297" t="s">
        <v>4566</v>
      </c>
    </row>
    <row r="289" spans="1:115">
      <c r="A289" s="306">
        <v>284</v>
      </c>
      <c r="B289" s="326"/>
      <c r="C289" s="326"/>
      <c r="D289" s="343"/>
      <c r="E289" s="343"/>
      <c r="F289" s="326"/>
      <c r="G289" s="337"/>
      <c r="H289" s="337"/>
      <c r="I289" s="337"/>
      <c r="J289" s="41" t="s">
        <v>4828</v>
      </c>
      <c r="K289" s="306" t="s">
        <v>4383</v>
      </c>
      <c r="L289" s="163" t="s">
        <v>5792</v>
      </c>
      <c r="M289" s="306" t="s">
        <v>4509</v>
      </c>
      <c r="N289" s="163" t="s">
        <v>4703</v>
      </c>
      <c r="O289" s="18" t="s">
        <v>4507</v>
      </c>
      <c r="P289" s="163" t="s">
        <v>6312</v>
      </c>
      <c r="Q289" s="163" t="s">
        <v>4420</v>
      </c>
      <c r="R289" s="163" t="s">
        <v>4420</v>
      </c>
      <c r="S289" s="163" t="s">
        <v>5792</v>
      </c>
      <c r="T289" s="163" t="s">
        <v>4420</v>
      </c>
      <c r="U289" s="163" t="s">
        <v>5792</v>
      </c>
      <c r="V289" s="163" t="s">
        <v>6051</v>
      </c>
      <c r="W289" s="18">
        <v>10</v>
      </c>
      <c r="X289" s="230">
        <v>0</v>
      </c>
      <c r="Y289" s="18">
        <v>0</v>
      </c>
      <c r="Z289" s="306" t="s">
        <v>6293</v>
      </c>
      <c r="AA289" s="21">
        <f>INDEX('[2]Cross-Section Database'!$C$2:$V$2928,MATCH(Z289,'[2]Cross-Section Database'!$B$2:$B$2928,0),3)</f>
        <v>340</v>
      </c>
      <c r="AB289" s="21">
        <f>INDEX('[2]Cross-Section Database'!$C$2:$V$2928,MATCH(Z289,'[2]Cross-Section Database'!$B$2:$B$2928,0),4)</f>
        <v>310</v>
      </c>
      <c r="AC289" s="21">
        <f>INDEX('[2]Cross-Section Database'!$C$2:$V$2928,MATCH(Z289,'[2]Cross-Section Database'!$B$2:$B$2928,0),6)</f>
        <v>39</v>
      </c>
      <c r="AD289" s="21">
        <f>INDEX('[2]Cross-Section Database'!$C$2:$V$2928,MATCH(Z289,'[2]Cross-Section Database'!$B$2:$B$2928,0),5)</f>
        <v>21</v>
      </c>
      <c r="AE289" s="21">
        <v>1540</v>
      </c>
      <c r="AF289" s="306" t="s">
        <v>6328</v>
      </c>
      <c r="AG289" s="21">
        <f>INDEX('[2]Cross-Section Database'!$C$2:$V$2928,MATCH(AF289,'[2]Cross-Section Database'!$B$2:$B$2928,0),3)</f>
        <v>310</v>
      </c>
      <c r="AH289" s="21">
        <f>INDEX('[2]Cross-Section Database'!$C$2:$V$2928,MATCH(AF289,'[2]Cross-Section Database'!$B$2:$B$2928,0),4)</f>
        <v>300</v>
      </c>
      <c r="AI289" s="21">
        <f>INDEX('[2]Cross-Section Database'!$C$2:$V$2928,MATCH(AF289,'[2]Cross-Section Database'!$B$2:$B$2928,0),6)</f>
        <v>15.5</v>
      </c>
      <c r="AJ289" s="21">
        <f>INDEX('[2]Cross-Section Database'!$C$2:$V$2928,MATCH(AF289,'[2]Cross-Section Database'!$B$2:$B$2928,0),5)</f>
        <v>9</v>
      </c>
      <c r="AK289" s="21">
        <v>1300</v>
      </c>
      <c r="AL289" s="21">
        <f>INDEX('[2]Cross-Section Database'!$C$2:$V$3928,MATCH(AF289,'[2]Cross-Section Database'!$B$2:$B$3928,0),11)</f>
        <v>229300000</v>
      </c>
      <c r="AM289" s="24">
        <f>INDEX('[2]Cross-Section Database'!$C$2:$V$3928,MATCH(AF289,'[2]Cross-Section Database'!$B$2:$B$3928,0),12)</f>
        <v>1628000</v>
      </c>
      <c r="AN289" s="21">
        <v>10.25</v>
      </c>
      <c r="AO289" s="21">
        <v>300</v>
      </c>
      <c r="AP289" s="21">
        <v>310</v>
      </c>
      <c r="AQ289" s="21">
        <v>0</v>
      </c>
      <c r="AR289" s="21">
        <v>0</v>
      </c>
      <c r="AS289" s="306" t="s">
        <v>5807</v>
      </c>
      <c r="AT289" s="163" t="s">
        <v>4499</v>
      </c>
      <c r="AU289" s="21">
        <f t="shared" si="155"/>
        <v>75.365499999999997</v>
      </c>
      <c r="AV289" s="163">
        <v>24</v>
      </c>
      <c r="AW289" s="163">
        <f t="shared" si="135"/>
        <v>353</v>
      </c>
      <c r="AX289" s="21">
        <v>75</v>
      </c>
      <c r="AY289" s="21">
        <v>75</v>
      </c>
      <c r="AZ289" s="21">
        <v>0</v>
      </c>
      <c r="BA289" s="21">
        <v>150</v>
      </c>
      <c r="BB289" s="21">
        <v>160</v>
      </c>
      <c r="BC289" s="15" t="s">
        <v>6313</v>
      </c>
      <c r="BD289" s="163" t="s">
        <v>6209</v>
      </c>
      <c r="BE289" s="163" t="s">
        <v>6209</v>
      </c>
      <c r="BF289" s="163">
        <v>2</v>
      </c>
      <c r="BG289" s="163">
        <v>4</v>
      </c>
      <c r="BH289" s="202" t="s">
        <v>5792</v>
      </c>
      <c r="BI289" s="203" t="s">
        <v>5792</v>
      </c>
      <c r="BJ289" s="203" t="s">
        <v>5792</v>
      </c>
      <c r="BK289" s="203" t="s">
        <v>5792</v>
      </c>
      <c r="BL289" s="203" t="s">
        <v>5792</v>
      </c>
      <c r="BM289" s="203" t="s">
        <v>5792</v>
      </c>
      <c r="BN289" s="203" t="s">
        <v>5792</v>
      </c>
      <c r="BO289" s="203" t="s">
        <v>5792</v>
      </c>
      <c r="BP289" s="202" t="s">
        <v>5792</v>
      </c>
      <c r="BQ289" s="203" t="s">
        <v>5792</v>
      </c>
      <c r="BR289" s="203" t="s">
        <v>5792</v>
      </c>
      <c r="BS289" s="203" t="s">
        <v>5792</v>
      </c>
      <c r="BT289" s="203" t="s">
        <v>5792</v>
      </c>
      <c r="BU289" s="203" t="s">
        <v>5792</v>
      </c>
      <c r="BV289" s="218" t="s">
        <v>5792</v>
      </c>
      <c r="BW289" s="203" t="s">
        <v>5792</v>
      </c>
      <c r="BX289" s="203" t="s">
        <v>5792</v>
      </c>
      <c r="BY289" s="203" t="s">
        <v>5792</v>
      </c>
      <c r="BZ289" s="203" t="s">
        <v>5792</v>
      </c>
      <c r="CA289" s="203" t="s">
        <v>5792</v>
      </c>
      <c r="CB289" s="218" t="s">
        <v>5792</v>
      </c>
      <c r="CC289" s="306" t="s">
        <v>5972</v>
      </c>
      <c r="CD289" s="163">
        <v>355</v>
      </c>
      <c r="CE289" s="33">
        <f t="shared" si="156"/>
        <v>390.50000000000006</v>
      </c>
      <c r="CF289" s="63">
        <v>470</v>
      </c>
      <c r="CG289" s="33">
        <f t="shared" si="157"/>
        <v>517</v>
      </c>
      <c r="CH289" s="67">
        <v>200000</v>
      </c>
      <c r="CI289" s="306" t="s">
        <v>5972</v>
      </c>
      <c r="CJ289" s="60">
        <v>355</v>
      </c>
      <c r="CK289" s="33">
        <f t="shared" si="158"/>
        <v>390.50000000000006</v>
      </c>
      <c r="CL289" s="60">
        <v>470</v>
      </c>
      <c r="CM289" s="33">
        <f t="shared" si="159"/>
        <v>517</v>
      </c>
      <c r="CN289" s="67">
        <v>200000</v>
      </c>
      <c r="CO289" s="306" t="s">
        <v>4831</v>
      </c>
      <c r="CP289" s="21">
        <v>960</v>
      </c>
      <c r="CQ289" s="21">
        <v>951.7</v>
      </c>
      <c r="CR289" s="21">
        <v>1050</v>
      </c>
      <c r="CS289" s="21">
        <v>1051</v>
      </c>
      <c r="CT289" s="69">
        <v>201800</v>
      </c>
      <c r="CU289" s="207" t="s">
        <v>5792</v>
      </c>
      <c r="CV289" s="208" t="s">
        <v>5792</v>
      </c>
      <c r="CW289" s="208" t="s">
        <v>5792</v>
      </c>
      <c r="CX289" s="209" t="s">
        <v>5792</v>
      </c>
      <c r="CY289" s="207" t="s">
        <v>5792</v>
      </c>
      <c r="CZ289" s="208" t="s">
        <v>5792</v>
      </c>
      <c r="DA289" s="209" t="s">
        <v>5792</v>
      </c>
      <c r="DB289" s="283" t="s">
        <v>5792</v>
      </c>
      <c r="DC289" s="163">
        <v>12.9</v>
      </c>
      <c r="DD289" s="163">
        <v>1100</v>
      </c>
      <c r="DE289" s="21">
        <v>112.5</v>
      </c>
      <c r="DF289" s="163">
        <v>1220</v>
      </c>
      <c r="DG289" s="163">
        <v>1413</v>
      </c>
      <c r="DH289" s="67">
        <v>200000</v>
      </c>
      <c r="DI289" s="29" t="s">
        <v>15</v>
      </c>
      <c r="DJ289" s="306" t="s">
        <v>4435</v>
      </c>
      <c r="DK289" s="297" t="s">
        <v>4566</v>
      </c>
    </row>
    <row r="290" spans="1:115">
      <c r="A290" s="306">
        <v>285</v>
      </c>
      <c r="B290" s="326"/>
      <c r="C290" s="326"/>
      <c r="D290" s="343"/>
      <c r="E290" s="343"/>
      <c r="F290" s="326"/>
      <c r="G290" s="337"/>
      <c r="H290" s="337"/>
      <c r="I290" s="337"/>
      <c r="J290" s="41" t="s">
        <v>4829</v>
      </c>
      <c r="K290" s="306" t="s">
        <v>4383</v>
      </c>
      <c r="L290" s="163" t="s">
        <v>5792</v>
      </c>
      <c r="M290" s="306" t="s">
        <v>4509</v>
      </c>
      <c r="N290" s="163" t="s">
        <v>4703</v>
      </c>
      <c r="O290" s="18" t="s">
        <v>4507</v>
      </c>
      <c r="P290" s="163" t="s">
        <v>6312</v>
      </c>
      <c r="Q290" s="163" t="s">
        <v>4420</v>
      </c>
      <c r="R290" s="163" t="s">
        <v>4420</v>
      </c>
      <c r="S290" s="163" t="s">
        <v>5792</v>
      </c>
      <c r="T290" s="163" t="s">
        <v>4420</v>
      </c>
      <c r="U290" s="163" t="s">
        <v>5792</v>
      </c>
      <c r="V290" s="163" t="s">
        <v>6051</v>
      </c>
      <c r="W290" s="18">
        <v>10</v>
      </c>
      <c r="X290" s="230">
        <v>0</v>
      </c>
      <c r="Y290" s="18">
        <v>0</v>
      </c>
      <c r="Z290" s="306" t="s">
        <v>6293</v>
      </c>
      <c r="AA290" s="21">
        <f>INDEX('[2]Cross-Section Database'!$C$2:$V$2928,MATCH(Z290,'[2]Cross-Section Database'!$B$2:$B$2928,0),3)</f>
        <v>340</v>
      </c>
      <c r="AB290" s="21">
        <f>INDEX('[2]Cross-Section Database'!$C$2:$V$2928,MATCH(Z290,'[2]Cross-Section Database'!$B$2:$B$2928,0),4)</f>
        <v>310</v>
      </c>
      <c r="AC290" s="21">
        <f>INDEX('[2]Cross-Section Database'!$C$2:$V$2928,MATCH(Z290,'[2]Cross-Section Database'!$B$2:$B$2928,0),6)</f>
        <v>39</v>
      </c>
      <c r="AD290" s="21">
        <f>INDEX('[2]Cross-Section Database'!$C$2:$V$2928,MATCH(Z290,'[2]Cross-Section Database'!$B$2:$B$2928,0),5)</f>
        <v>21</v>
      </c>
      <c r="AE290" s="21">
        <v>1540</v>
      </c>
      <c r="AF290" s="306" t="s">
        <v>6328</v>
      </c>
      <c r="AG290" s="21">
        <f>INDEX('[2]Cross-Section Database'!$C$2:$V$2928,MATCH(AF290,'[2]Cross-Section Database'!$B$2:$B$2928,0),3)</f>
        <v>310</v>
      </c>
      <c r="AH290" s="21">
        <f>INDEX('[2]Cross-Section Database'!$C$2:$V$2928,MATCH(AF290,'[2]Cross-Section Database'!$B$2:$B$2928,0),4)</f>
        <v>300</v>
      </c>
      <c r="AI290" s="21">
        <f>INDEX('[2]Cross-Section Database'!$C$2:$V$2928,MATCH(AF290,'[2]Cross-Section Database'!$B$2:$B$2928,0),6)</f>
        <v>15.5</v>
      </c>
      <c r="AJ290" s="21">
        <f>INDEX('[2]Cross-Section Database'!$C$2:$V$2928,MATCH(AF290,'[2]Cross-Section Database'!$B$2:$B$2928,0),5)</f>
        <v>9</v>
      </c>
      <c r="AK290" s="21">
        <v>1300</v>
      </c>
      <c r="AL290" s="21">
        <f>INDEX('[2]Cross-Section Database'!$C$2:$V$3928,MATCH(AF290,'[2]Cross-Section Database'!$B$2:$B$3928,0),11)</f>
        <v>229300000</v>
      </c>
      <c r="AM290" s="24">
        <f>INDEX('[2]Cross-Section Database'!$C$2:$V$3928,MATCH(AF290,'[2]Cross-Section Database'!$B$2:$B$3928,0),12)</f>
        <v>1628000</v>
      </c>
      <c r="AN290" s="21">
        <v>10.25</v>
      </c>
      <c r="AO290" s="21">
        <v>300</v>
      </c>
      <c r="AP290" s="21">
        <v>310</v>
      </c>
      <c r="AQ290" s="21">
        <v>0</v>
      </c>
      <c r="AR290" s="21">
        <v>0</v>
      </c>
      <c r="AS290" s="306" t="s">
        <v>5807</v>
      </c>
      <c r="AT290" s="163" t="s">
        <v>4499</v>
      </c>
      <c r="AU290" s="21">
        <f t="shared" si="155"/>
        <v>66.669749999999979</v>
      </c>
      <c r="AV290" s="163">
        <v>27</v>
      </c>
      <c r="AW290" s="163">
        <v>459</v>
      </c>
      <c r="AX290" s="21">
        <v>75</v>
      </c>
      <c r="AY290" s="21">
        <v>75</v>
      </c>
      <c r="AZ290" s="21">
        <v>0</v>
      </c>
      <c r="BA290" s="21">
        <v>150</v>
      </c>
      <c r="BB290" s="21">
        <v>160</v>
      </c>
      <c r="BC290" s="15" t="s">
        <v>6313</v>
      </c>
      <c r="BD290" s="163" t="s">
        <v>6209</v>
      </c>
      <c r="BE290" s="163" t="s">
        <v>6209</v>
      </c>
      <c r="BF290" s="163">
        <v>2</v>
      </c>
      <c r="BG290" s="163">
        <v>4</v>
      </c>
      <c r="BH290" s="202" t="s">
        <v>5792</v>
      </c>
      <c r="BI290" s="203" t="s">
        <v>5792</v>
      </c>
      <c r="BJ290" s="203" t="s">
        <v>5792</v>
      </c>
      <c r="BK290" s="203" t="s">
        <v>5792</v>
      </c>
      <c r="BL290" s="203" t="s">
        <v>5792</v>
      </c>
      <c r="BM290" s="203" t="s">
        <v>5792</v>
      </c>
      <c r="BN290" s="203" t="s">
        <v>5792</v>
      </c>
      <c r="BO290" s="203" t="s">
        <v>5792</v>
      </c>
      <c r="BP290" s="202" t="s">
        <v>5792</v>
      </c>
      <c r="BQ290" s="203" t="s">
        <v>5792</v>
      </c>
      <c r="BR290" s="203" t="s">
        <v>5792</v>
      </c>
      <c r="BS290" s="203" t="s">
        <v>5792</v>
      </c>
      <c r="BT290" s="203" t="s">
        <v>5792</v>
      </c>
      <c r="BU290" s="203" t="s">
        <v>5792</v>
      </c>
      <c r="BV290" s="218" t="s">
        <v>5792</v>
      </c>
      <c r="BW290" s="203" t="s">
        <v>5792</v>
      </c>
      <c r="BX290" s="203" t="s">
        <v>5792</v>
      </c>
      <c r="BY290" s="203" t="s">
        <v>5792</v>
      </c>
      <c r="BZ290" s="203" t="s">
        <v>5792</v>
      </c>
      <c r="CA290" s="203" t="s">
        <v>5792</v>
      </c>
      <c r="CB290" s="218" t="s">
        <v>5792</v>
      </c>
      <c r="CC290" s="306" t="s">
        <v>5972</v>
      </c>
      <c r="CD290" s="163">
        <v>355</v>
      </c>
      <c r="CE290" s="33">
        <f t="shared" si="156"/>
        <v>390.50000000000006</v>
      </c>
      <c r="CF290" s="63">
        <v>470</v>
      </c>
      <c r="CG290" s="33">
        <f t="shared" si="157"/>
        <v>517</v>
      </c>
      <c r="CH290" s="67">
        <v>200000</v>
      </c>
      <c r="CI290" s="306" t="s">
        <v>5972</v>
      </c>
      <c r="CJ290" s="60">
        <v>355</v>
      </c>
      <c r="CK290" s="33">
        <f t="shared" si="158"/>
        <v>390.50000000000006</v>
      </c>
      <c r="CL290" s="60">
        <v>470</v>
      </c>
      <c r="CM290" s="33">
        <f t="shared" si="159"/>
        <v>517</v>
      </c>
      <c r="CN290" s="67">
        <v>200000</v>
      </c>
      <c r="CO290" s="306" t="s">
        <v>4385</v>
      </c>
      <c r="CP290" s="21">
        <v>690</v>
      </c>
      <c r="CQ290" s="21">
        <v>697.8</v>
      </c>
      <c r="CR290" s="21">
        <v>770</v>
      </c>
      <c r="CS290" s="21">
        <f>CQ290/0.93</f>
        <v>750.32258064516122</v>
      </c>
      <c r="CT290" s="69">
        <v>205900</v>
      </c>
      <c r="CU290" s="207" t="s">
        <v>5792</v>
      </c>
      <c r="CV290" s="208" t="s">
        <v>5792</v>
      </c>
      <c r="CW290" s="208" t="s">
        <v>5792</v>
      </c>
      <c r="CX290" s="209" t="s">
        <v>5792</v>
      </c>
      <c r="CY290" s="207" t="s">
        <v>5792</v>
      </c>
      <c r="CZ290" s="208" t="s">
        <v>5792</v>
      </c>
      <c r="DA290" s="209" t="s">
        <v>5792</v>
      </c>
      <c r="DB290" s="283" t="s">
        <v>5792</v>
      </c>
      <c r="DC290" s="163">
        <v>8.8000000000000007</v>
      </c>
      <c r="DD290" s="163">
        <v>660</v>
      </c>
      <c r="DE290" s="21">
        <v>778.6</v>
      </c>
      <c r="DF290" s="163">
        <v>830</v>
      </c>
      <c r="DG290" s="163">
        <v>1013</v>
      </c>
      <c r="DH290" s="67">
        <v>200000</v>
      </c>
      <c r="DI290" s="29" t="s">
        <v>4794</v>
      </c>
      <c r="DJ290" s="306" t="s">
        <v>4435</v>
      </c>
      <c r="DK290" s="297" t="s">
        <v>4566</v>
      </c>
    </row>
    <row r="291" spans="1:115" ht="15.6" customHeight="1" thickBot="1">
      <c r="A291" s="306">
        <v>286</v>
      </c>
      <c r="B291" s="327"/>
      <c r="C291" s="327"/>
      <c r="D291" s="344"/>
      <c r="E291" s="344"/>
      <c r="F291" s="327"/>
      <c r="G291" s="338"/>
      <c r="H291" s="338"/>
      <c r="I291" s="338"/>
      <c r="J291" s="42" t="s">
        <v>4830</v>
      </c>
      <c r="K291" s="306" t="s">
        <v>4383</v>
      </c>
      <c r="L291" s="163" t="s">
        <v>5792</v>
      </c>
      <c r="M291" s="306" t="s">
        <v>4509</v>
      </c>
      <c r="N291" s="163" t="s">
        <v>4703</v>
      </c>
      <c r="O291" s="18" t="s">
        <v>4507</v>
      </c>
      <c r="P291" s="163" t="s">
        <v>6312</v>
      </c>
      <c r="Q291" s="163" t="s">
        <v>4420</v>
      </c>
      <c r="R291" s="163" t="s">
        <v>4420</v>
      </c>
      <c r="S291" s="163" t="s">
        <v>5792</v>
      </c>
      <c r="T291" s="163" t="s">
        <v>4420</v>
      </c>
      <c r="U291" s="163" t="s">
        <v>5792</v>
      </c>
      <c r="V291" s="163" t="s">
        <v>6051</v>
      </c>
      <c r="W291" s="18">
        <v>10</v>
      </c>
      <c r="X291" s="230">
        <v>0</v>
      </c>
      <c r="Y291" s="18">
        <v>0</v>
      </c>
      <c r="Z291" s="143" t="s">
        <v>6293</v>
      </c>
      <c r="AA291" s="23">
        <f>INDEX('[2]Cross-Section Database'!$C$2:$V$2928,MATCH(Z291,'[2]Cross-Section Database'!$B$2:$B$2928,0),3)</f>
        <v>340</v>
      </c>
      <c r="AB291" s="23">
        <f>INDEX('[2]Cross-Section Database'!$C$2:$V$2928,MATCH(Z291,'[2]Cross-Section Database'!$B$2:$B$2928,0),4)</f>
        <v>310</v>
      </c>
      <c r="AC291" s="23">
        <f>INDEX('[2]Cross-Section Database'!$C$2:$V$2928,MATCH(Z291,'[2]Cross-Section Database'!$B$2:$B$2928,0),6)</f>
        <v>39</v>
      </c>
      <c r="AD291" s="23">
        <f>INDEX('[2]Cross-Section Database'!$C$2:$V$2928,MATCH(Z291,'[2]Cross-Section Database'!$B$2:$B$2928,0),5)</f>
        <v>21</v>
      </c>
      <c r="AE291" s="23">
        <v>1540</v>
      </c>
      <c r="AF291" s="143" t="s">
        <v>6328</v>
      </c>
      <c r="AG291" s="23">
        <f>INDEX('[2]Cross-Section Database'!$C$2:$V$2928,MATCH(AF291,'[2]Cross-Section Database'!$B$2:$B$2928,0),3)</f>
        <v>310</v>
      </c>
      <c r="AH291" s="23">
        <f>INDEX('[2]Cross-Section Database'!$C$2:$V$2928,MATCH(AF291,'[2]Cross-Section Database'!$B$2:$B$2928,0),4)</f>
        <v>300</v>
      </c>
      <c r="AI291" s="23">
        <f>INDEX('[2]Cross-Section Database'!$C$2:$V$2928,MATCH(AF291,'[2]Cross-Section Database'!$B$2:$B$2928,0),6)</f>
        <v>15.5</v>
      </c>
      <c r="AJ291" s="23">
        <f>INDEX('[2]Cross-Section Database'!$C$2:$V$2928,MATCH(AF291,'[2]Cross-Section Database'!$B$2:$B$2928,0),5)</f>
        <v>9</v>
      </c>
      <c r="AK291" s="23">
        <v>1300</v>
      </c>
      <c r="AL291" s="23">
        <f>INDEX('[2]Cross-Section Database'!$C$2:$V$3928,MATCH(AF291,'[2]Cross-Section Database'!$B$2:$B$3928,0),11)</f>
        <v>229300000</v>
      </c>
      <c r="AM291" s="25">
        <f>INDEX('[2]Cross-Section Database'!$C$2:$V$3928,MATCH(AF291,'[2]Cross-Section Database'!$B$2:$B$3928,0),12)</f>
        <v>1628000</v>
      </c>
      <c r="AN291" s="21">
        <v>10.25</v>
      </c>
      <c r="AO291" s="21">
        <v>300</v>
      </c>
      <c r="AP291" s="21">
        <v>310</v>
      </c>
      <c r="AQ291" s="21">
        <v>0</v>
      </c>
      <c r="AR291" s="21">
        <v>0</v>
      </c>
      <c r="AS291" s="306" t="s">
        <v>5807</v>
      </c>
      <c r="AT291" s="163" t="s">
        <v>4499</v>
      </c>
      <c r="AU291" s="21">
        <f t="shared" si="155"/>
        <v>66.669749999999979</v>
      </c>
      <c r="AV291" s="163">
        <v>27</v>
      </c>
      <c r="AW291" s="163">
        <v>459</v>
      </c>
      <c r="AX291" s="21">
        <v>75</v>
      </c>
      <c r="AY291" s="21">
        <v>75</v>
      </c>
      <c r="AZ291" s="23">
        <v>0</v>
      </c>
      <c r="BA291" s="23">
        <v>150</v>
      </c>
      <c r="BB291" s="23">
        <v>160</v>
      </c>
      <c r="BC291" s="19" t="s">
        <v>6313</v>
      </c>
      <c r="BD291" s="164" t="s">
        <v>6209</v>
      </c>
      <c r="BE291" s="164" t="s">
        <v>6209</v>
      </c>
      <c r="BF291" s="164">
        <v>2</v>
      </c>
      <c r="BG291" s="164">
        <v>4</v>
      </c>
      <c r="BH291" s="197" t="s">
        <v>5792</v>
      </c>
      <c r="BI291" s="198" t="s">
        <v>5792</v>
      </c>
      <c r="BJ291" s="198" t="s">
        <v>5792</v>
      </c>
      <c r="BK291" s="198" t="s">
        <v>5792</v>
      </c>
      <c r="BL291" s="198" t="s">
        <v>5792</v>
      </c>
      <c r="BM291" s="198" t="s">
        <v>5792</v>
      </c>
      <c r="BN291" s="198" t="s">
        <v>5792</v>
      </c>
      <c r="BO291" s="198" t="s">
        <v>5792</v>
      </c>
      <c r="BP291" s="197" t="s">
        <v>5792</v>
      </c>
      <c r="BQ291" s="198" t="s">
        <v>5792</v>
      </c>
      <c r="BR291" s="198" t="s">
        <v>5792</v>
      </c>
      <c r="BS291" s="198" t="s">
        <v>5792</v>
      </c>
      <c r="BT291" s="198" t="s">
        <v>5792</v>
      </c>
      <c r="BU291" s="198" t="s">
        <v>5792</v>
      </c>
      <c r="BV291" s="220" t="s">
        <v>5792</v>
      </c>
      <c r="BW291" s="198" t="s">
        <v>5792</v>
      </c>
      <c r="BX291" s="198" t="s">
        <v>5792</v>
      </c>
      <c r="BY291" s="198" t="s">
        <v>5792</v>
      </c>
      <c r="BZ291" s="198" t="s">
        <v>5792</v>
      </c>
      <c r="CA291" s="198" t="s">
        <v>5792</v>
      </c>
      <c r="CB291" s="220" t="s">
        <v>5792</v>
      </c>
      <c r="CC291" s="143" t="s">
        <v>5972</v>
      </c>
      <c r="CD291" s="164">
        <v>355</v>
      </c>
      <c r="CE291" s="35">
        <f t="shared" si="156"/>
        <v>390.50000000000006</v>
      </c>
      <c r="CF291" s="74">
        <v>470</v>
      </c>
      <c r="CG291" s="35">
        <f t="shared" si="157"/>
        <v>517</v>
      </c>
      <c r="CH291" s="70">
        <v>200000</v>
      </c>
      <c r="CI291" s="143" t="s">
        <v>5972</v>
      </c>
      <c r="CJ291" s="87">
        <v>355</v>
      </c>
      <c r="CK291" s="35">
        <f t="shared" si="158"/>
        <v>390.50000000000006</v>
      </c>
      <c r="CL291" s="87">
        <v>470</v>
      </c>
      <c r="CM291" s="35">
        <f t="shared" si="159"/>
        <v>517</v>
      </c>
      <c r="CN291" s="70">
        <v>200000</v>
      </c>
      <c r="CO291" s="143" t="s">
        <v>4831</v>
      </c>
      <c r="CP291" s="23">
        <v>960</v>
      </c>
      <c r="CQ291" s="23">
        <v>951.7</v>
      </c>
      <c r="CR291" s="23">
        <v>1050</v>
      </c>
      <c r="CS291" s="23">
        <v>1051</v>
      </c>
      <c r="CT291" s="83">
        <v>201800</v>
      </c>
      <c r="CU291" s="207" t="s">
        <v>5792</v>
      </c>
      <c r="CV291" s="208" t="s">
        <v>5792</v>
      </c>
      <c r="CW291" s="208" t="s">
        <v>5792</v>
      </c>
      <c r="CX291" s="209" t="s">
        <v>5792</v>
      </c>
      <c r="CY291" s="207" t="s">
        <v>5792</v>
      </c>
      <c r="CZ291" s="208" t="s">
        <v>5792</v>
      </c>
      <c r="DA291" s="209" t="s">
        <v>5792</v>
      </c>
      <c r="DB291" s="284" t="s">
        <v>5792</v>
      </c>
      <c r="DC291" s="164">
        <v>8.8000000000000007</v>
      </c>
      <c r="DD291" s="164">
        <v>660</v>
      </c>
      <c r="DE291" s="23">
        <v>778.6</v>
      </c>
      <c r="DF291" s="164">
        <v>830</v>
      </c>
      <c r="DG291" s="164">
        <v>1013</v>
      </c>
      <c r="DH291" s="70">
        <v>200000</v>
      </c>
      <c r="DI291" s="29" t="s">
        <v>4832</v>
      </c>
      <c r="DJ291" s="143" t="s">
        <v>4435</v>
      </c>
      <c r="DK291" s="297" t="s">
        <v>4566</v>
      </c>
    </row>
    <row r="292" spans="1:115" ht="15.6" customHeight="1">
      <c r="A292" s="305">
        <v>287</v>
      </c>
      <c r="B292" s="325">
        <v>41</v>
      </c>
      <c r="C292" s="325">
        <v>2008</v>
      </c>
      <c r="D292" s="325" t="s">
        <v>6001</v>
      </c>
      <c r="E292" s="328" t="s">
        <v>6008</v>
      </c>
      <c r="F292" s="325">
        <v>3</v>
      </c>
      <c r="G292" s="328" t="s">
        <v>5999</v>
      </c>
      <c r="H292" s="325" t="s">
        <v>6000</v>
      </c>
      <c r="I292" s="325" t="s">
        <v>6251</v>
      </c>
      <c r="J292" s="313" t="s">
        <v>6002</v>
      </c>
      <c r="K292" s="305" t="s">
        <v>4383</v>
      </c>
      <c r="L292" s="162" t="s">
        <v>5792</v>
      </c>
      <c r="M292" s="305" t="s">
        <v>4508</v>
      </c>
      <c r="N292" s="162" t="s">
        <v>4702</v>
      </c>
      <c r="O292" s="17" t="s">
        <v>4507</v>
      </c>
      <c r="P292" s="162" t="s">
        <v>4470</v>
      </c>
      <c r="Q292" s="162" t="s">
        <v>4420</v>
      </c>
      <c r="R292" s="162" t="s">
        <v>4420</v>
      </c>
      <c r="S292" s="162" t="s">
        <v>5792</v>
      </c>
      <c r="T292" s="162" t="s">
        <v>4420</v>
      </c>
      <c r="U292" s="162" t="s">
        <v>5792</v>
      </c>
      <c r="V292" s="162" t="s">
        <v>4559</v>
      </c>
      <c r="W292" s="88">
        <v>5</v>
      </c>
      <c r="X292" s="239">
        <v>0</v>
      </c>
      <c r="Y292" s="17">
        <v>0</v>
      </c>
      <c r="Z292" s="305" t="s">
        <v>3983</v>
      </c>
      <c r="AA292" s="16">
        <f>INDEX('[2]Cross-Section Database'!$C$2:$V$2928,MATCH(Z292,'[2]Cross-Section Database'!$B$2:$B$2928,0),3)</f>
        <v>240</v>
      </c>
      <c r="AB292" s="16">
        <f>INDEX('[2]Cross-Section Database'!$C$2:$V$2928,MATCH(Z292,'[2]Cross-Section Database'!$B$2:$B$2928,0),4)</f>
        <v>240</v>
      </c>
      <c r="AC292" s="16">
        <f>INDEX('[2]Cross-Section Database'!$C$2:$V$2928,MATCH(Z292,'[2]Cross-Section Database'!$B$2:$B$2928,0),6)</f>
        <v>17</v>
      </c>
      <c r="AD292" s="16">
        <f>INDEX('[2]Cross-Section Database'!$C$2:$V$2928,MATCH(Z292,'[2]Cross-Section Database'!$B$2:$B$2928,0),5)</f>
        <v>10</v>
      </c>
      <c r="AE292" s="16">
        <v>1935</v>
      </c>
      <c r="AF292" s="305" t="s">
        <v>3910</v>
      </c>
      <c r="AG292" s="16">
        <f>INDEX('[2]Cross-Section Database'!$C$2:$V$23928,MATCH(AF292,'[2]Cross-Section Database'!$B$2:$B$3928,0),3)</f>
        <v>270</v>
      </c>
      <c r="AH292" s="16">
        <f>INDEX('[2]Cross-Section Database'!$C$2:$V$3928,MATCH(AF292,'[2]Cross-Section Database'!$B$2:$B$3928,0),4)</f>
        <v>135</v>
      </c>
      <c r="AI292" s="16">
        <f>INDEX('[2]Cross-Section Database'!$C$2:$V$3928,MATCH(AF292,'[2]Cross-Section Database'!$B$2:$B$3928,0),6)</f>
        <v>10.199999999999999</v>
      </c>
      <c r="AJ292" s="16">
        <f>INDEX('[2]Cross-Section Database'!$C$2:$V$3928,MATCH(AF292,'[2]Cross-Section Database'!$B$2:$B$3928,0),5)</f>
        <v>6.6</v>
      </c>
      <c r="AK292" s="16">
        <v>1080</v>
      </c>
      <c r="AL292" s="16">
        <f>INDEX('[2]Cross-Section Database'!$C$2:$V$3928,MATCH(AF292,'[2]Cross-Section Database'!$B$2:$B$3928,0),11)</f>
        <v>57900000</v>
      </c>
      <c r="AM292" s="26">
        <f>INDEX('[2]Cross-Section Database'!$C$2:$V$3928,MATCH(AF292,'[2]Cross-Section Database'!$B$2:$B$3928,0),12)</f>
        <v>484000</v>
      </c>
      <c r="AN292" s="53">
        <v>10</v>
      </c>
      <c r="AO292" s="45">
        <v>145</v>
      </c>
      <c r="AP292" s="45">
        <v>280</v>
      </c>
      <c r="AQ292" s="45">
        <v>5</v>
      </c>
      <c r="AR292" s="51">
        <v>5</v>
      </c>
      <c r="AS292" s="305" t="s">
        <v>5807</v>
      </c>
      <c r="AT292" s="162" t="s">
        <v>4573</v>
      </c>
      <c r="AU292" s="16">
        <f t="shared" si="155"/>
        <v>27.474999999999998</v>
      </c>
      <c r="AV292" s="162">
        <v>16</v>
      </c>
      <c r="AW292" s="162">
        <f t="shared" ref="AW292:AW355" si="160">IF(AV292=24,353,IF(AV292=22,303,IF(AV292=20,245,IF(AV292=16,157,0))))</f>
        <v>157</v>
      </c>
      <c r="AX292" s="16">
        <v>45</v>
      </c>
      <c r="AY292" s="16">
        <v>45</v>
      </c>
      <c r="AZ292" s="16">
        <v>0</v>
      </c>
      <c r="BA292" s="16">
        <v>95</v>
      </c>
      <c r="BB292" s="16">
        <v>190</v>
      </c>
      <c r="BC292" s="22" t="s">
        <v>4470</v>
      </c>
      <c r="BD292" s="162" t="s">
        <v>6209</v>
      </c>
      <c r="BE292" s="162" t="s">
        <v>6209</v>
      </c>
      <c r="BF292" s="162">
        <v>2</v>
      </c>
      <c r="BG292" s="17">
        <v>4</v>
      </c>
      <c r="BH292" s="305">
        <v>100</v>
      </c>
      <c r="BI292" s="162">
        <v>1000</v>
      </c>
      <c r="BJ292" s="201" t="s">
        <v>5792</v>
      </c>
      <c r="BK292" s="201" t="s">
        <v>5792</v>
      </c>
      <c r="BL292" s="201" t="s">
        <v>5792</v>
      </c>
      <c r="BM292" s="201" t="s">
        <v>5792</v>
      </c>
      <c r="BN292" s="201" t="s">
        <v>5792</v>
      </c>
      <c r="BO292" s="219" t="s">
        <v>5792</v>
      </c>
      <c r="BP292" s="305" t="s">
        <v>5856</v>
      </c>
      <c r="BQ292" s="162">
        <v>11</v>
      </c>
      <c r="BR292" s="162">
        <v>1</v>
      </c>
      <c r="BS292" s="162">
        <v>19</v>
      </c>
      <c r="BT292" s="162">
        <v>75</v>
      </c>
      <c r="BU292" s="162">
        <v>110</v>
      </c>
      <c r="BV292" s="17">
        <v>100</v>
      </c>
      <c r="BW292" s="305" t="s">
        <v>6004</v>
      </c>
      <c r="BX292" s="162" t="s">
        <v>4602</v>
      </c>
      <c r="BY292" s="16">
        <f t="shared" ref="BY292:BY293" si="161">((BI292/100)+1)*PI()*8^2/4</f>
        <v>552.92030703180353</v>
      </c>
      <c r="BZ292" s="16">
        <f>6*PI()*16^2/4</f>
        <v>1206.3715789784806</v>
      </c>
      <c r="CA292" s="162">
        <v>30</v>
      </c>
      <c r="CB292" s="123">
        <v>1.2E-2</v>
      </c>
      <c r="CC292" s="162" t="s">
        <v>6282</v>
      </c>
      <c r="CD292" s="16">
        <v>275</v>
      </c>
      <c r="CE292" s="30">
        <v>360</v>
      </c>
      <c r="CF292" s="16">
        <v>410</v>
      </c>
      <c r="CG292" s="30">
        <v>530</v>
      </c>
      <c r="CH292" s="66">
        <v>200000</v>
      </c>
      <c r="CI292" s="162" t="s">
        <v>6282</v>
      </c>
      <c r="CJ292" s="16">
        <v>275</v>
      </c>
      <c r="CK292" s="30">
        <v>360</v>
      </c>
      <c r="CL292" s="16">
        <v>410</v>
      </c>
      <c r="CM292" s="30">
        <v>530</v>
      </c>
      <c r="CN292" s="66">
        <v>200000</v>
      </c>
      <c r="CO292" s="162" t="s">
        <v>6282</v>
      </c>
      <c r="CP292" s="16">
        <v>275</v>
      </c>
      <c r="CQ292" s="30">
        <v>360</v>
      </c>
      <c r="CR292" s="16">
        <v>410</v>
      </c>
      <c r="CS292" s="30">
        <v>530</v>
      </c>
      <c r="CT292" s="66">
        <v>200000</v>
      </c>
      <c r="CU292" s="302" t="s">
        <v>6005</v>
      </c>
      <c r="CV292" s="45">
        <v>32</v>
      </c>
      <c r="CW292" s="76">
        <v>2.6</v>
      </c>
      <c r="CX292" s="66">
        <v>31000</v>
      </c>
      <c r="CY292" s="250">
        <v>540</v>
      </c>
      <c r="CZ292" s="82">
        <v>650</v>
      </c>
      <c r="DA292" s="66">
        <v>200000</v>
      </c>
      <c r="DB292" s="282" t="s">
        <v>5792</v>
      </c>
      <c r="DC292" s="162">
        <v>10.9</v>
      </c>
      <c r="DD292" s="162">
        <v>900</v>
      </c>
      <c r="DE292" s="30">
        <v>990</v>
      </c>
      <c r="DF292" s="162">
        <v>1000</v>
      </c>
      <c r="DG292" s="30">
        <v>1100</v>
      </c>
      <c r="DH292" s="66">
        <v>200000</v>
      </c>
      <c r="DI292" s="28" t="s">
        <v>6006</v>
      </c>
      <c r="DJ292" s="162" t="s">
        <v>4435</v>
      </c>
      <c r="DK292" s="296" t="s">
        <v>6015</v>
      </c>
    </row>
    <row r="293" spans="1:115">
      <c r="A293" s="306">
        <v>288</v>
      </c>
      <c r="B293" s="326"/>
      <c r="C293" s="326"/>
      <c r="D293" s="326"/>
      <c r="E293" s="329"/>
      <c r="F293" s="326"/>
      <c r="G293" s="329"/>
      <c r="H293" s="326"/>
      <c r="I293" s="326"/>
      <c r="J293" s="309" t="s">
        <v>6003</v>
      </c>
      <c r="K293" s="306" t="s">
        <v>4383</v>
      </c>
      <c r="L293" s="163" t="s">
        <v>5792</v>
      </c>
      <c r="M293" s="306" t="s">
        <v>4509</v>
      </c>
      <c r="N293" s="163" t="s">
        <v>4703</v>
      </c>
      <c r="O293" s="18" t="s">
        <v>4507</v>
      </c>
      <c r="P293" s="163" t="s">
        <v>4470</v>
      </c>
      <c r="Q293" s="163" t="s">
        <v>4420</v>
      </c>
      <c r="R293" s="163" t="s">
        <v>4420</v>
      </c>
      <c r="S293" s="163" t="s">
        <v>5792</v>
      </c>
      <c r="T293" s="163" t="s">
        <v>4420</v>
      </c>
      <c r="U293" s="163" t="s">
        <v>5792</v>
      </c>
      <c r="V293" s="163" t="s">
        <v>4559</v>
      </c>
      <c r="W293" s="73">
        <v>5</v>
      </c>
      <c r="X293" s="230">
        <v>0</v>
      </c>
      <c r="Y293" s="18">
        <v>0</v>
      </c>
      <c r="Z293" s="306" t="s">
        <v>3983</v>
      </c>
      <c r="AA293" s="21">
        <f>INDEX('[2]Cross-Section Database'!$C$2:$V$2928,MATCH(Z293,'[2]Cross-Section Database'!$B$2:$B$2928,0),3)</f>
        <v>240</v>
      </c>
      <c r="AB293" s="21">
        <f>INDEX('[2]Cross-Section Database'!$C$2:$V$2928,MATCH(Z293,'[2]Cross-Section Database'!$B$2:$B$2928,0),4)</f>
        <v>240</v>
      </c>
      <c r="AC293" s="21">
        <f>INDEX('[2]Cross-Section Database'!$C$2:$V$2928,MATCH(Z293,'[2]Cross-Section Database'!$B$2:$B$2928,0),6)</f>
        <v>17</v>
      </c>
      <c r="AD293" s="21">
        <f>INDEX('[2]Cross-Section Database'!$C$2:$V$2928,MATCH(Z293,'[2]Cross-Section Database'!$B$2:$B$2928,0),5)</f>
        <v>10</v>
      </c>
      <c r="AE293" s="21">
        <v>1935</v>
      </c>
      <c r="AF293" s="306" t="s">
        <v>3910</v>
      </c>
      <c r="AG293" s="21">
        <f>INDEX('[2]Cross-Section Database'!$C$2:$V$23928,MATCH(AF293,'[2]Cross-Section Database'!$B$2:$B$3928,0),3)</f>
        <v>270</v>
      </c>
      <c r="AH293" s="21">
        <f>INDEX('[2]Cross-Section Database'!$C$2:$V$3928,MATCH(AF293,'[2]Cross-Section Database'!$B$2:$B$3928,0),4)</f>
        <v>135</v>
      </c>
      <c r="AI293" s="21">
        <f>INDEX('[2]Cross-Section Database'!$C$2:$V$3928,MATCH(AF293,'[2]Cross-Section Database'!$B$2:$B$3928,0),6)</f>
        <v>10.199999999999999</v>
      </c>
      <c r="AJ293" s="21">
        <f>INDEX('[2]Cross-Section Database'!$C$2:$V$3928,MATCH(AF293,'[2]Cross-Section Database'!$B$2:$B$3928,0),5)</f>
        <v>6.6</v>
      </c>
      <c r="AK293" s="21">
        <v>1080</v>
      </c>
      <c r="AL293" s="21">
        <f>INDEX('[2]Cross-Section Database'!$C$2:$V$3928,MATCH(AF293,'[2]Cross-Section Database'!$B$2:$B$3928,0),11)</f>
        <v>57900000</v>
      </c>
      <c r="AM293" s="24">
        <f>INDEX('[2]Cross-Section Database'!$C$2:$V$3928,MATCH(AF293,'[2]Cross-Section Database'!$B$2:$B$3928,0),12)</f>
        <v>484000</v>
      </c>
      <c r="AN293" s="54">
        <v>10</v>
      </c>
      <c r="AO293" s="46">
        <v>145</v>
      </c>
      <c r="AP293" s="46">
        <v>280</v>
      </c>
      <c r="AQ293" s="46">
        <v>5</v>
      </c>
      <c r="AR293" s="52">
        <v>5</v>
      </c>
      <c r="AS293" s="300" t="s">
        <v>5807</v>
      </c>
      <c r="AT293" s="163" t="s">
        <v>4573</v>
      </c>
      <c r="AU293" s="21">
        <f t="shared" si="155"/>
        <v>27.474999999999998</v>
      </c>
      <c r="AV293" s="303">
        <v>16</v>
      </c>
      <c r="AW293" s="163">
        <f t="shared" si="160"/>
        <v>157</v>
      </c>
      <c r="AX293" s="46">
        <v>45</v>
      </c>
      <c r="AY293" s="46">
        <v>45</v>
      </c>
      <c r="AZ293" s="46">
        <v>0</v>
      </c>
      <c r="BA293" s="46">
        <v>95</v>
      </c>
      <c r="BB293" s="46">
        <v>190</v>
      </c>
      <c r="BC293" s="240" t="s">
        <v>4470</v>
      </c>
      <c r="BD293" s="163" t="s">
        <v>6209</v>
      </c>
      <c r="BE293" s="163" t="s">
        <v>6209</v>
      </c>
      <c r="BF293" s="303">
        <v>2</v>
      </c>
      <c r="BG293" s="303">
        <v>4</v>
      </c>
      <c r="BH293" s="306">
        <v>100</v>
      </c>
      <c r="BI293" s="163">
        <v>1000</v>
      </c>
      <c r="BJ293" s="203" t="s">
        <v>5792</v>
      </c>
      <c r="BK293" s="203" t="s">
        <v>5792</v>
      </c>
      <c r="BL293" s="203" t="s">
        <v>5792</v>
      </c>
      <c r="BM293" s="203" t="s">
        <v>5792</v>
      </c>
      <c r="BN293" s="203" t="s">
        <v>5792</v>
      </c>
      <c r="BO293" s="218" t="s">
        <v>5792</v>
      </c>
      <c r="BP293" s="306" t="s">
        <v>5856</v>
      </c>
      <c r="BQ293" s="163">
        <v>11</v>
      </c>
      <c r="BR293" s="163">
        <v>1</v>
      </c>
      <c r="BS293" s="163">
        <v>19</v>
      </c>
      <c r="BT293" s="163">
        <v>75</v>
      </c>
      <c r="BU293" s="163">
        <v>110</v>
      </c>
      <c r="BV293" s="18">
        <v>100</v>
      </c>
      <c r="BW293" s="306" t="s">
        <v>6004</v>
      </c>
      <c r="BX293" s="163" t="s">
        <v>4602</v>
      </c>
      <c r="BY293" s="21">
        <f t="shared" si="161"/>
        <v>552.92030703180353</v>
      </c>
      <c r="BZ293" s="21">
        <f>6*PI()*16^2/4</f>
        <v>1206.3715789784806</v>
      </c>
      <c r="CA293" s="163">
        <v>30</v>
      </c>
      <c r="CB293" s="121">
        <v>1.2E-2</v>
      </c>
      <c r="CC293" s="163" t="s">
        <v>6282</v>
      </c>
      <c r="CD293" s="21">
        <v>275</v>
      </c>
      <c r="CE293" s="32">
        <v>360</v>
      </c>
      <c r="CF293" s="21">
        <v>410</v>
      </c>
      <c r="CG293" s="32">
        <v>530</v>
      </c>
      <c r="CH293" s="67">
        <v>200000</v>
      </c>
      <c r="CI293" s="163" t="s">
        <v>6282</v>
      </c>
      <c r="CJ293" s="21">
        <v>275</v>
      </c>
      <c r="CK293" s="32">
        <v>360</v>
      </c>
      <c r="CL293" s="21">
        <v>410</v>
      </c>
      <c r="CM293" s="32">
        <v>530</v>
      </c>
      <c r="CN293" s="67">
        <v>200000</v>
      </c>
      <c r="CO293" s="163" t="s">
        <v>6282</v>
      </c>
      <c r="CP293" s="21">
        <v>275</v>
      </c>
      <c r="CQ293" s="32">
        <v>360</v>
      </c>
      <c r="CR293" s="21">
        <v>410</v>
      </c>
      <c r="CS293" s="32">
        <v>530</v>
      </c>
      <c r="CT293" s="67">
        <v>200000</v>
      </c>
      <c r="CU293" s="303" t="s">
        <v>6005</v>
      </c>
      <c r="CV293" s="46">
        <v>33.299999999999997</v>
      </c>
      <c r="CW293" s="61">
        <v>2.6</v>
      </c>
      <c r="CX293" s="67">
        <v>31000</v>
      </c>
      <c r="CY293" s="92">
        <v>540</v>
      </c>
      <c r="CZ293" s="64">
        <v>650</v>
      </c>
      <c r="DA293" s="67">
        <v>200000</v>
      </c>
      <c r="DB293" s="283" t="s">
        <v>5792</v>
      </c>
      <c r="DC293" s="163">
        <v>10.9</v>
      </c>
      <c r="DD293" s="163">
        <v>900</v>
      </c>
      <c r="DE293" s="32">
        <v>990</v>
      </c>
      <c r="DF293" s="163">
        <v>1000</v>
      </c>
      <c r="DG293" s="32">
        <v>1100</v>
      </c>
      <c r="DH293" s="67">
        <v>200000</v>
      </c>
      <c r="DI293" s="29" t="s">
        <v>6007</v>
      </c>
      <c r="DJ293" s="163" t="s">
        <v>4435</v>
      </c>
      <c r="DK293" s="297" t="s">
        <v>4566</v>
      </c>
    </row>
    <row r="294" spans="1:115" ht="15.6" customHeight="1" thickBot="1">
      <c r="A294" s="143">
        <v>289</v>
      </c>
      <c r="B294" s="327"/>
      <c r="C294" s="327"/>
      <c r="D294" s="327"/>
      <c r="E294" s="330"/>
      <c r="F294" s="327"/>
      <c r="G294" s="330"/>
      <c r="H294" s="327"/>
      <c r="I294" s="327"/>
      <c r="J294" s="310" t="s">
        <v>0</v>
      </c>
      <c r="K294" s="143" t="s">
        <v>4383</v>
      </c>
      <c r="L294" s="164" t="s">
        <v>5792</v>
      </c>
      <c r="M294" s="143" t="s">
        <v>4509</v>
      </c>
      <c r="N294" s="164" t="s">
        <v>4703</v>
      </c>
      <c r="O294" s="14" t="s">
        <v>4507</v>
      </c>
      <c r="P294" s="164" t="s">
        <v>4470</v>
      </c>
      <c r="Q294" s="164" t="s">
        <v>4420</v>
      </c>
      <c r="R294" s="164" t="s">
        <v>4420</v>
      </c>
      <c r="S294" s="164" t="s">
        <v>5792</v>
      </c>
      <c r="T294" s="164" t="s">
        <v>4420</v>
      </c>
      <c r="U294" s="164" t="s">
        <v>5792</v>
      </c>
      <c r="V294" s="164" t="s">
        <v>4559</v>
      </c>
      <c r="W294" s="118">
        <v>5</v>
      </c>
      <c r="X294" s="235">
        <v>0</v>
      </c>
      <c r="Y294" s="14">
        <v>0</v>
      </c>
      <c r="Z294" s="143" t="s">
        <v>3983</v>
      </c>
      <c r="AA294" s="23">
        <f>INDEX('[2]Cross-Section Database'!$C$2:$V$2928,MATCH(Z294,'[2]Cross-Section Database'!$B$2:$B$2928,0),3)</f>
        <v>240</v>
      </c>
      <c r="AB294" s="23">
        <f>INDEX('[2]Cross-Section Database'!$C$2:$V$2928,MATCH(Z294,'[2]Cross-Section Database'!$B$2:$B$2928,0),4)</f>
        <v>240</v>
      </c>
      <c r="AC294" s="23">
        <f>INDEX('[2]Cross-Section Database'!$C$2:$V$2928,MATCH(Z294,'[2]Cross-Section Database'!$B$2:$B$2928,0),6)</f>
        <v>17</v>
      </c>
      <c r="AD294" s="23">
        <f>INDEX('[2]Cross-Section Database'!$C$2:$V$2928,MATCH(Z294,'[2]Cross-Section Database'!$B$2:$B$2928,0),5)</f>
        <v>10</v>
      </c>
      <c r="AE294" s="23">
        <v>1935</v>
      </c>
      <c r="AF294" s="143" t="s">
        <v>3910</v>
      </c>
      <c r="AG294" s="23">
        <f>INDEX('[2]Cross-Section Database'!$C$2:$V$23928,MATCH(AF294,'[2]Cross-Section Database'!$B$2:$B$3928,0),3)</f>
        <v>270</v>
      </c>
      <c r="AH294" s="23">
        <f>INDEX('[2]Cross-Section Database'!$C$2:$V$3928,MATCH(AF294,'[2]Cross-Section Database'!$B$2:$B$3928,0),4)</f>
        <v>135</v>
      </c>
      <c r="AI294" s="23">
        <f>INDEX('[2]Cross-Section Database'!$C$2:$V$3928,MATCH(AF294,'[2]Cross-Section Database'!$B$2:$B$3928,0),6)</f>
        <v>10.199999999999999</v>
      </c>
      <c r="AJ294" s="23">
        <f>INDEX('[2]Cross-Section Database'!$C$2:$V$3928,MATCH(AF294,'[2]Cross-Section Database'!$B$2:$B$3928,0),5)</f>
        <v>6.6</v>
      </c>
      <c r="AK294" s="23">
        <v>1080</v>
      </c>
      <c r="AL294" s="23">
        <f>INDEX('[2]Cross-Section Database'!$C$2:$V$3928,MATCH(AF294,'[2]Cross-Section Database'!$B$2:$B$3928,0),11)</f>
        <v>57900000</v>
      </c>
      <c r="AM294" s="25">
        <f>INDEX('[2]Cross-Section Database'!$C$2:$V$3928,MATCH(AF294,'[2]Cross-Section Database'!$B$2:$B$3928,0),12)</f>
        <v>484000</v>
      </c>
      <c r="AN294" s="55">
        <v>10</v>
      </c>
      <c r="AO294" s="56">
        <v>145</v>
      </c>
      <c r="AP294" s="56">
        <v>280</v>
      </c>
      <c r="AQ294" s="56">
        <v>5</v>
      </c>
      <c r="AR294" s="57">
        <v>5</v>
      </c>
      <c r="AS294" s="301" t="s">
        <v>5807</v>
      </c>
      <c r="AT294" s="164" t="s">
        <v>4573</v>
      </c>
      <c r="AU294" s="21">
        <f t="shared" si="155"/>
        <v>27.474999999999998</v>
      </c>
      <c r="AV294" s="304">
        <v>16</v>
      </c>
      <c r="AW294" s="164">
        <f t="shared" si="160"/>
        <v>157</v>
      </c>
      <c r="AX294" s="56">
        <v>45</v>
      </c>
      <c r="AY294" s="56">
        <v>45</v>
      </c>
      <c r="AZ294" s="56">
        <v>0</v>
      </c>
      <c r="BA294" s="56">
        <v>95</v>
      </c>
      <c r="BB294" s="56">
        <v>190</v>
      </c>
      <c r="BC294" s="242" t="s">
        <v>4470</v>
      </c>
      <c r="BD294" s="164" t="s">
        <v>6209</v>
      </c>
      <c r="BE294" s="164" t="s">
        <v>6209</v>
      </c>
      <c r="BF294" s="304">
        <v>2</v>
      </c>
      <c r="BG294" s="304">
        <v>4</v>
      </c>
      <c r="BH294" s="143">
        <v>100</v>
      </c>
      <c r="BI294" s="164">
        <v>1000</v>
      </c>
      <c r="BJ294" s="198" t="s">
        <v>5792</v>
      </c>
      <c r="BK294" s="198" t="s">
        <v>5792</v>
      </c>
      <c r="BL294" s="198" t="s">
        <v>5792</v>
      </c>
      <c r="BM294" s="198" t="s">
        <v>5792</v>
      </c>
      <c r="BN294" s="198" t="s">
        <v>5792</v>
      </c>
      <c r="BO294" s="220" t="s">
        <v>5792</v>
      </c>
      <c r="BP294" s="143" t="s">
        <v>5856</v>
      </c>
      <c r="BQ294" s="164">
        <v>11</v>
      </c>
      <c r="BR294" s="164">
        <v>1</v>
      </c>
      <c r="BS294" s="164">
        <v>19</v>
      </c>
      <c r="BT294" s="164">
        <v>75</v>
      </c>
      <c r="BU294" s="164">
        <v>110</v>
      </c>
      <c r="BV294" s="14">
        <v>100</v>
      </c>
      <c r="BW294" s="143" t="s">
        <v>6004</v>
      </c>
      <c r="BX294" s="164" t="s">
        <v>4602</v>
      </c>
      <c r="BY294" s="23">
        <f>((BI294/100)+1)*PI()*8^2/4</f>
        <v>552.92030703180353</v>
      </c>
      <c r="BZ294" s="23">
        <f>6*PI()*16^2/4</f>
        <v>1206.3715789784806</v>
      </c>
      <c r="CA294" s="164">
        <v>30</v>
      </c>
      <c r="CB294" s="122">
        <v>1.2E-2</v>
      </c>
      <c r="CC294" s="164" t="s">
        <v>6282</v>
      </c>
      <c r="CD294" s="23">
        <v>275</v>
      </c>
      <c r="CE294" s="34">
        <v>360</v>
      </c>
      <c r="CF294" s="23">
        <v>410</v>
      </c>
      <c r="CG294" s="34">
        <v>530</v>
      </c>
      <c r="CH294" s="70">
        <v>200000</v>
      </c>
      <c r="CI294" s="164" t="s">
        <v>6282</v>
      </c>
      <c r="CJ294" s="23">
        <v>275</v>
      </c>
      <c r="CK294" s="34">
        <v>360</v>
      </c>
      <c r="CL294" s="23">
        <v>410</v>
      </c>
      <c r="CM294" s="34">
        <v>530</v>
      </c>
      <c r="CN294" s="70">
        <v>200000</v>
      </c>
      <c r="CO294" s="164" t="s">
        <v>6282</v>
      </c>
      <c r="CP294" s="23">
        <v>275</v>
      </c>
      <c r="CQ294" s="34">
        <v>360</v>
      </c>
      <c r="CR294" s="23">
        <v>410</v>
      </c>
      <c r="CS294" s="34">
        <v>530</v>
      </c>
      <c r="CT294" s="70">
        <v>200000</v>
      </c>
      <c r="CU294" s="304" t="s">
        <v>6005</v>
      </c>
      <c r="CV294" s="56">
        <v>26.7</v>
      </c>
      <c r="CW294" s="77">
        <v>2.6</v>
      </c>
      <c r="CX294" s="70">
        <v>31000</v>
      </c>
      <c r="CY294" s="93">
        <v>540</v>
      </c>
      <c r="CZ294" s="84">
        <v>650</v>
      </c>
      <c r="DA294" s="70">
        <v>200000</v>
      </c>
      <c r="DB294" s="284" t="s">
        <v>5792</v>
      </c>
      <c r="DC294" s="164">
        <v>10.9</v>
      </c>
      <c r="DD294" s="164">
        <v>900</v>
      </c>
      <c r="DE294" s="34">
        <v>990</v>
      </c>
      <c r="DF294" s="164">
        <v>1000</v>
      </c>
      <c r="DG294" s="34">
        <v>1100</v>
      </c>
      <c r="DH294" s="70">
        <v>200000</v>
      </c>
      <c r="DI294" s="27" t="s">
        <v>8</v>
      </c>
      <c r="DJ294" s="143" t="s">
        <v>4435</v>
      </c>
      <c r="DK294" s="298" t="s">
        <v>4566</v>
      </c>
    </row>
    <row r="295" spans="1:115" ht="15.6" customHeight="1">
      <c r="A295" s="305">
        <v>290</v>
      </c>
      <c r="B295" s="325">
        <v>42</v>
      </c>
      <c r="C295" s="325">
        <v>2009</v>
      </c>
      <c r="D295" s="342" t="s">
        <v>4675</v>
      </c>
      <c r="E295" s="342" t="s">
        <v>4848</v>
      </c>
      <c r="F295" s="325">
        <v>4</v>
      </c>
      <c r="G295" s="336" t="s">
        <v>5921</v>
      </c>
      <c r="H295" s="336" t="s">
        <v>5920</v>
      </c>
      <c r="I295" s="336" t="s">
        <v>6252</v>
      </c>
      <c r="J295" s="314" t="s">
        <v>4714</v>
      </c>
      <c r="K295" s="305" t="s">
        <v>6318</v>
      </c>
      <c r="L295" s="162" t="s">
        <v>6060</v>
      </c>
      <c r="M295" s="305" t="s">
        <v>4508</v>
      </c>
      <c r="N295" s="162" t="s">
        <v>4704</v>
      </c>
      <c r="O295" s="17" t="s">
        <v>4507</v>
      </c>
      <c r="P295" s="162" t="s">
        <v>6312</v>
      </c>
      <c r="Q295" s="162" t="s">
        <v>4470</v>
      </c>
      <c r="R295" s="162" t="s">
        <v>4420</v>
      </c>
      <c r="S295" s="162" t="s">
        <v>5792</v>
      </c>
      <c r="T295" s="162" t="s">
        <v>4420</v>
      </c>
      <c r="U295" s="162" t="s">
        <v>5792</v>
      </c>
      <c r="V295" s="162" t="s">
        <v>4560</v>
      </c>
      <c r="W295" s="90">
        <v>0</v>
      </c>
      <c r="X295" s="239">
        <v>0</v>
      </c>
      <c r="Y295" s="17">
        <v>1777</v>
      </c>
      <c r="Z295" s="305" t="s">
        <v>6331</v>
      </c>
      <c r="AA295" s="16">
        <f>INDEX('[2]Cross-Section Database'!$C$2:$V$2928,MATCH(Z295,'[2]Cross-Section Database'!$B$2:$B$2928,0),3)</f>
        <v>200</v>
      </c>
      <c r="AB295" s="16">
        <f>INDEX('[2]Cross-Section Database'!$C$2:$V$2928,MATCH(Z295,'[2]Cross-Section Database'!$B$2:$B$2928,0),4)</f>
        <v>200</v>
      </c>
      <c r="AC295" s="45">
        <f>INDEX('[2]Cross-Section Database'!$C$2:$V$2928,MATCH(Z295,'[2]Cross-Section Database'!$B$2:$B$2928,0),6)</f>
        <v>8</v>
      </c>
      <c r="AD295" s="45">
        <f>INDEX('[2]Cross-Section Database'!$C$2:$V$2928,MATCH(Z295,'[2]Cross-Section Database'!$B$2:$B$2928,0),5)</f>
        <v>8</v>
      </c>
      <c r="AE295" s="16">
        <v>1400</v>
      </c>
      <c r="AF295" s="305" t="s">
        <v>5596</v>
      </c>
      <c r="AG295" s="16">
        <f>INDEX('[2]Cross-Section Database'!$C$2:$V$3928,MATCH(AF295,'[2]Cross-Section Database'!$B$2:$B$3928,0),3)</f>
        <v>300</v>
      </c>
      <c r="AH295" s="16">
        <f>INDEX('[2]Cross-Section Database'!$C$2:$V$3928,MATCH(AF295,'[2]Cross-Section Database'!$B$2:$B$3928,0),4)</f>
        <v>150</v>
      </c>
      <c r="AI295" s="16">
        <f>INDEX('[2]Cross-Section Database'!$C$2:$V$3928,MATCH(AF295,'[2]Cross-Section Database'!$B$2:$B$3928,0),6)</f>
        <v>9</v>
      </c>
      <c r="AJ295" s="16">
        <f>INDEX('[2]Cross-Section Database'!$C$2:$V$3928,MATCH(AF295,'[2]Cross-Section Database'!$B$2:$B$3928,0),5)</f>
        <v>6.5</v>
      </c>
      <c r="AK295" s="16">
        <v>1300</v>
      </c>
      <c r="AL295" s="16">
        <f>INDEX('[2]Cross-Section Database'!$C$2:$V$3928,MATCH(AF295,'[2]Cross-Section Database'!$B$2:$B$3928,0),11)</f>
        <v>69325191</v>
      </c>
      <c r="AM295" s="26">
        <f>INDEX('[2]Cross-Section Database'!$C$2:$V$3928,MATCH(AF295,'[2]Cross-Section Database'!$B$2:$B$3928,0),12)</f>
        <v>522076.5</v>
      </c>
      <c r="AN295" s="16">
        <v>18</v>
      </c>
      <c r="AO295" s="16">
        <v>200</v>
      </c>
      <c r="AP295" s="16">
        <v>340</v>
      </c>
      <c r="AQ295" s="16">
        <f>(AP295-AG295)-AR295</f>
        <v>20</v>
      </c>
      <c r="AR295" s="16">
        <f t="shared" ref="AR295:AR337" si="162">(AP295-AG295)/2</f>
        <v>20</v>
      </c>
      <c r="AS295" s="305" t="s">
        <v>5659</v>
      </c>
      <c r="AT295" s="162" t="s">
        <v>4651</v>
      </c>
      <c r="AU295" s="16">
        <f>190/AV295/0.25</f>
        <v>47.5</v>
      </c>
      <c r="AV295" s="162">
        <v>16</v>
      </c>
      <c r="AW295" s="162">
        <f t="shared" si="160"/>
        <v>157</v>
      </c>
      <c r="AX295" s="16">
        <v>65</v>
      </c>
      <c r="AY295" s="16">
        <f>AX295</f>
        <v>65</v>
      </c>
      <c r="AZ295" s="16">
        <v>70</v>
      </c>
      <c r="BA295" s="16">
        <v>110</v>
      </c>
      <c r="BB295" s="16">
        <v>70</v>
      </c>
      <c r="BC295" s="22" t="s">
        <v>6312</v>
      </c>
      <c r="BD295" s="162" t="s">
        <v>4465</v>
      </c>
      <c r="BE295" s="162" t="s">
        <v>4465</v>
      </c>
      <c r="BF295" s="162">
        <v>4</v>
      </c>
      <c r="BG295" s="162">
        <v>8</v>
      </c>
      <c r="BH295" s="200" t="s">
        <v>5792</v>
      </c>
      <c r="BI295" s="201" t="s">
        <v>5792</v>
      </c>
      <c r="BJ295" s="201" t="s">
        <v>5792</v>
      </c>
      <c r="BK295" s="201" t="s">
        <v>5792</v>
      </c>
      <c r="BL295" s="201" t="s">
        <v>5792</v>
      </c>
      <c r="BM295" s="201" t="s">
        <v>5792</v>
      </c>
      <c r="BN295" s="201" t="s">
        <v>5792</v>
      </c>
      <c r="BO295" s="201" t="s">
        <v>5792</v>
      </c>
      <c r="BP295" s="200" t="s">
        <v>5792</v>
      </c>
      <c r="BQ295" s="201" t="s">
        <v>5792</v>
      </c>
      <c r="BR295" s="201" t="s">
        <v>5792</v>
      </c>
      <c r="BS295" s="201" t="s">
        <v>5792</v>
      </c>
      <c r="BT295" s="201" t="s">
        <v>5792</v>
      </c>
      <c r="BU295" s="201" t="s">
        <v>5792</v>
      </c>
      <c r="BV295" s="219" t="s">
        <v>5792</v>
      </c>
      <c r="BW295" s="201" t="s">
        <v>5792</v>
      </c>
      <c r="BX295" s="201" t="s">
        <v>5792</v>
      </c>
      <c r="BY295" s="201" t="s">
        <v>5792</v>
      </c>
      <c r="BZ295" s="201" t="s">
        <v>5792</v>
      </c>
      <c r="CA295" s="201" t="s">
        <v>5792</v>
      </c>
      <c r="CB295" s="219" t="s">
        <v>5792</v>
      </c>
      <c r="CC295" s="33" t="s">
        <v>5651</v>
      </c>
      <c r="CD295" s="16">
        <v>235</v>
      </c>
      <c r="CE295" s="16">
        <v>301.7</v>
      </c>
      <c r="CF295" s="16">
        <v>370</v>
      </c>
      <c r="CG295" s="16">
        <v>436.5</v>
      </c>
      <c r="CH295" s="81">
        <v>200000</v>
      </c>
      <c r="CI295" s="33" t="s">
        <v>5651</v>
      </c>
      <c r="CJ295" s="47">
        <v>235</v>
      </c>
      <c r="CK295" s="16">
        <v>267.5</v>
      </c>
      <c r="CL295" s="47">
        <v>370</v>
      </c>
      <c r="CM295" s="16">
        <v>379.15</v>
      </c>
      <c r="CN295" s="81">
        <v>193000</v>
      </c>
      <c r="CO295" s="33" t="s">
        <v>5651</v>
      </c>
      <c r="CP295" s="47">
        <v>235</v>
      </c>
      <c r="CQ295" s="21">
        <v>268.5</v>
      </c>
      <c r="CR295" s="47">
        <v>370</v>
      </c>
      <c r="CS295" s="21">
        <v>399.2</v>
      </c>
      <c r="CT295" s="69">
        <v>186000</v>
      </c>
      <c r="CU295" s="204" t="s">
        <v>5792</v>
      </c>
      <c r="CV295" s="205" t="s">
        <v>5792</v>
      </c>
      <c r="CW295" s="205" t="s">
        <v>5792</v>
      </c>
      <c r="CX295" s="206" t="s">
        <v>5792</v>
      </c>
      <c r="CY295" s="204" t="s">
        <v>5792</v>
      </c>
      <c r="CZ295" s="205" t="s">
        <v>5792</v>
      </c>
      <c r="DA295" s="206" t="s">
        <v>5792</v>
      </c>
      <c r="DB295" s="282" t="s">
        <v>5792</v>
      </c>
      <c r="DC295" s="163">
        <v>8.8000000000000007</v>
      </c>
      <c r="DD295" s="163">
        <v>640</v>
      </c>
      <c r="DE295" s="163">
        <v>752</v>
      </c>
      <c r="DF295" s="163">
        <v>800</v>
      </c>
      <c r="DG295" s="163">
        <v>946</v>
      </c>
      <c r="DH295" s="61">
        <v>200000</v>
      </c>
      <c r="DI295" s="28" t="s">
        <v>4785</v>
      </c>
      <c r="DJ295" s="162" t="s">
        <v>4561</v>
      </c>
      <c r="DK295" s="296" t="s">
        <v>6018</v>
      </c>
    </row>
    <row r="296" spans="1:115">
      <c r="A296" s="306">
        <v>291</v>
      </c>
      <c r="B296" s="326"/>
      <c r="C296" s="326"/>
      <c r="D296" s="343"/>
      <c r="E296" s="343"/>
      <c r="F296" s="326"/>
      <c r="G296" s="337"/>
      <c r="H296" s="337"/>
      <c r="I296" s="337"/>
      <c r="J296" s="314" t="s">
        <v>4715</v>
      </c>
      <c r="K296" s="306" t="s">
        <v>6318</v>
      </c>
      <c r="L296" s="163" t="s">
        <v>6060</v>
      </c>
      <c r="M296" s="306" t="s">
        <v>4508</v>
      </c>
      <c r="N296" s="163" t="s">
        <v>4704</v>
      </c>
      <c r="O296" s="18" t="s">
        <v>4507</v>
      </c>
      <c r="P296" s="163" t="s">
        <v>6312</v>
      </c>
      <c r="Q296" s="163" t="s">
        <v>4470</v>
      </c>
      <c r="R296" s="163" t="s">
        <v>4420</v>
      </c>
      <c r="S296" s="163" t="s">
        <v>5792</v>
      </c>
      <c r="T296" s="163" t="s">
        <v>4420</v>
      </c>
      <c r="U296" s="163" t="s">
        <v>5792</v>
      </c>
      <c r="V296" s="163" t="s">
        <v>4560</v>
      </c>
      <c r="W296" s="89">
        <v>0</v>
      </c>
      <c r="X296" s="230">
        <v>0</v>
      </c>
      <c r="Y296" s="18">
        <v>1777</v>
      </c>
      <c r="Z296" s="306" t="s">
        <v>6331</v>
      </c>
      <c r="AA296" s="163">
        <f>INDEX('[2]Cross-Section Database'!$C$2:$V$2928,MATCH(Z296,'[2]Cross-Section Database'!$B$2:$B$2928,0),3)</f>
        <v>200</v>
      </c>
      <c r="AB296" s="163">
        <f>INDEX('[2]Cross-Section Database'!$C$2:$V$2928,MATCH(Z296,'[2]Cross-Section Database'!$B$2:$B$2928,0),4)</f>
        <v>200</v>
      </c>
      <c r="AC296" s="21">
        <f>INDEX('[2]Cross-Section Database'!$C$2:$V$2928,MATCH(Z296,'[2]Cross-Section Database'!$B$2:$B$2928,0),6)</f>
        <v>8</v>
      </c>
      <c r="AD296" s="21">
        <f>INDEX('[2]Cross-Section Database'!$C$2:$V$2928,MATCH(Z296,'[2]Cross-Section Database'!$B$2:$B$2928,0),5)</f>
        <v>8</v>
      </c>
      <c r="AE296" s="21">
        <v>1400</v>
      </c>
      <c r="AF296" s="306" t="s">
        <v>5596</v>
      </c>
      <c r="AG296" s="21">
        <f>INDEX('[2]Cross-Section Database'!$C$2:$V$3928,MATCH(AF296,'[2]Cross-Section Database'!$B$2:$B$3928,0),3)</f>
        <v>300</v>
      </c>
      <c r="AH296" s="21">
        <f>INDEX('[2]Cross-Section Database'!$C$2:$V$3928,MATCH(AF296,'[2]Cross-Section Database'!$B$2:$B$3928,0),4)</f>
        <v>150</v>
      </c>
      <c r="AI296" s="21">
        <f>INDEX('[2]Cross-Section Database'!$C$2:$V$3928,MATCH(AF296,'[2]Cross-Section Database'!$B$2:$B$3928,0),6)</f>
        <v>9</v>
      </c>
      <c r="AJ296" s="21">
        <f>INDEX('[2]Cross-Section Database'!$C$2:$V$3928,MATCH(AF296,'[2]Cross-Section Database'!$B$2:$B$3928,0),5)</f>
        <v>6.5</v>
      </c>
      <c r="AK296" s="21">
        <v>1300</v>
      </c>
      <c r="AL296" s="21">
        <f>INDEX('[2]Cross-Section Database'!$C$2:$V$3928,MATCH(AF296,'[2]Cross-Section Database'!$B$2:$B$3928,0),11)</f>
        <v>69325191</v>
      </c>
      <c r="AM296" s="24">
        <f>INDEX('[2]Cross-Section Database'!$C$2:$V$3928,MATCH(AF296,'[2]Cross-Section Database'!$B$2:$B$3928,0),12)</f>
        <v>522076.5</v>
      </c>
      <c r="AN296" s="21">
        <v>12</v>
      </c>
      <c r="AO296" s="21">
        <v>200</v>
      </c>
      <c r="AP296" s="21">
        <v>340</v>
      </c>
      <c r="AQ296" s="21">
        <f>(AP296-AG296)-AR296</f>
        <v>20</v>
      </c>
      <c r="AR296" s="21">
        <f t="shared" si="162"/>
        <v>20</v>
      </c>
      <c r="AS296" s="306" t="s">
        <v>5659</v>
      </c>
      <c r="AT296" s="163" t="s">
        <v>4651</v>
      </c>
      <c r="AU296" s="21">
        <f>190/AV296/0.25</f>
        <v>47.5</v>
      </c>
      <c r="AV296" s="163">
        <v>16</v>
      </c>
      <c r="AW296" s="163">
        <f t="shared" si="160"/>
        <v>157</v>
      </c>
      <c r="AX296" s="21">
        <v>65</v>
      </c>
      <c r="AY296" s="21">
        <f>AX296</f>
        <v>65</v>
      </c>
      <c r="AZ296" s="21">
        <v>70</v>
      </c>
      <c r="BA296" s="21">
        <v>110</v>
      </c>
      <c r="BB296" s="21">
        <v>70</v>
      </c>
      <c r="BC296" s="15" t="s">
        <v>6312</v>
      </c>
      <c r="BD296" s="163" t="s">
        <v>4465</v>
      </c>
      <c r="BE296" s="163" t="s">
        <v>4465</v>
      </c>
      <c r="BF296" s="163">
        <v>4</v>
      </c>
      <c r="BG296" s="163">
        <v>8</v>
      </c>
      <c r="BH296" s="202" t="s">
        <v>5792</v>
      </c>
      <c r="BI296" s="203" t="s">
        <v>5792</v>
      </c>
      <c r="BJ296" s="203" t="s">
        <v>5792</v>
      </c>
      <c r="BK296" s="203" t="s">
        <v>5792</v>
      </c>
      <c r="BL296" s="203" t="s">
        <v>5792</v>
      </c>
      <c r="BM296" s="203" t="s">
        <v>5792</v>
      </c>
      <c r="BN296" s="203" t="s">
        <v>5792</v>
      </c>
      <c r="BO296" s="203" t="s">
        <v>5792</v>
      </c>
      <c r="BP296" s="202" t="s">
        <v>5792</v>
      </c>
      <c r="BQ296" s="203" t="s">
        <v>5792</v>
      </c>
      <c r="BR296" s="203" t="s">
        <v>5792</v>
      </c>
      <c r="BS296" s="203" t="s">
        <v>5792</v>
      </c>
      <c r="BT296" s="203" t="s">
        <v>5792</v>
      </c>
      <c r="BU296" s="203" t="s">
        <v>5792</v>
      </c>
      <c r="BV296" s="218" t="s">
        <v>5792</v>
      </c>
      <c r="BW296" s="203" t="s">
        <v>5792</v>
      </c>
      <c r="BX296" s="203" t="s">
        <v>5792</v>
      </c>
      <c r="BY296" s="203" t="s">
        <v>5792</v>
      </c>
      <c r="BZ296" s="203" t="s">
        <v>5792</v>
      </c>
      <c r="CA296" s="203" t="s">
        <v>5792</v>
      </c>
      <c r="CB296" s="218" t="s">
        <v>5792</v>
      </c>
      <c r="CC296" s="33" t="s">
        <v>5651</v>
      </c>
      <c r="CD296" s="21">
        <v>235</v>
      </c>
      <c r="CE296" s="21">
        <v>301.7</v>
      </c>
      <c r="CF296" s="21">
        <v>370</v>
      </c>
      <c r="CG296" s="21">
        <v>436.5</v>
      </c>
      <c r="CH296" s="69">
        <v>200000</v>
      </c>
      <c r="CI296" s="33" t="s">
        <v>5651</v>
      </c>
      <c r="CJ296" s="47">
        <v>235</v>
      </c>
      <c r="CK296" s="21">
        <v>267.5</v>
      </c>
      <c r="CL296" s="47">
        <v>370</v>
      </c>
      <c r="CM296" s="21">
        <v>379.15</v>
      </c>
      <c r="CN296" s="69">
        <v>193000</v>
      </c>
      <c r="CO296" s="33" t="s">
        <v>5651</v>
      </c>
      <c r="CP296" s="47">
        <v>235</v>
      </c>
      <c r="CQ296" s="21">
        <v>268.5</v>
      </c>
      <c r="CR296" s="47">
        <v>370</v>
      </c>
      <c r="CS296" s="21">
        <v>399.2</v>
      </c>
      <c r="CT296" s="69">
        <v>186000</v>
      </c>
      <c r="CU296" s="207" t="s">
        <v>5792</v>
      </c>
      <c r="CV296" s="208" t="s">
        <v>5792</v>
      </c>
      <c r="CW296" s="208" t="s">
        <v>5792</v>
      </c>
      <c r="CX296" s="209" t="s">
        <v>5792</v>
      </c>
      <c r="CY296" s="207" t="s">
        <v>5792</v>
      </c>
      <c r="CZ296" s="208" t="s">
        <v>5792</v>
      </c>
      <c r="DA296" s="209" t="s">
        <v>5792</v>
      </c>
      <c r="DB296" s="283" t="s">
        <v>5792</v>
      </c>
      <c r="DC296" s="163">
        <v>8.8000000000000007</v>
      </c>
      <c r="DD296" s="163">
        <v>640</v>
      </c>
      <c r="DE296" s="163">
        <v>752</v>
      </c>
      <c r="DF296" s="163">
        <v>800</v>
      </c>
      <c r="DG296" s="163">
        <v>946</v>
      </c>
      <c r="DH296" s="61">
        <v>200000</v>
      </c>
      <c r="DI296" s="29" t="s">
        <v>6019</v>
      </c>
      <c r="DJ296" s="163" t="s">
        <v>4561</v>
      </c>
      <c r="DK296" s="297" t="s">
        <v>6018</v>
      </c>
    </row>
    <row r="297" spans="1:115">
      <c r="A297" s="306">
        <v>292</v>
      </c>
      <c r="B297" s="326"/>
      <c r="C297" s="326"/>
      <c r="D297" s="343"/>
      <c r="E297" s="343"/>
      <c r="F297" s="326"/>
      <c r="G297" s="337"/>
      <c r="H297" s="337"/>
      <c r="I297" s="337"/>
      <c r="J297" s="131" t="s">
        <v>4649</v>
      </c>
      <c r="K297" s="306" t="s">
        <v>4383</v>
      </c>
      <c r="L297" s="163" t="s">
        <v>5792</v>
      </c>
      <c r="M297" s="306" t="s">
        <v>4508</v>
      </c>
      <c r="N297" s="163" t="s">
        <v>4702</v>
      </c>
      <c r="O297" s="18" t="s">
        <v>4507</v>
      </c>
      <c r="P297" s="163" t="s">
        <v>4420</v>
      </c>
      <c r="Q297" s="163" t="s">
        <v>4470</v>
      </c>
      <c r="R297" s="163" t="s">
        <v>4420</v>
      </c>
      <c r="S297" s="163" t="s">
        <v>5792</v>
      </c>
      <c r="T297" s="163" t="s">
        <v>4420</v>
      </c>
      <c r="U297" s="163" t="s">
        <v>5792</v>
      </c>
      <c r="V297" s="163" t="s">
        <v>4560</v>
      </c>
      <c r="W297" s="89">
        <v>0</v>
      </c>
      <c r="X297" s="230">
        <v>0</v>
      </c>
      <c r="Y297" s="18">
        <v>1777</v>
      </c>
      <c r="Z297" s="306" t="s">
        <v>4647</v>
      </c>
      <c r="AA297" s="163">
        <f>INDEX('[2]Cross-Section Database'!$C$2:$V$2928,MATCH(Z297,'[2]Cross-Section Database'!$B$2:$B$2928,0),3)</f>
        <v>200</v>
      </c>
      <c r="AB297" s="163">
        <f>INDEX('[2]Cross-Section Database'!$C$2:$V$2928,MATCH(Z297,'[2]Cross-Section Database'!$B$2:$B$2928,0),4)</f>
        <v>200</v>
      </c>
      <c r="AC297" s="21">
        <f>INDEX('[2]Cross-Section Database'!$C$2:$V$2928,MATCH(Z297,'[2]Cross-Section Database'!$B$2:$B$2928,0),6)</f>
        <v>8</v>
      </c>
      <c r="AD297" s="21">
        <f>INDEX('[2]Cross-Section Database'!$C$2:$V$2928,MATCH(Z297,'[2]Cross-Section Database'!$B$2:$B$2928,0),5)</f>
        <v>8</v>
      </c>
      <c r="AE297" s="21">
        <v>1400</v>
      </c>
      <c r="AF297" s="306" t="s">
        <v>5596</v>
      </c>
      <c r="AG297" s="21">
        <f>INDEX('[2]Cross-Section Database'!$C$2:$V$3928,MATCH(AF297,'[2]Cross-Section Database'!$B$2:$B$3928,0),3)</f>
        <v>300</v>
      </c>
      <c r="AH297" s="21">
        <f>INDEX('[2]Cross-Section Database'!$C$2:$V$3928,MATCH(AF297,'[2]Cross-Section Database'!$B$2:$B$3928,0),4)</f>
        <v>150</v>
      </c>
      <c r="AI297" s="21">
        <f>INDEX('[2]Cross-Section Database'!$C$2:$V$3928,MATCH(AF297,'[2]Cross-Section Database'!$B$2:$B$3928,0),6)</f>
        <v>9</v>
      </c>
      <c r="AJ297" s="21">
        <f>INDEX('[2]Cross-Section Database'!$C$2:$V$3928,MATCH(AF297,'[2]Cross-Section Database'!$B$2:$B$3928,0),5)</f>
        <v>6.5</v>
      </c>
      <c r="AK297" s="21">
        <v>1200</v>
      </c>
      <c r="AL297" s="21">
        <f>INDEX('[2]Cross-Section Database'!$C$2:$V$3928,MATCH(AF297,'[2]Cross-Section Database'!$B$2:$B$3928,0),11)</f>
        <v>69325191</v>
      </c>
      <c r="AM297" s="24">
        <v>522077</v>
      </c>
      <c r="AN297" s="21">
        <v>18</v>
      </c>
      <c r="AO297" s="21">
        <v>200</v>
      </c>
      <c r="AP297" s="21">
        <v>340</v>
      </c>
      <c r="AQ297" s="21">
        <v>20</v>
      </c>
      <c r="AR297" s="21">
        <f t="shared" si="162"/>
        <v>20</v>
      </c>
      <c r="AS297" s="306" t="s">
        <v>5659</v>
      </c>
      <c r="AT297" s="163" t="s">
        <v>4651</v>
      </c>
      <c r="AU297" s="21">
        <f>190/AV297/0.25</f>
        <v>47.5</v>
      </c>
      <c r="AV297" s="163">
        <v>16</v>
      </c>
      <c r="AW297" s="163">
        <f t="shared" si="160"/>
        <v>157</v>
      </c>
      <c r="AX297" s="21">
        <v>65</v>
      </c>
      <c r="AY297" s="21">
        <f>AX297</f>
        <v>65</v>
      </c>
      <c r="AZ297" s="21">
        <v>105</v>
      </c>
      <c r="BA297" s="21">
        <v>110</v>
      </c>
      <c r="BB297" s="21">
        <v>0</v>
      </c>
      <c r="BC297" s="15" t="s">
        <v>4470</v>
      </c>
      <c r="BD297" s="163" t="s">
        <v>6209</v>
      </c>
      <c r="BE297" s="163" t="s">
        <v>6209</v>
      </c>
      <c r="BF297" s="163">
        <v>2</v>
      </c>
      <c r="BG297" s="163">
        <v>6</v>
      </c>
      <c r="BH297" s="202" t="s">
        <v>5792</v>
      </c>
      <c r="BI297" s="203" t="s">
        <v>5792</v>
      </c>
      <c r="BJ297" s="203" t="s">
        <v>5792</v>
      </c>
      <c r="BK297" s="203" t="s">
        <v>5792</v>
      </c>
      <c r="BL297" s="203" t="s">
        <v>5792</v>
      </c>
      <c r="BM297" s="203" t="s">
        <v>5792</v>
      </c>
      <c r="BN297" s="203" t="s">
        <v>5792</v>
      </c>
      <c r="BO297" s="203" t="s">
        <v>5792</v>
      </c>
      <c r="BP297" s="202" t="s">
        <v>5792</v>
      </c>
      <c r="BQ297" s="203" t="s">
        <v>5792</v>
      </c>
      <c r="BR297" s="203" t="s">
        <v>5792</v>
      </c>
      <c r="BS297" s="203" t="s">
        <v>5792</v>
      </c>
      <c r="BT297" s="203" t="s">
        <v>5792</v>
      </c>
      <c r="BU297" s="203" t="s">
        <v>5792</v>
      </c>
      <c r="BV297" s="218" t="s">
        <v>5792</v>
      </c>
      <c r="BW297" s="203" t="s">
        <v>5792</v>
      </c>
      <c r="BX297" s="203" t="s">
        <v>5792</v>
      </c>
      <c r="BY297" s="203" t="s">
        <v>5792</v>
      </c>
      <c r="BZ297" s="203" t="s">
        <v>5792</v>
      </c>
      <c r="CA297" s="203" t="s">
        <v>5792</v>
      </c>
      <c r="CB297" s="218" t="s">
        <v>5792</v>
      </c>
      <c r="CC297" s="33" t="s">
        <v>5651</v>
      </c>
      <c r="CD297" s="21">
        <v>235</v>
      </c>
      <c r="CE297" s="21">
        <v>301.7</v>
      </c>
      <c r="CF297" s="21">
        <v>370</v>
      </c>
      <c r="CG297" s="21">
        <v>436.5</v>
      </c>
      <c r="CH297" s="69">
        <v>200000</v>
      </c>
      <c r="CI297" s="33" t="s">
        <v>5651</v>
      </c>
      <c r="CJ297" s="47">
        <v>235</v>
      </c>
      <c r="CK297" s="21">
        <v>267.5</v>
      </c>
      <c r="CL297" s="47">
        <v>370</v>
      </c>
      <c r="CM297" s="21">
        <v>379.1</v>
      </c>
      <c r="CN297" s="69">
        <v>193000</v>
      </c>
      <c r="CO297" s="33" t="s">
        <v>5651</v>
      </c>
      <c r="CP297" s="47">
        <v>235</v>
      </c>
      <c r="CQ297" s="21">
        <v>268.5</v>
      </c>
      <c r="CR297" s="47">
        <v>370</v>
      </c>
      <c r="CS297" s="21">
        <v>399.2</v>
      </c>
      <c r="CT297" s="69">
        <v>186000</v>
      </c>
      <c r="CU297" s="306" t="s">
        <v>5660</v>
      </c>
      <c r="CV297" s="64">
        <v>64</v>
      </c>
      <c r="CW297" s="33">
        <v>4.4000000000000004</v>
      </c>
      <c r="CX297" s="69">
        <v>34258</v>
      </c>
      <c r="CY297" s="207" t="s">
        <v>5792</v>
      </c>
      <c r="CZ297" s="208" t="s">
        <v>5792</v>
      </c>
      <c r="DA297" s="209" t="s">
        <v>5792</v>
      </c>
      <c r="DB297" s="283" t="s">
        <v>5792</v>
      </c>
      <c r="DC297" s="163">
        <v>8.8000000000000007</v>
      </c>
      <c r="DD297" s="163">
        <v>640</v>
      </c>
      <c r="DE297" s="163">
        <v>752</v>
      </c>
      <c r="DF297" s="163">
        <v>800</v>
      </c>
      <c r="DG297" s="163">
        <v>946</v>
      </c>
      <c r="DH297" s="61">
        <v>200000</v>
      </c>
      <c r="DI297" s="29" t="s">
        <v>6020</v>
      </c>
      <c r="DJ297" s="306" t="s">
        <v>4561</v>
      </c>
      <c r="DK297" s="297" t="s">
        <v>6018</v>
      </c>
    </row>
    <row r="298" spans="1:115" ht="15.6" customHeight="1" thickBot="1">
      <c r="A298" s="143">
        <v>293</v>
      </c>
      <c r="B298" s="327"/>
      <c r="C298" s="327"/>
      <c r="D298" s="344"/>
      <c r="E298" s="344"/>
      <c r="F298" s="327"/>
      <c r="G298" s="338"/>
      <c r="H298" s="338"/>
      <c r="I298" s="338"/>
      <c r="J298" s="323" t="s">
        <v>4650</v>
      </c>
      <c r="K298" s="143" t="s">
        <v>4383</v>
      </c>
      <c r="L298" s="164" t="s">
        <v>5792</v>
      </c>
      <c r="M298" s="143" t="s">
        <v>4508</v>
      </c>
      <c r="N298" s="164" t="s">
        <v>4702</v>
      </c>
      <c r="O298" s="14" t="s">
        <v>4507</v>
      </c>
      <c r="P298" s="164" t="s">
        <v>4420</v>
      </c>
      <c r="Q298" s="164" t="s">
        <v>4470</v>
      </c>
      <c r="R298" s="164" t="s">
        <v>4420</v>
      </c>
      <c r="S298" s="164" t="s">
        <v>5792</v>
      </c>
      <c r="T298" s="164" t="s">
        <v>4420</v>
      </c>
      <c r="U298" s="164" t="s">
        <v>5792</v>
      </c>
      <c r="V298" s="164" t="s">
        <v>4560</v>
      </c>
      <c r="W298" s="91">
        <v>0</v>
      </c>
      <c r="X298" s="235">
        <v>0</v>
      </c>
      <c r="Y298" s="14">
        <v>1777</v>
      </c>
      <c r="Z298" s="143" t="s">
        <v>4647</v>
      </c>
      <c r="AA298" s="23">
        <f>INDEX('[2]Cross-Section Database'!$C$2:$V$2928,MATCH(Z298,'[2]Cross-Section Database'!$B$2:$B$2928,0),3)</f>
        <v>200</v>
      </c>
      <c r="AB298" s="23">
        <f>INDEX('[2]Cross-Section Database'!$C$2:$V$2928,MATCH(Z298,'[2]Cross-Section Database'!$B$2:$B$2928,0),4)</f>
        <v>200</v>
      </c>
      <c r="AC298" s="23">
        <f>INDEX('[2]Cross-Section Database'!$C$2:$V$2928,MATCH(Z298,'[2]Cross-Section Database'!$B$2:$B$2928,0),6)</f>
        <v>8</v>
      </c>
      <c r="AD298" s="23">
        <f>INDEX('[2]Cross-Section Database'!$C$2:$V$2928,MATCH(Z298,'[2]Cross-Section Database'!$B$2:$B$2928,0),5)</f>
        <v>8</v>
      </c>
      <c r="AE298" s="23">
        <v>1400</v>
      </c>
      <c r="AF298" s="143" t="s">
        <v>5596</v>
      </c>
      <c r="AG298" s="23">
        <f>INDEX('[2]Cross-Section Database'!$C$2:$V$3928,MATCH(AF298,'[2]Cross-Section Database'!$B$2:$B$3928,0),3)</f>
        <v>300</v>
      </c>
      <c r="AH298" s="23">
        <f>INDEX('[2]Cross-Section Database'!$C$2:$V$3928,MATCH(AF298,'[2]Cross-Section Database'!$B$2:$B$3928,0),4)</f>
        <v>150</v>
      </c>
      <c r="AI298" s="23">
        <f>INDEX('[2]Cross-Section Database'!$C$2:$V$3928,MATCH(AF298,'[2]Cross-Section Database'!$B$2:$B$3928,0),6)</f>
        <v>9</v>
      </c>
      <c r="AJ298" s="23">
        <f>INDEX('[2]Cross-Section Database'!$C$2:$V$3928,MATCH(AF298,'[2]Cross-Section Database'!$B$2:$B$3928,0),5)</f>
        <v>6.5</v>
      </c>
      <c r="AK298" s="23">
        <v>1200</v>
      </c>
      <c r="AL298" s="23">
        <f>INDEX('[2]Cross-Section Database'!$C$2:$V$3928,MATCH(AF298,'[2]Cross-Section Database'!$B$2:$B$3928,0),11)</f>
        <v>69325191</v>
      </c>
      <c r="AM298" s="25">
        <v>522077</v>
      </c>
      <c r="AN298" s="23">
        <v>12</v>
      </c>
      <c r="AO298" s="23">
        <v>200</v>
      </c>
      <c r="AP298" s="23">
        <v>340</v>
      </c>
      <c r="AQ298" s="23">
        <v>20</v>
      </c>
      <c r="AR298" s="23">
        <f t="shared" si="162"/>
        <v>20</v>
      </c>
      <c r="AS298" s="143" t="s">
        <v>5659</v>
      </c>
      <c r="AT298" s="164" t="s">
        <v>4651</v>
      </c>
      <c r="AU298" s="23">
        <f>190/AV298/0.25</f>
        <v>47.5</v>
      </c>
      <c r="AV298" s="164">
        <v>16</v>
      </c>
      <c r="AW298" s="164">
        <f t="shared" si="160"/>
        <v>157</v>
      </c>
      <c r="AX298" s="23">
        <v>65</v>
      </c>
      <c r="AY298" s="23">
        <f>AX298</f>
        <v>65</v>
      </c>
      <c r="AZ298" s="23">
        <v>105</v>
      </c>
      <c r="BA298" s="23">
        <v>110</v>
      </c>
      <c r="BB298" s="23">
        <v>0</v>
      </c>
      <c r="BC298" s="19" t="s">
        <v>4470</v>
      </c>
      <c r="BD298" s="164" t="s">
        <v>6209</v>
      </c>
      <c r="BE298" s="164" t="s">
        <v>6209</v>
      </c>
      <c r="BF298" s="164">
        <v>2</v>
      </c>
      <c r="BG298" s="164">
        <v>6</v>
      </c>
      <c r="BH298" s="197" t="s">
        <v>5792</v>
      </c>
      <c r="BI298" s="198" t="s">
        <v>5792</v>
      </c>
      <c r="BJ298" s="198" t="s">
        <v>5792</v>
      </c>
      <c r="BK298" s="198" t="s">
        <v>5792</v>
      </c>
      <c r="BL298" s="198" t="s">
        <v>5792</v>
      </c>
      <c r="BM298" s="198" t="s">
        <v>5792</v>
      </c>
      <c r="BN298" s="198" t="s">
        <v>5792</v>
      </c>
      <c r="BO298" s="198" t="s">
        <v>5792</v>
      </c>
      <c r="BP298" s="197" t="s">
        <v>5792</v>
      </c>
      <c r="BQ298" s="198" t="s">
        <v>5792</v>
      </c>
      <c r="BR298" s="198" t="s">
        <v>5792</v>
      </c>
      <c r="BS298" s="198" t="s">
        <v>5792</v>
      </c>
      <c r="BT298" s="198" t="s">
        <v>5792</v>
      </c>
      <c r="BU298" s="198" t="s">
        <v>5792</v>
      </c>
      <c r="BV298" s="220" t="s">
        <v>5792</v>
      </c>
      <c r="BW298" s="198" t="s">
        <v>5792</v>
      </c>
      <c r="BX298" s="198" t="s">
        <v>5792</v>
      </c>
      <c r="BY298" s="198" t="s">
        <v>5792</v>
      </c>
      <c r="BZ298" s="198" t="s">
        <v>5792</v>
      </c>
      <c r="CA298" s="198" t="s">
        <v>5792</v>
      </c>
      <c r="CB298" s="220" t="s">
        <v>5792</v>
      </c>
      <c r="CC298" s="35" t="s">
        <v>5651</v>
      </c>
      <c r="CD298" s="23">
        <v>235</v>
      </c>
      <c r="CE298" s="23">
        <v>301.7</v>
      </c>
      <c r="CF298" s="23">
        <v>370</v>
      </c>
      <c r="CG298" s="23">
        <v>436.5</v>
      </c>
      <c r="CH298" s="83">
        <v>200000</v>
      </c>
      <c r="CI298" s="35" t="s">
        <v>5651</v>
      </c>
      <c r="CJ298" s="85">
        <v>235</v>
      </c>
      <c r="CK298" s="23">
        <v>267.5</v>
      </c>
      <c r="CL298" s="85">
        <v>370</v>
      </c>
      <c r="CM298" s="23">
        <v>379.1</v>
      </c>
      <c r="CN298" s="83">
        <v>193000</v>
      </c>
      <c r="CO298" s="35" t="s">
        <v>5651</v>
      </c>
      <c r="CP298" s="85">
        <v>235</v>
      </c>
      <c r="CQ298" s="23">
        <v>313</v>
      </c>
      <c r="CR298" s="85">
        <v>370</v>
      </c>
      <c r="CS298" s="23">
        <v>448.4</v>
      </c>
      <c r="CT298" s="83">
        <v>202000</v>
      </c>
      <c r="CU298" s="143" t="s">
        <v>5660</v>
      </c>
      <c r="CV298" s="84">
        <v>64</v>
      </c>
      <c r="CW298" s="33">
        <v>4.4000000000000004</v>
      </c>
      <c r="CX298" s="83">
        <v>34258</v>
      </c>
      <c r="CY298" s="207" t="s">
        <v>5792</v>
      </c>
      <c r="CZ298" s="208" t="s">
        <v>5792</v>
      </c>
      <c r="DA298" s="209" t="s">
        <v>5792</v>
      </c>
      <c r="DB298" s="284" t="s">
        <v>5792</v>
      </c>
      <c r="DC298" s="164">
        <v>8.8000000000000007</v>
      </c>
      <c r="DD298" s="164">
        <v>640</v>
      </c>
      <c r="DE298" s="164">
        <v>752</v>
      </c>
      <c r="DF298" s="164">
        <v>800</v>
      </c>
      <c r="DG298" s="164">
        <v>946</v>
      </c>
      <c r="DH298" s="77">
        <v>200000</v>
      </c>
      <c r="DI298" s="27" t="s">
        <v>6019</v>
      </c>
      <c r="DJ298" s="143" t="s">
        <v>4561</v>
      </c>
      <c r="DK298" s="297" t="s">
        <v>6018</v>
      </c>
    </row>
    <row r="299" spans="1:115" ht="15.6" customHeight="1">
      <c r="A299" s="306">
        <v>294</v>
      </c>
      <c r="B299" s="325">
        <v>43</v>
      </c>
      <c r="C299" s="325">
        <v>2009</v>
      </c>
      <c r="D299" s="333" t="s">
        <v>4681</v>
      </c>
      <c r="E299" s="333" t="s">
        <v>4849</v>
      </c>
      <c r="F299" s="325">
        <v>6</v>
      </c>
      <c r="G299" s="336" t="s">
        <v>5935</v>
      </c>
      <c r="H299" s="336" t="s">
        <v>5934</v>
      </c>
      <c r="I299" s="336" t="s">
        <v>6253</v>
      </c>
      <c r="J299" s="43" t="s">
        <v>4429</v>
      </c>
      <c r="K299" s="306" t="s">
        <v>6314</v>
      </c>
      <c r="L299" s="163" t="s">
        <v>5792</v>
      </c>
      <c r="M299" s="306" t="s">
        <v>4509</v>
      </c>
      <c r="N299" s="163" t="s">
        <v>4703</v>
      </c>
      <c r="O299" s="18" t="s">
        <v>4507</v>
      </c>
      <c r="P299" s="163" t="s">
        <v>6312</v>
      </c>
      <c r="Q299" s="163" t="s">
        <v>4420</v>
      </c>
      <c r="R299" s="163" t="s">
        <v>4420</v>
      </c>
      <c r="S299" s="163" t="s">
        <v>5792</v>
      </c>
      <c r="T299" s="163" t="s">
        <v>4420</v>
      </c>
      <c r="U299" s="163" t="s">
        <v>5792</v>
      </c>
      <c r="V299" s="163" t="s">
        <v>4559</v>
      </c>
      <c r="W299" s="18">
        <v>10</v>
      </c>
      <c r="X299" s="230">
        <v>0</v>
      </c>
      <c r="Y299" s="18">
        <v>0</v>
      </c>
      <c r="Z299" s="305" t="s">
        <v>6332</v>
      </c>
      <c r="AA299" s="16">
        <f>INDEX('[2]Cross-Section Database'!$C$2:$V$2928,MATCH(Z299,'[2]Cross-Section Database'!$B$2:$B$2928,0),3)</f>
        <v>200</v>
      </c>
      <c r="AB299" s="16">
        <f>INDEX('[2]Cross-Section Database'!$C$2:$V$2928,MATCH(Z299,'[2]Cross-Section Database'!$B$2:$B$2928,0),4)</f>
        <v>204</v>
      </c>
      <c r="AC299" s="16">
        <f>INDEX('[2]Cross-Section Database'!$C$2:$V$2928,MATCH(Z299,'[2]Cross-Section Database'!$B$2:$B$2928,0),6)</f>
        <v>12</v>
      </c>
      <c r="AD299" s="16">
        <f>INDEX('[2]Cross-Section Database'!$C$2:$V$2928,MATCH(Z299,'[2]Cross-Section Database'!$B$2:$B$2928,0),5)</f>
        <v>12</v>
      </c>
      <c r="AE299" s="16">
        <v>3000</v>
      </c>
      <c r="AF299" s="305" t="s">
        <v>6296</v>
      </c>
      <c r="AG299" s="16">
        <f>INDEX('[2]Cross-Section Database'!$C$2:$V$2928,MATCH(AF299,'[2]Cross-Section Database'!$B$2:$B$2928,0),3)</f>
        <v>248</v>
      </c>
      <c r="AH299" s="16">
        <f>INDEX('[2]Cross-Section Database'!$C$2:$V$2928,MATCH(AF299,'[2]Cross-Section Database'!$B$2:$B$2928,0),4)</f>
        <v>124</v>
      </c>
      <c r="AI299" s="16">
        <f>INDEX('[2]Cross-Section Database'!$C$2:$V$2928,MATCH(AF299,'[2]Cross-Section Database'!$B$2:$B$2928,0),6)</f>
        <v>8</v>
      </c>
      <c r="AJ299" s="16">
        <f>INDEX('[2]Cross-Section Database'!$C$2:$V$2928,MATCH(AF299,'[2]Cross-Section Database'!$B$2:$B$2928,0),5)</f>
        <v>5</v>
      </c>
      <c r="AK299" s="16">
        <v>1300</v>
      </c>
      <c r="AL299" s="16">
        <f>INDEX('[2]Cross-Section Database'!$C$2:$V$3928,MATCH(AF299,'[2]Cross-Section Database'!$B$2:$B$3928,0),11)</f>
        <v>34500000</v>
      </c>
      <c r="AM299" s="26">
        <f>INDEX('[2]Cross-Section Database'!$C$2:$V$3928,MATCH(AF299,'[2]Cross-Section Database'!$B$2:$B$3928,0),12)</f>
        <v>312000</v>
      </c>
      <c r="AN299" s="16">
        <v>12</v>
      </c>
      <c r="AO299" s="16">
        <v>200</v>
      </c>
      <c r="AP299" s="16">
        <v>300</v>
      </c>
      <c r="AQ299" s="16">
        <f t="shared" ref="AQ299:AQ304" si="163">(AP299-AG299)-AR299</f>
        <v>26</v>
      </c>
      <c r="AR299" s="16">
        <f t="shared" si="162"/>
        <v>26</v>
      </c>
      <c r="AS299" s="305" t="s">
        <v>5807</v>
      </c>
      <c r="AT299" s="162" t="s">
        <v>6134</v>
      </c>
      <c r="AU299" s="162" t="s">
        <v>6134</v>
      </c>
      <c r="AV299" s="162">
        <v>20</v>
      </c>
      <c r="AW299" s="162">
        <f t="shared" si="160"/>
        <v>245</v>
      </c>
      <c r="AX299" s="16">
        <v>85.5</v>
      </c>
      <c r="AY299" s="16">
        <v>85.5</v>
      </c>
      <c r="AZ299" s="16">
        <v>0</v>
      </c>
      <c r="BA299" s="16">
        <v>90</v>
      </c>
      <c r="BB299" s="16">
        <f t="shared" ref="BB299:BB309" si="164">AP299-AX299-AY299-AZ299</f>
        <v>129</v>
      </c>
      <c r="BC299" s="22" t="s">
        <v>6313</v>
      </c>
      <c r="BD299" s="162" t="s">
        <v>6209</v>
      </c>
      <c r="BE299" s="162" t="s">
        <v>6209</v>
      </c>
      <c r="BF299" s="162">
        <v>2</v>
      </c>
      <c r="BG299" s="162">
        <v>4</v>
      </c>
      <c r="BH299" s="200" t="s">
        <v>5792</v>
      </c>
      <c r="BI299" s="201" t="s">
        <v>5792</v>
      </c>
      <c r="BJ299" s="201" t="s">
        <v>5792</v>
      </c>
      <c r="BK299" s="201" t="s">
        <v>5792</v>
      </c>
      <c r="BL299" s="201" t="s">
        <v>5792</v>
      </c>
      <c r="BM299" s="201" t="s">
        <v>5792</v>
      </c>
      <c r="BN299" s="201" t="s">
        <v>5792</v>
      </c>
      <c r="BO299" s="201" t="s">
        <v>5792</v>
      </c>
      <c r="BP299" s="200" t="s">
        <v>5792</v>
      </c>
      <c r="BQ299" s="201" t="s">
        <v>5792</v>
      </c>
      <c r="BR299" s="201" t="s">
        <v>5792</v>
      </c>
      <c r="BS299" s="201" t="s">
        <v>5792</v>
      </c>
      <c r="BT299" s="201" t="s">
        <v>5792</v>
      </c>
      <c r="BU299" s="201" t="s">
        <v>5792</v>
      </c>
      <c r="BV299" s="219" t="s">
        <v>5792</v>
      </c>
      <c r="BW299" s="201" t="s">
        <v>5792</v>
      </c>
      <c r="BX299" s="201" t="s">
        <v>5792</v>
      </c>
      <c r="BY299" s="201" t="s">
        <v>5792</v>
      </c>
      <c r="BZ299" s="201" t="s">
        <v>5792</v>
      </c>
      <c r="CA299" s="201" t="s">
        <v>5792</v>
      </c>
      <c r="CB299" s="219" t="s">
        <v>5792</v>
      </c>
      <c r="CC299" s="162" t="s">
        <v>6282</v>
      </c>
      <c r="CD299" s="162">
        <v>275</v>
      </c>
      <c r="CE299" s="162">
        <v>376</v>
      </c>
      <c r="CF299" s="16">
        <v>410</v>
      </c>
      <c r="CG299" s="16">
        <v>537.5</v>
      </c>
      <c r="CH299" s="81">
        <v>196000</v>
      </c>
      <c r="CI299" s="305" t="s">
        <v>6282</v>
      </c>
      <c r="CJ299" s="65">
        <v>275</v>
      </c>
      <c r="CK299" s="16">
        <v>372</v>
      </c>
      <c r="CL299" s="72">
        <v>410</v>
      </c>
      <c r="CM299" s="16">
        <v>513.5</v>
      </c>
      <c r="CN299" s="81">
        <v>200500</v>
      </c>
      <c r="CO299" s="162" t="s">
        <v>6282</v>
      </c>
      <c r="CP299" s="16">
        <v>275</v>
      </c>
      <c r="CQ299" s="16">
        <v>305</v>
      </c>
      <c r="CR299" s="16">
        <v>410</v>
      </c>
      <c r="CS299" s="21">
        <v>467</v>
      </c>
      <c r="CT299" s="69">
        <v>203000</v>
      </c>
      <c r="CU299" s="204" t="s">
        <v>5792</v>
      </c>
      <c r="CV299" s="205" t="s">
        <v>5792</v>
      </c>
      <c r="CW299" s="205" t="s">
        <v>5792</v>
      </c>
      <c r="CX299" s="206" t="s">
        <v>5792</v>
      </c>
      <c r="CY299" s="204" t="s">
        <v>5792</v>
      </c>
      <c r="CZ299" s="205" t="s">
        <v>5792</v>
      </c>
      <c r="DA299" s="206" t="s">
        <v>5792</v>
      </c>
      <c r="DB299" s="282" t="s">
        <v>5792</v>
      </c>
      <c r="DC299" s="162">
        <v>8.8000000000000007</v>
      </c>
      <c r="DD299" s="162">
        <v>640</v>
      </c>
      <c r="DE299" s="30">
        <v>730</v>
      </c>
      <c r="DF299" s="162">
        <v>800</v>
      </c>
      <c r="DG299" s="30">
        <v>940</v>
      </c>
      <c r="DH299" s="76">
        <v>200000</v>
      </c>
      <c r="DI299" s="28" t="s">
        <v>5832</v>
      </c>
      <c r="DJ299" s="162" t="s">
        <v>4561</v>
      </c>
      <c r="DK299" s="296" t="s">
        <v>4566</v>
      </c>
    </row>
    <row r="300" spans="1:115">
      <c r="A300" s="306">
        <v>295</v>
      </c>
      <c r="B300" s="326"/>
      <c r="C300" s="326"/>
      <c r="D300" s="334"/>
      <c r="E300" s="334"/>
      <c r="F300" s="326"/>
      <c r="G300" s="337"/>
      <c r="H300" s="337"/>
      <c r="I300" s="337"/>
      <c r="J300" s="41" t="s">
        <v>4430</v>
      </c>
      <c r="K300" s="306" t="s">
        <v>4383</v>
      </c>
      <c r="L300" s="163" t="s">
        <v>5792</v>
      </c>
      <c r="M300" s="306" t="s">
        <v>4509</v>
      </c>
      <c r="N300" s="163" t="s">
        <v>4703</v>
      </c>
      <c r="O300" s="18" t="s">
        <v>4507</v>
      </c>
      <c r="P300" s="163" t="s">
        <v>6312</v>
      </c>
      <c r="Q300" s="163" t="s">
        <v>4420</v>
      </c>
      <c r="R300" s="163" t="s">
        <v>4420</v>
      </c>
      <c r="S300" s="163" t="s">
        <v>5792</v>
      </c>
      <c r="T300" s="163" t="s">
        <v>4420</v>
      </c>
      <c r="U300" s="163" t="s">
        <v>5792</v>
      </c>
      <c r="V300" s="163" t="s">
        <v>4559</v>
      </c>
      <c r="W300" s="18">
        <v>10</v>
      </c>
      <c r="X300" s="230">
        <v>0</v>
      </c>
      <c r="Y300" s="18">
        <v>0</v>
      </c>
      <c r="Z300" s="306" t="s">
        <v>6332</v>
      </c>
      <c r="AA300" s="21">
        <f>INDEX('[2]Cross-Section Database'!$C$2:$V$2928,MATCH(Z300,'[2]Cross-Section Database'!$B$2:$B$2928,0),3)</f>
        <v>200</v>
      </c>
      <c r="AB300" s="21">
        <f>INDEX('[2]Cross-Section Database'!$C$2:$V$2928,MATCH(Z300,'[2]Cross-Section Database'!$B$2:$B$2928,0),4)</f>
        <v>204</v>
      </c>
      <c r="AC300" s="21">
        <f>INDEX('[2]Cross-Section Database'!$C$2:$V$2928,MATCH(Z300,'[2]Cross-Section Database'!$B$2:$B$2928,0),6)</f>
        <v>12</v>
      </c>
      <c r="AD300" s="21">
        <f>INDEX('[2]Cross-Section Database'!$C$2:$V$2928,MATCH(Z300,'[2]Cross-Section Database'!$B$2:$B$2928,0),5)</f>
        <v>12</v>
      </c>
      <c r="AE300" s="21">
        <v>3000</v>
      </c>
      <c r="AF300" s="306" t="s">
        <v>6296</v>
      </c>
      <c r="AG300" s="21">
        <f>INDEX('[2]Cross-Section Database'!$C$2:$V$2928,MATCH(AF300,'[2]Cross-Section Database'!$B$2:$B$2928,0),3)</f>
        <v>248</v>
      </c>
      <c r="AH300" s="21">
        <f>INDEX('[2]Cross-Section Database'!$C$2:$V$2928,MATCH(AF300,'[2]Cross-Section Database'!$B$2:$B$2928,0),4)</f>
        <v>124</v>
      </c>
      <c r="AI300" s="21">
        <f>INDEX('[2]Cross-Section Database'!$C$2:$V$2928,MATCH(AF300,'[2]Cross-Section Database'!$B$2:$B$2928,0),6)</f>
        <v>8</v>
      </c>
      <c r="AJ300" s="21">
        <f>INDEX('[2]Cross-Section Database'!$C$2:$V$2928,MATCH(AF300,'[2]Cross-Section Database'!$B$2:$B$2928,0),5)</f>
        <v>5</v>
      </c>
      <c r="AK300" s="21">
        <v>1300</v>
      </c>
      <c r="AL300" s="21">
        <f>INDEX('[2]Cross-Section Database'!$C$2:$V$3928,MATCH(AF300,'[2]Cross-Section Database'!$B$2:$B$3928,0),11)</f>
        <v>34500000</v>
      </c>
      <c r="AM300" s="24">
        <f>INDEX('[2]Cross-Section Database'!$C$2:$V$3928,MATCH(AF300,'[2]Cross-Section Database'!$B$2:$B$3928,0),12)</f>
        <v>312000</v>
      </c>
      <c r="AN300" s="21">
        <v>15</v>
      </c>
      <c r="AO300" s="21">
        <v>200</v>
      </c>
      <c r="AP300" s="21">
        <v>300</v>
      </c>
      <c r="AQ300" s="21">
        <f t="shared" si="163"/>
        <v>26</v>
      </c>
      <c r="AR300" s="21">
        <f t="shared" si="162"/>
        <v>26</v>
      </c>
      <c r="AS300" s="306" t="s">
        <v>5807</v>
      </c>
      <c r="AT300" s="163" t="s">
        <v>6134</v>
      </c>
      <c r="AU300" s="163" t="s">
        <v>6134</v>
      </c>
      <c r="AV300" s="163">
        <v>24</v>
      </c>
      <c r="AW300" s="163">
        <f t="shared" si="160"/>
        <v>353</v>
      </c>
      <c r="AX300" s="21">
        <v>85.5</v>
      </c>
      <c r="AY300" s="21">
        <v>85.5</v>
      </c>
      <c r="AZ300" s="21">
        <v>0</v>
      </c>
      <c r="BA300" s="21">
        <v>90</v>
      </c>
      <c r="BB300" s="21">
        <f t="shared" si="164"/>
        <v>129</v>
      </c>
      <c r="BC300" s="15" t="s">
        <v>6313</v>
      </c>
      <c r="BD300" s="163" t="s">
        <v>6209</v>
      </c>
      <c r="BE300" s="163" t="s">
        <v>6209</v>
      </c>
      <c r="BF300" s="163">
        <v>2</v>
      </c>
      <c r="BG300" s="163">
        <v>4</v>
      </c>
      <c r="BH300" s="202" t="s">
        <v>5792</v>
      </c>
      <c r="BI300" s="203" t="s">
        <v>5792</v>
      </c>
      <c r="BJ300" s="203" t="s">
        <v>5792</v>
      </c>
      <c r="BK300" s="203" t="s">
        <v>5792</v>
      </c>
      <c r="BL300" s="203" t="s">
        <v>5792</v>
      </c>
      <c r="BM300" s="203" t="s">
        <v>5792</v>
      </c>
      <c r="BN300" s="203" t="s">
        <v>5792</v>
      </c>
      <c r="BO300" s="203" t="s">
        <v>5792</v>
      </c>
      <c r="BP300" s="202" t="s">
        <v>5792</v>
      </c>
      <c r="BQ300" s="203" t="s">
        <v>5792</v>
      </c>
      <c r="BR300" s="203" t="s">
        <v>5792</v>
      </c>
      <c r="BS300" s="203" t="s">
        <v>5792</v>
      </c>
      <c r="BT300" s="203" t="s">
        <v>5792</v>
      </c>
      <c r="BU300" s="203" t="s">
        <v>5792</v>
      </c>
      <c r="BV300" s="218" t="s">
        <v>5792</v>
      </c>
      <c r="BW300" s="203" t="s">
        <v>5792</v>
      </c>
      <c r="BX300" s="203" t="s">
        <v>5792</v>
      </c>
      <c r="BY300" s="203" t="s">
        <v>5792</v>
      </c>
      <c r="BZ300" s="203" t="s">
        <v>5792</v>
      </c>
      <c r="CA300" s="203" t="s">
        <v>5792</v>
      </c>
      <c r="CB300" s="218" t="s">
        <v>5792</v>
      </c>
      <c r="CC300" s="163" t="s">
        <v>6282</v>
      </c>
      <c r="CD300" s="163">
        <v>275</v>
      </c>
      <c r="CE300" s="163">
        <v>376</v>
      </c>
      <c r="CF300" s="21">
        <v>410</v>
      </c>
      <c r="CG300" s="21">
        <v>537.5</v>
      </c>
      <c r="CH300" s="69">
        <v>196000</v>
      </c>
      <c r="CI300" s="306" t="s">
        <v>6282</v>
      </c>
      <c r="CJ300" s="60">
        <v>275</v>
      </c>
      <c r="CK300" s="21">
        <v>372</v>
      </c>
      <c r="CL300" s="47">
        <v>410</v>
      </c>
      <c r="CM300" s="21">
        <v>513.5</v>
      </c>
      <c r="CN300" s="69">
        <v>200500</v>
      </c>
      <c r="CO300" s="163" t="s">
        <v>6282</v>
      </c>
      <c r="CP300" s="21">
        <v>275</v>
      </c>
      <c r="CQ300" s="21">
        <v>309.7</v>
      </c>
      <c r="CR300" s="21">
        <v>410</v>
      </c>
      <c r="CS300" s="21">
        <v>515.29999999999995</v>
      </c>
      <c r="CT300" s="69">
        <v>204000</v>
      </c>
      <c r="CU300" s="207" t="s">
        <v>5792</v>
      </c>
      <c r="CV300" s="208" t="s">
        <v>5792</v>
      </c>
      <c r="CW300" s="208" t="s">
        <v>5792</v>
      </c>
      <c r="CX300" s="209" t="s">
        <v>5792</v>
      </c>
      <c r="CY300" s="207" t="s">
        <v>5792</v>
      </c>
      <c r="CZ300" s="208" t="s">
        <v>5792</v>
      </c>
      <c r="DA300" s="209" t="s">
        <v>5792</v>
      </c>
      <c r="DB300" s="283" t="s">
        <v>5792</v>
      </c>
      <c r="DC300" s="163">
        <v>8.8000000000000007</v>
      </c>
      <c r="DD300" s="163">
        <v>640</v>
      </c>
      <c r="DE300" s="32">
        <v>730</v>
      </c>
      <c r="DF300" s="163">
        <v>800</v>
      </c>
      <c r="DG300" s="32">
        <v>940</v>
      </c>
      <c r="DH300" s="61">
        <v>200000</v>
      </c>
      <c r="DI300" s="78" t="s">
        <v>5851</v>
      </c>
      <c r="DJ300" s="163" t="s">
        <v>4561</v>
      </c>
      <c r="DK300" s="297" t="s">
        <v>4566</v>
      </c>
    </row>
    <row r="301" spans="1:115">
      <c r="A301" s="306">
        <v>296</v>
      </c>
      <c r="B301" s="326"/>
      <c r="C301" s="326"/>
      <c r="D301" s="334"/>
      <c r="E301" s="334"/>
      <c r="F301" s="326"/>
      <c r="G301" s="337"/>
      <c r="H301" s="337"/>
      <c r="I301" s="337"/>
      <c r="J301" s="41" t="s">
        <v>4431</v>
      </c>
      <c r="K301" s="306" t="s">
        <v>4383</v>
      </c>
      <c r="L301" s="163" t="s">
        <v>5792</v>
      </c>
      <c r="M301" s="306" t="s">
        <v>4509</v>
      </c>
      <c r="N301" s="163" t="s">
        <v>4703</v>
      </c>
      <c r="O301" s="18" t="s">
        <v>4507</v>
      </c>
      <c r="P301" s="163" t="s">
        <v>4420</v>
      </c>
      <c r="Q301" s="163" t="s">
        <v>4420</v>
      </c>
      <c r="R301" s="163" t="s">
        <v>4420</v>
      </c>
      <c r="S301" s="163" t="s">
        <v>5792</v>
      </c>
      <c r="T301" s="163" t="s">
        <v>4420</v>
      </c>
      <c r="U301" s="163" t="s">
        <v>5792</v>
      </c>
      <c r="V301" s="163" t="s">
        <v>4559</v>
      </c>
      <c r="W301" s="18">
        <v>10</v>
      </c>
      <c r="X301" s="230">
        <v>0</v>
      </c>
      <c r="Y301" s="18">
        <v>0</v>
      </c>
      <c r="Z301" s="306" t="s">
        <v>6333</v>
      </c>
      <c r="AA301" s="21">
        <f>INDEX('[2]Cross-Section Database'!$C$2:$V$2928,MATCH(Z301,'[2]Cross-Section Database'!$B$2:$B$2928,0),3)</f>
        <v>244</v>
      </c>
      <c r="AB301" s="21">
        <f>INDEX('[2]Cross-Section Database'!$C$2:$V$2928,MATCH(Z301,'[2]Cross-Section Database'!$B$2:$B$2928,0),4)</f>
        <v>252</v>
      </c>
      <c r="AC301" s="21">
        <f>INDEX('[2]Cross-Section Database'!$C$2:$V$2928,MATCH(Z301,'[2]Cross-Section Database'!$B$2:$B$2928,0),6)</f>
        <v>11</v>
      </c>
      <c r="AD301" s="21">
        <f>INDEX('[2]Cross-Section Database'!$C$2:$V$2928,MATCH(Z301,'[2]Cross-Section Database'!$B$2:$B$2928,0),5)</f>
        <v>11</v>
      </c>
      <c r="AE301" s="21">
        <v>3000</v>
      </c>
      <c r="AF301" s="306" t="s">
        <v>6297</v>
      </c>
      <c r="AG301" s="21">
        <f>INDEX('[2]Cross-Section Database'!$C$2:$V$2928,MATCH(AF301,'[2]Cross-Section Database'!$B$2:$B$2928,0),3)</f>
        <v>400</v>
      </c>
      <c r="AH301" s="21">
        <f>INDEX('[2]Cross-Section Database'!$C$2:$V$2928,MATCH(AF301,'[2]Cross-Section Database'!$B$2:$B$2928,0),4)</f>
        <v>200</v>
      </c>
      <c r="AI301" s="21">
        <f>INDEX('[2]Cross-Section Database'!$C$2:$V$2928,MATCH(AF301,'[2]Cross-Section Database'!$B$2:$B$2928,0),6)</f>
        <v>13</v>
      </c>
      <c r="AJ301" s="21">
        <f>INDEX('[2]Cross-Section Database'!$C$2:$V$2928,MATCH(AF301,'[2]Cross-Section Database'!$B$2:$B$2928,0),5)</f>
        <v>8</v>
      </c>
      <c r="AK301" s="21">
        <v>1300</v>
      </c>
      <c r="AL301" s="21">
        <f>INDEX('[2]Cross-Section Database'!$C$2:$V$3928,MATCH(AF301,'[2]Cross-Section Database'!$B$2:$B$3928,0),11)</f>
        <v>235000000</v>
      </c>
      <c r="AM301" s="24">
        <f>INDEX('[2]Cross-Section Database'!$C$2:$V$3928,MATCH(AF301,'[2]Cross-Section Database'!$B$2:$B$3928,0),12)</f>
        <v>1310000</v>
      </c>
      <c r="AN301" s="21">
        <v>12</v>
      </c>
      <c r="AO301" s="21">
        <v>200</v>
      </c>
      <c r="AP301" s="21">
        <v>500</v>
      </c>
      <c r="AQ301" s="21">
        <f t="shared" si="163"/>
        <v>50</v>
      </c>
      <c r="AR301" s="21">
        <f t="shared" si="162"/>
        <v>50</v>
      </c>
      <c r="AS301" s="306" t="s">
        <v>5807</v>
      </c>
      <c r="AT301" s="163" t="s">
        <v>6134</v>
      </c>
      <c r="AU301" s="21" t="s">
        <v>6134</v>
      </c>
      <c r="AV301" s="163">
        <v>20</v>
      </c>
      <c r="AW301" s="163">
        <f t="shared" si="160"/>
        <v>245</v>
      </c>
      <c r="AX301" s="21">
        <v>110</v>
      </c>
      <c r="AY301" s="21">
        <f t="shared" ref="AY301:AY347" si="165">AX301</f>
        <v>110</v>
      </c>
      <c r="AZ301" s="21">
        <v>90</v>
      </c>
      <c r="BA301" s="21">
        <v>90</v>
      </c>
      <c r="BB301" s="21">
        <f t="shared" si="164"/>
        <v>190</v>
      </c>
      <c r="BC301" s="15" t="s">
        <v>6312</v>
      </c>
      <c r="BD301" s="163" t="s">
        <v>4465</v>
      </c>
      <c r="BE301" s="163" t="s">
        <v>6209</v>
      </c>
      <c r="BF301" s="163">
        <v>4</v>
      </c>
      <c r="BG301" s="163">
        <v>6</v>
      </c>
      <c r="BH301" s="202" t="s">
        <v>5792</v>
      </c>
      <c r="BI301" s="203" t="s">
        <v>5792</v>
      </c>
      <c r="BJ301" s="203" t="s">
        <v>5792</v>
      </c>
      <c r="BK301" s="203" t="s">
        <v>5792</v>
      </c>
      <c r="BL301" s="203" t="s">
        <v>5792</v>
      </c>
      <c r="BM301" s="203" t="s">
        <v>5792</v>
      </c>
      <c r="BN301" s="203" t="s">
        <v>5792</v>
      </c>
      <c r="BO301" s="203" t="s">
        <v>5792</v>
      </c>
      <c r="BP301" s="202" t="s">
        <v>5792</v>
      </c>
      <c r="BQ301" s="203" t="s">
        <v>5792</v>
      </c>
      <c r="BR301" s="203" t="s">
        <v>5792</v>
      </c>
      <c r="BS301" s="203" t="s">
        <v>5792</v>
      </c>
      <c r="BT301" s="203" t="s">
        <v>5792</v>
      </c>
      <c r="BU301" s="203" t="s">
        <v>5792</v>
      </c>
      <c r="BV301" s="218" t="s">
        <v>5792</v>
      </c>
      <c r="BW301" s="203" t="s">
        <v>5792</v>
      </c>
      <c r="BX301" s="203" t="s">
        <v>5792</v>
      </c>
      <c r="BY301" s="203" t="s">
        <v>5792</v>
      </c>
      <c r="BZ301" s="203" t="s">
        <v>5792</v>
      </c>
      <c r="CA301" s="203" t="s">
        <v>5792</v>
      </c>
      <c r="CB301" s="218" t="s">
        <v>5792</v>
      </c>
      <c r="CC301" s="163" t="s">
        <v>6282</v>
      </c>
      <c r="CD301" s="163">
        <v>275</v>
      </c>
      <c r="CE301" s="163">
        <v>351</v>
      </c>
      <c r="CF301" s="21">
        <v>410</v>
      </c>
      <c r="CG301" s="21">
        <v>525</v>
      </c>
      <c r="CH301" s="69">
        <v>192500</v>
      </c>
      <c r="CI301" s="306" t="s">
        <v>6282</v>
      </c>
      <c r="CJ301" s="60">
        <v>275</v>
      </c>
      <c r="CK301" s="21">
        <v>312</v>
      </c>
      <c r="CL301" s="47">
        <v>410</v>
      </c>
      <c r="CM301" s="21">
        <v>507</v>
      </c>
      <c r="CN301" s="69">
        <v>199500</v>
      </c>
      <c r="CO301" s="163" t="s">
        <v>6282</v>
      </c>
      <c r="CP301" s="21">
        <v>275</v>
      </c>
      <c r="CQ301" s="21">
        <v>308</v>
      </c>
      <c r="CR301" s="21">
        <v>410</v>
      </c>
      <c r="CS301" s="21">
        <v>491</v>
      </c>
      <c r="CT301" s="69">
        <v>205000</v>
      </c>
      <c r="CU301" s="207" t="s">
        <v>5792</v>
      </c>
      <c r="CV301" s="208" t="s">
        <v>5792</v>
      </c>
      <c r="CW301" s="208" t="s">
        <v>5792</v>
      </c>
      <c r="CX301" s="209" t="s">
        <v>5792</v>
      </c>
      <c r="CY301" s="207" t="s">
        <v>5792</v>
      </c>
      <c r="CZ301" s="208" t="s">
        <v>5792</v>
      </c>
      <c r="DA301" s="209" t="s">
        <v>5792</v>
      </c>
      <c r="DB301" s="283" t="s">
        <v>5792</v>
      </c>
      <c r="DC301" s="163">
        <v>8.8000000000000007</v>
      </c>
      <c r="DD301" s="163">
        <v>640</v>
      </c>
      <c r="DE301" s="32">
        <v>730</v>
      </c>
      <c r="DF301" s="163">
        <v>800</v>
      </c>
      <c r="DG301" s="32">
        <v>940</v>
      </c>
      <c r="DH301" s="61">
        <v>200000</v>
      </c>
      <c r="DI301" s="29" t="s">
        <v>4765</v>
      </c>
      <c r="DJ301" s="306" t="s">
        <v>4561</v>
      </c>
      <c r="DK301" s="297" t="s">
        <v>4566</v>
      </c>
    </row>
    <row r="302" spans="1:115">
      <c r="A302" s="306">
        <v>297</v>
      </c>
      <c r="B302" s="326"/>
      <c r="C302" s="326"/>
      <c r="D302" s="334"/>
      <c r="E302" s="334"/>
      <c r="F302" s="326"/>
      <c r="G302" s="337"/>
      <c r="H302" s="337"/>
      <c r="I302" s="337"/>
      <c r="J302" s="41" t="s">
        <v>4432</v>
      </c>
      <c r="K302" s="306" t="s">
        <v>4383</v>
      </c>
      <c r="L302" s="163" t="s">
        <v>5792</v>
      </c>
      <c r="M302" s="306" t="s">
        <v>4509</v>
      </c>
      <c r="N302" s="163" t="s">
        <v>4703</v>
      </c>
      <c r="O302" s="18" t="s">
        <v>4507</v>
      </c>
      <c r="P302" s="163" t="s">
        <v>6312</v>
      </c>
      <c r="Q302" s="163" t="s">
        <v>4420</v>
      </c>
      <c r="R302" s="163" t="s">
        <v>4420</v>
      </c>
      <c r="S302" s="163" t="s">
        <v>5792</v>
      </c>
      <c r="T302" s="163" t="s">
        <v>4420</v>
      </c>
      <c r="U302" s="163" t="s">
        <v>5792</v>
      </c>
      <c r="V302" s="163" t="s">
        <v>4559</v>
      </c>
      <c r="W302" s="18">
        <v>10</v>
      </c>
      <c r="X302" s="230">
        <v>0</v>
      </c>
      <c r="Y302" s="18">
        <v>0</v>
      </c>
      <c r="Z302" s="306" t="s">
        <v>6333</v>
      </c>
      <c r="AA302" s="21">
        <f>INDEX('[2]Cross-Section Database'!$C$2:$V$2928,MATCH(Z302,'[2]Cross-Section Database'!$B$2:$B$2928,0),3)</f>
        <v>244</v>
      </c>
      <c r="AB302" s="21">
        <f>INDEX('[2]Cross-Section Database'!$C$2:$V$2928,MATCH(Z302,'[2]Cross-Section Database'!$B$2:$B$2928,0),4)</f>
        <v>252</v>
      </c>
      <c r="AC302" s="21">
        <f>INDEX('[2]Cross-Section Database'!$C$2:$V$2928,MATCH(Z302,'[2]Cross-Section Database'!$B$2:$B$2928,0),6)</f>
        <v>11</v>
      </c>
      <c r="AD302" s="21">
        <f>INDEX('[2]Cross-Section Database'!$C$2:$V$2928,MATCH(Z302,'[2]Cross-Section Database'!$B$2:$B$2928,0),5)</f>
        <v>11</v>
      </c>
      <c r="AE302" s="21">
        <v>3000</v>
      </c>
      <c r="AF302" s="306" t="s">
        <v>4712</v>
      </c>
      <c r="AG302" s="21">
        <f>INDEX('[2]Cross-Section Database'!$C$2:$V$2928,MATCH(AF302,'[2]Cross-Section Database'!$B$2:$B$2928,0),3)</f>
        <v>400</v>
      </c>
      <c r="AH302" s="21">
        <f>INDEX('[2]Cross-Section Database'!$C$2:$V$2928,MATCH(AF302,'[2]Cross-Section Database'!$B$2:$B$2928,0),4)</f>
        <v>200</v>
      </c>
      <c r="AI302" s="21">
        <f>INDEX('[2]Cross-Section Database'!$C$2:$V$2928,MATCH(AF302,'[2]Cross-Section Database'!$B$2:$B$2928,0),6)</f>
        <v>13</v>
      </c>
      <c r="AJ302" s="21">
        <f>INDEX('[2]Cross-Section Database'!$C$2:$V$2928,MATCH(AF302,'[2]Cross-Section Database'!$B$2:$B$2928,0),5)</f>
        <v>8</v>
      </c>
      <c r="AK302" s="21">
        <v>1300</v>
      </c>
      <c r="AL302" s="21">
        <f>INDEX('[2]Cross-Section Database'!$C$2:$V$3928,MATCH(AF302,'[2]Cross-Section Database'!$B$2:$B$3928,0),11)</f>
        <v>235000000</v>
      </c>
      <c r="AM302" s="24">
        <f>INDEX('[2]Cross-Section Database'!$C$2:$V$3928,MATCH(AF302,'[2]Cross-Section Database'!$B$2:$B$3928,0),12)</f>
        <v>1310000</v>
      </c>
      <c r="AN302" s="21">
        <v>12</v>
      </c>
      <c r="AO302" s="21">
        <v>250</v>
      </c>
      <c r="AP302" s="21">
        <v>500</v>
      </c>
      <c r="AQ302" s="21">
        <f t="shared" si="163"/>
        <v>50</v>
      </c>
      <c r="AR302" s="21">
        <f t="shared" si="162"/>
        <v>50</v>
      </c>
      <c r="AS302" s="306" t="s">
        <v>5807</v>
      </c>
      <c r="AT302" s="163" t="s">
        <v>6134</v>
      </c>
      <c r="AU302" s="21" t="s">
        <v>6134</v>
      </c>
      <c r="AV302" s="163">
        <v>20</v>
      </c>
      <c r="AW302" s="163">
        <f t="shared" si="160"/>
        <v>245</v>
      </c>
      <c r="AX302" s="21">
        <v>110</v>
      </c>
      <c r="AY302" s="21">
        <f t="shared" si="165"/>
        <v>110</v>
      </c>
      <c r="AZ302" s="21">
        <v>90</v>
      </c>
      <c r="BA302" s="21">
        <v>90</v>
      </c>
      <c r="BB302" s="21">
        <f t="shared" si="164"/>
        <v>190</v>
      </c>
      <c r="BC302" s="15" t="s">
        <v>6312</v>
      </c>
      <c r="BD302" s="163" t="s">
        <v>4465</v>
      </c>
      <c r="BE302" s="163" t="s">
        <v>6209</v>
      </c>
      <c r="BF302" s="163">
        <v>4</v>
      </c>
      <c r="BG302" s="163">
        <v>6</v>
      </c>
      <c r="BH302" s="202" t="s">
        <v>5792</v>
      </c>
      <c r="BI302" s="203" t="s">
        <v>5792</v>
      </c>
      <c r="BJ302" s="203" t="s">
        <v>5792</v>
      </c>
      <c r="BK302" s="203" t="s">
        <v>5792</v>
      </c>
      <c r="BL302" s="203" t="s">
        <v>5792</v>
      </c>
      <c r="BM302" s="203" t="s">
        <v>5792</v>
      </c>
      <c r="BN302" s="203" t="s">
        <v>5792</v>
      </c>
      <c r="BO302" s="203" t="s">
        <v>5792</v>
      </c>
      <c r="BP302" s="202" t="s">
        <v>5792</v>
      </c>
      <c r="BQ302" s="203" t="s">
        <v>5792</v>
      </c>
      <c r="BR302" s="203" t="s">
        <v>5792</v>
      </c>
      <c r="BS302" s="203" t="s">
        <v>5792</v>
      </c>
      <c r="BT302" s="203" t="s">
        <v>5792</v>
      </c>
      <c r="BU302" s="203" t="s">
        <v>5792</v>
      </c>
      <c r="BV302" s="218" t="s">
        <v>5792</v>
      </c>
      <c r="BW302" s="203" t="s">
        <v>5792</v>
      </c>
      <c r="BX302" s="203" t="s">
        <v>5792</v>
      </c>
      <c r="BY302" s="203" t="s">
        <v>5792</v>
      </c>
      <c r="BZ302" s="203" t="s">
        <v>5792</v>
      </c>
      <c r="CA302" s="203" t="s">
        <v>5792</v>
      </c>
      <c r="CB302" s="218" t="s">
        <v>5792</v>
      </c>
      <c r="CC302" s="163" t="s">
        <v>6282</v>
      </c>
      <c r="CD302" s="163">
        <v>275</v>
      </c>
      <c r="CE302" s="163">
        <v>351</v>
      </c>
      <c r="CF302" s="21">
        <v>410</v>
      </c>
      <c r="CG302" s="21">
        <v>525</v>
      </c>
      <c r="CH302" s="69">
        <v>192500</v>
      </c>
      <c r="CI302" s="306" t="s">
        <v>6282</v>
      </c>
      <c r="CJ302" s="60">
        <v>275</v>
      </c>
      <c r="CK302" s="21">
        <v>312</v>
      </c>
      <c r="CL302" s="47">
        <v>410</v>
      </c>
      <c r="CM302" s="21">
        <v>507</v>
      </c>
      <c r="CN302" s="69">
        <v>199500</v>
      </c>
      <c r="CO302" s="163" t="s">
        <v>6282</v>
      </c>
      <c r="CP302" s="21">
        <v>275</v>
      </c>
      <c r="CQ302" s="21">
        <v>309</v>
      </c>
      <c r="CR302" s="21">
        <v>410</v>
      </c>
      <c r="CS302" s="21">
        <v>470</v>
      </c>
      <c r="CT302" s="69">
        <v>204000</v>
      </c>
      <c r="CU302" s="207" t="s">
        <v>5792</v>
      </c>
      <c r="CV302" s="208" t="s">
        <v>5792</v>
      </c>
      <c r="CW302" s="208" t="s">
        <v>5792</v>
      </c>
      <c r="CX302" s="209" t="s">
        <v>5792</v>
      </c>
      <c r="CY302" s="207" t="s">
        <v>5792</v>
      </c>
      <c r="CZ302" s="208" t="s">
        <v>5792</v>
      </c>
      <c r="DA302" s="209" t="s">
        <v>5792</v>
      </c>
      <c r="DB302" s="283" t="s">
        <v>5792</v>
      </c>
      <c r="DC302" s="163">
        <v>8.8000000000000007</v>
      </c>
      <c r="DD302" s="163">
        <v>640</v>
      </c>
      <c r="DE302" s="32">
        <v>730</v>
      </c>
      <c r="DF302" s="163">
        <v>800</v>
      </c>
      <c r="DG302" s="32">
        <v>940</v>
      </c>
      <c r="DH302" s="61">
        <v>200000</v>
      </c>
      <c r="DI302" s="29" t="s">
        <v>4765</v>
      </c>
      <c r="DJ302" s="163" t="s">
        <v>4561</v>
      </c>
      <c r="DK302" s="297" t="s">
        <v>4566</v>
      </c>
    </row>
    <row r="303" spans="1:115">
      <c r="A303" s="306">
        <v>298</v>
      </c>
      <c r="B303" s="326"/>
      <c r="C303" s="326"/>
      <c r="D303" s="334"/>
      <c r="E303" s="334"/>
      <c r="F303" s="326"/>
      <c r="G303" s="337"/>
      <c r="H303" s="337"/>
      <c r="I303" s="337"/>
      <c r="J303" s="41" t="s">
        <v>4433</v>
      </c>
      <c r="K303" s="306" t="s">
        <v>4383</v>
      </c>
      <c r="L303" s="163" t="s">
        <v>5792</v>
      </c>
      <c r="M303" s="306" t="s">
        <v>4509</v>
      </c>
      <c r="N303" s="163" t="s">
        <v>4703</v>
      </c>
      <c r="O303" s="18" t="s">
        <v>4507</v>
      </c>
      <c r="P303" s="163" t="s">
        <v>6312</v>
      </c>
      <c r="Q303" s="163" t="s">
        <v>4420</v>
      </c>
      <c r="R303" s="163" t="s">
        <v>4420</v>
      </c>
      <c r="S303" s="163" t="s">
        <v>5792</v>
      </c>
      <c r="T303" s="163" t="s">
        <v>4420</v>
      </c>
      <c r="U303" s="163" t="s">
        <v>5792</v>
      </c>
      <c r="V303" s="163" t="s">
        <v>4559</v>
      </c>
      <c r="W303" s="18">
        <v>10</v>
      </c>
      <c r="X303" s="230">
        <v>0</v>
      </c>
      <c r="Y303" s="18">
        <v>0</v>
      </c>
      <c r="Z303" s="306" t="s">
        <v>6334</v>
      </c>
      <c r="AA303" s="21">
        <f>INDEX('[2]Cross-Section Database'!$C$2:$V$2928,MATCH(Z303,'[2]Cross-Section Database'!$B$2:$B$2928,0),3)</f>
        <v>294</v>
      </c>
      <c r="AB303" s="21">
        <f>INDEX('[2]Cross-Section Database'!$C$2:$V$2928,MATCH(Z303,'[2]Cross-Section Database'!$B$2:$B$2928,0),4)</f>
        <v>302</v>
      </c>
      <c r="AC303" s="21">
        <f>INDEX('[2]Cross-Section Database'!$C$2:$V$2928,MATCH(Z303,'[2]Cross-Section Database'!$B$2:$B$2928,0),6)</f>
        <v>12</v>
      </c>
      <c r="AD303" s="21">
        <f>INDEX('[2]Cross-Section Database'!$C$2:$V$2928,MATCH(Z303,'[2]Cross-Section Database'!$B$2:$B$2928,0),5)</f>
        <v>12</v>
      </c>
      <c r="AE303" s="21">
        <v>3000</v>
      </c>
      <c r="AF303" s="306" t="s">
        <v>6335</v>
      </c>
      <c r="AG303" s="21">
        <f>INDEX('[2]Cross-Section Database'!$C$2:$V$2928,MATCH(AF303,'[2]Cross-Section Database'!$B$2:$B$2928,0),3)</f>
        <v>506</v>
      </c>
      <c r="AH303" s="21">
        <f>INDEX('[2]Cross-Section Database'!$C$2:$V$2928,MATCH(AF303,'[2]Cross-Section Database'!$B$2:$B$2928,0),4)</f>
        <v>201</v>
      </c>
      <c r="AI303" s="21">
        <f>INDEX('[2]Cross-Section Database'!$C$2:$V$2928,MATCH(AF303,'[2]Cross-Section Database'!$B$2:$B$2928,0),6)</f>
        <v>19</v>
      </c>
      <c r="AJ303" s="21">
        <f>INDEX('[2]Cross-Section Database'!$C$2:$V$2928,MATCH(AF303,'[2]Cross-Section Database'!$B$2:$B$2928,0),5)</f>
        <v>11</v>
      </c>
      <c r="AK303" s="21">
        <v>1300</v>
      </c>
      <c r="AL303" s="21">
        <f>INDEX('[2]Cross-Section Database'!$C$2:$V$3928,MATCH(AF303,'[2]Cross-Section Database'!$B$2:$B$3928,0),11)</f>
        <v>555000000</v>
      </c>
      <c r="AM303" s="24">
        <f>INDEX('[2]Cross-Section Database'!$C$2:$V$3928,MATCH(AF303,'[2]Cross-Section Database'!$B$2:$B$3928,0),12)</f>
        <v>2500000</v>
      </c>
      <c r="AN303" s="21">
        <v>15</v>
      </c>
      <c r="AO303" s="21">
        <v>200</v>
      </c>
      <c r="AP303" s="21">
        <v>600</v>
      </c>
      <c r="AQ303" s="21">
        <f t="shared" si="163"/>
        <v>47</v>
      </c>
      <c r="AR303" s="21">
        <f t="shared" si="162"/>
        <v>47</v>
      </c>
      <c r="AS303" s="306" t="s">
        <v>5807</v>
      </c>
      <c r="AT303" s="163" t="s">
        <v>6134</v>
      </c>
      <c r="AU303" s="21" t="s">
        <v>6134</v>
      </c>
      <c r="AV303" s="163">
        <v>24</v>
      </c>
      <c r="AW303" s="163">
        <f t="shared" si="160"/>
        <v>353</v>
      </c>
      <c r="AX303" s="21">
        <v>106.5</v>
      </c>
      <c r="AY303" s="21">
        <f t="shared" si="165"/>
        <v>106.5</v>
      </c>
      <c r="AZ303" s="21">
        <v>90</v>
      </c>
      <c r="BA303" s="21">
        <v>90</v>
      </c>
      <c r="BB303" s="21">
        <f t="shared" si="164"/>
        <v>297</v>
      </c>
      <c r="BC303" s="15" t="s">
        <v>6312</v>
      </c>
      <c r="BD303" s="163" t="s">
        <v>4465</v>
      </c>
      <c r="BE303" s="163" t="s">
        <v>4465</v>
      </c>
      <c r="BF303" s="163">
        <v>4</v>
      </c>
      <c r="BG303" s="163">
        <v>8</v>
      </c>
      <c r="BH303" s="202" t="s">
        <v>5792</v>
      </c>
      <c r="BI303" s="203" t="s">
        <v>5792</v>
      </c>
      <c r="BJ303" s="203" t="s">
        <v>5792</v>
      </c>
      <c r="BK303" s="203" t="s">
        <v>5792</v>
      </c>
      <c r="BL303" s="203" t="s">
        <v>5792</v>
      </c>
      <c r="BM303" s="203" t="s">
        <v>5792</v>
      </c>
      <c r="BN303" s="203" t="s">
        <v>5792</v>
      </c>
      <c r="BO303" s="203" t="s">
        <v>5792</v>
      </c>
      <c r="BP303" s="202" t="s">
        <v>5792</v>
      </c>
      <c r="BQ303" s="203" t="s">
        <v>5792</v>
      </c>
      <c r="BR303" s="203" t="s">
        <v>5792</v>
      </c>
      <c r="BS303" s="203" t="s">
        <v>5792</v>
      </c>
      <c r="BT303" s="203" t="s">
        <v>5792</v>
      </c>
      <c r="BU303" s="203" t="s">
        <v>5792</v>
      </c>
      <c r="BV303" s="218" t="s">
        <v>5792</v>
      </c>
      <c r="BW303" s="203" t="s">
        <v>5792</v>
      </c>
      <c r="BX303" s="203" t="s">
        <v>5792</v>
      </c>
      <c r="BY303" s="203" t="s">
        <v>5792</v>
      </c>
      <c r="BZ303" s="203" t="s">
        <v>5792</v>
      </c>
      <c r="CA303" s="203" t="s">
        <v>5792</v>
      </c>
      <c r="CB303" s="218" t="s">
        <v>5792</v>
      </c>
      <c r="CC303" s="163" t="s">
        <v>6282</v>
      </c>
      <c r="CD303" s="21">
        <v>275</v>
      </c>
      <c r="CE303" s="21">
        <v>364.5</v>
      </c>
      <c r="CF303" s="21">
        <v>410</v>
      </c>
      <c r="CG303" s="21">
        <v>513</v>
      </c>
      <c r="CH303" s="69">
        <v>198000</v>
      </c>
      <c r="CI303" s="306" t="s">
        <v>6282</v>
      </c>
      <c r="CJ303" s="60">
        <v>275</v>
      </c>
      <c r="CK303" s="21">
        <v>357</v>
      </c>
      <c r="CL303" s="47">
        <v>410</v>
      </c>
      <c r="CM303" s="21">
        <v>485</v>
      </c>
      <c r="CN303" s="69">
        <v>194000</v>
      </c>
      <c r="CO303" s="163" t="s">
        <v>6282</v>
      </c>
      <c r="CP303" s="21">
        <v>275</v>
      </c>
      <c r="CQ303" s="21">
        <v>311</v>
      </c>
      <c r="CR303" s="21">
        <v>410</v>
      </c>
      <c r="CS303" s="21">
        <v>524</v>
      </c>
      <c r="CT303" s="69">
        <v>205000</v>
      </c>
      <c r="CU303" s="207" t="s">
        <v>5792</v>
      </c>
      <c r="CV303" s="208" t="s">
        <v>5792</v>
      </c>
      <c r="CW303" s="208" t="s">
        <v>5792</v>
      </c>
      <c r="CX303" s="209" t="s">
        <v>5792</v>
      </c>
      <c r="CY303" s="207" t="s">
        <v>5792</v>
      </c>
      <c r="CZ303" s="208" t="s">
        <v>5792</v>
      </c>
      <c r="DA303" s="209" t="s">
        <v>5792</v>
      </c>
      <c r="DB303" s="283" t="s">
        <v>5792</v>
      </c>
      <c r="DC303" s="163">
        <v>8.8000000000000007</v>
      </c>
      <c r="DD303" s="163">
        <v>640</v>
      </c>
      <c r="DE303" s="32">
        <v>730</v>
      </c>
      <c r="DF303" s="163">
        <v>800</v>
      </c>
      <c r="DG303" s="32">
        <v>940</v>
      </c>
      <c r="DH303" s="61">
        <v>200000</v>
      </c>
      <c r="DI303" s="29" t="s">
        <v>4765</v>
      </c>
      <c r="DJ303" s="306" t="s">
        <v>4561</v>
      </c>
      <c r="DK303" s="297" t="s">
        <v>4566</v>
      </c>
    </row>
    <row r="304" spans="1:115" ht="15.6" customHeight="1" thickBot="1">
      <c r="A304" s="306">
        <v>299</v>
      </c>
      <c r="B304" s="327"/>
      <c r="C304" s="327"/>
      <c r="D304" s="335"/>
      <c r="E304" s="335"/>
      <c r="F304" s="327"/>
      <c r="G304" s="338"/>
      <c r="H304" s="338"/>
      <c r="I304" s="338"/>
      <c r="J304" s="41" t="s">
        <v>4434</v>
      </c>
      <c r="K304" s="306" t="s">
        <v>4383</v>
      </c>
      <c r="L304" s="163" t="s">
        <v>5792</v>
      </c>
      <c r="M304" s="306" t="s">
        <v>4509</v>
      </c>
      <c r="N304" s="163" t="s">
        <v>4703</v>
      </c>
      <c r="O304" s="18" t="s">
        <v>4507</v>
      </c>
      <c r="P304" s="163" t="s">
        <v>6312</v>
      </c>
      <c r="Q304" s="163" t="s">
        <v>4420</v>
      </c>
      <c r="R304" s="163" t="s">
        <v>4420</v>
      </c>
      <c r="S304" s="163" t="s">
        <v>5792</v>
      </c>
      <c r="T304" s="163" t="s">
        <v>4420</v>
      </c>
      <c r="U304" s="163" t="s">
        <v>5792</v>
      </c>
      <c r="V304" s="163" t="s">
        <v>4559</v>
      </c>
      <c r="W304" s="18">
        <v>10</v>
      </c>
      <c r="X304" s="230">
        <v>0</v>
      </c>
      <c r="Y304" s="18">
        <v>0</v>
      </c>
      <c r="Z304" s="306" t="s">
        <v>6334</v>
      </c>
      <c r="AA304" s="21">
        <f>INDEX('[2]Cross-Section Database'!$C$2:$V$2928,MATCH(Z304,'[2]Cross-Section Database'!$B$2:$B$2928,0),3)</f>
        <v>294</v>
      </c>
      <c r="AB304" s="21">
        <f>INDEX('[2]Cross-Section Database'!$C$2:$V$2928,MATCH(Z304,'[2]Cross-Section Database'!$B$2:$B$2928,0),4)</f>
        <v>302</v>
      </c>
      <c r="AC304" s="21">
        <f>INDEX('[2]Cross-Section Database'!$C$2:$V$2928,MATCH(Z304,'[2]Cross-Section Database'!$B$2:$B$2928,0),6)</f>
        <v>12</v>
      </c>
      <c r="AD304" s="21">
        <f>INDEX('[2]Cross-Section Database'!$C$2:$V$2928,MATCH(Z304,'[2]Cross-Section Database'!$B$2:$B$2928,0),5)</f>
        <v>12</v>
      </c>
      <c r="AE304" s="21">
        <v>3000</v>
      </c>
      <c r="AF304" s="306" t="s">
        <v>6335</v>
      </c>
      <c r="AG304" s="21">
        <f>INDEX('[2]Cross-Section Database'!$C$2:$V$2928,MATCH(AF304,'[2]Cross-Section Database'!$B$2:$B$2928,0),3)</f>
        <v>506</v>
      </c>
      <c r="AH304" s="21">
        <f>INDEX('[2]Cross-Section Database'!$C$2:$V$2928,MATCH(AF304,'[2]Cross-Section Database'!$B$2:$B$2928,0),4)</f>
        <v>201</v>
      </c>
      <c r="AI304" s="21">
        <f>INDEX('[2]Cross-Section Database'!$C$2:$V$2928,MATCH(AF304,'[2]Cross-Section Database'!$B$2:$B$2928,0),6)</f>
        <v>19</v>
      </c>
      <c r="AJ304" s="21">
        <f>INDEX('[2]Cross-Section Database'!$C$2:$V$2928,MATCH(AF304,'[2]Cross-Section Database'!$B$2:$B$2928,0),5)</f>
        <v>11</v>
      </c>
      <c r="AK304" s="21">
        <v>1300</v>
      </c>
      <c r="AL304" s="21">
        <f>INDEX('[2]Cross-Section Database'!$C$2:$V$3928,MATCH(AF304,'[2]Cross-Section Database'!$B$2:$B$3928,0),11)</f>
        <v>555000000</v>
      </c>
      <c r="AM304" s="24">
        <f>INDEX('[2]Cross-Section Database'!$C$2:$V$3928,MATCH(AF304,'[2]Cross-Section Database'!$B$2:$B$3928,0),12)</f>
        <v>2500000</v>
      </c>
      <c r="AN304" s="21">
        <v>15</v>
      </c>
      <c r="AO304" s="21">
        <v>250</v>
      </c>
      <c r="AP304" s="21">
        <v>600</v>
      </c>
      <c r="AQ304" s="21">
        <f t="shared" si="163"/>
        <v>47</v>
      </c>
      <c r="AR304" s="21">
        <f t="shared" si="162"/>
        <v>47</v>
      </c>
      <c r="AS304" s="306" t="s">
        <v>5807</v>
      </c>
      <c r="AT304" s="163" t="s">
        <v>6134</v>
      </c>
      <c r="AU304" s="21" t="s">
        <v>6134</v>
      </c>
      <c r="AV304" s="163">
        <v>24</v>
      </c>
      <c r="AW304" s="163">
        <f t="shared" si="160"/>
        <v>353</v>
      </c>
      <c r="AX304" s="21">
        <v>106.5</v>
      </c>
      <c r="AY304" s="21">
        <f t="shared" si="165"/>
        <v>106.5</v>
      </c>
      <c r="AZ304" s="21">
        <v>90</v>
      </c>
      <c r="BA304" s="21">
        <v>90</v>
      </c>
      <c r="BB304" s="21">
        <f t="shared" si="164"/>
        <v>297</v>
      </c>
      <c r="BC304" s="15" t="s">
        <v>6312</v>
      </c>
      <c r="BD304" s="163" t="s">
        <v>4465</v>
      </c>
      <c r="BE304" s="163" t="s">
        <v>6209</v>
      </c>
      <c r="BF304" s="163">
        <v>4</v>
      </c>
      <c r="BG304" s="163">
        <v>6</v>
      </c>
      <c r="BH304" s="202" t="s">
        <v>5792</v>
      </c>
      <c r="BI304" s="203" t="s">
        <v>5792</v>
      </c>
      <c r="BJ304" s="203" t="s">
        <v>5792</v>
      </c>
      <c r="BK304" s="203" t="s">
        <v>5792</v>
      </c>
      <c r="BL304" s="203" t="s">
        <v>5792</v>
      </c>
      <c r="BM304" s="203" t="s">
        <v>5792</v>
      </c>
      <c r="BN304" s="203" t="s">
        <v>5792</v>
      </c>
      <c r="BO304" s="203" t="s">
        <v>5792</v>
      </c>
      <c r="BP304" s="202" t="s">
        <v>5792</v>
      </c>
      <c r="BQ304" s="203" t="s">
        <v>5792</v>
      </c>
      <c r="BR304" s="203" t="s">
        <v>5792</v>
      </c>
      <c r="BS304" s="203" t="s">
        <v>5792</v>
      </c>
      <c r="BT304" s="203" t="s">
        <v>5792</v>
      </c>
      <c r="BU304" s="203" t="s">
        <v>5792</v>
      </c>
      <c r="BV304" s="218" t="s">
        <v>5792</v>
      </c>
      <c r="BW304" s="203" t="s">
        <v>5792</v>
      </c>
      <c r="BX304" s="203" t="s">
        <v>5792</v>
      </c>
      <c r="BY304" s="203" t="s">
        <v>5792</v>
      </c>
      <c r="BZ304" s="203" t="s">
        <v>5792</v>
      </c>
      <c r="CA304" s="203" t="s">
        <v>5792</v>
      </c>
      <c r="CB304" s="218" t="s">
        <v>5792</v>
      </c>
      <c r="CC304" s="163" t="s">
        <v>6282</v>
      </c>
      <c r="CD304" s="21">
        <v>275</v>
      </c>
      <c r="CE304" s="21">
        <v>364.5</v>
      </c>
      <c r="CF304" s="21">
        <v>410</v>
      </c>
      <c r="CG304" s="21">
        <v>513</v>
      </c>
      <c r="CH304" s="69">
        <v>198000</v>
      </c>
      <c r="CI304" s="306" t="s">
        <v>6282</v>
      </c>
      <c r="CJ304" s="60">
        <v>275</v>
      </c>
      <c r="CK304" s="21">
        <v>357</v>
      </c>
      <c r="CL304" s="47">
        <v>410</v>
      </c>
      <c r="CM304" s="21">
        <v>485</v>
      </c>
      <c r="CN304" s="69">
        <v>194000</v>
      </c>
      <c r="CO304" s="163" t="s">
        <v>6282</v>
      </c>
      <c r="CP304" s="21">
        <v>275</v>
      </c>
      <c r="CQ304" s="21">
        <v>308</v>
      </c>
      <c r="CR304" s="21">
        <v>410</v>
      </c>
      <c r="CS304" s="21">
        <v>507</v>
      </c>
      <c r="CT304" s="69">
        <v>203000</v>
      </c>
      <c r="CU304" s="207" t="s">
        <v>5792</v>
      </c>
      <c r="CV304" s="208" t="s">
        <v>5792</v>
      </c>
      <c r="CW304" s="208" t="s">
        <v>5792</v>
      </c>
      <c r="CX304" s="209" t="s">
        <v>5792</v>
      </c>
      <c r="CY304" s="207" t="s">
        <v>5792</v>
      </c>
      <c r="CZ304" s="208" t="s">
        <v>5792</v>
      </c>
      <c r="DA304" s="209" t="s">
        <v>5792</v>
      </c>
      <c r="DB304" s="283" t="s">
        <v>5792</v>
      </c>
      <c r="DC304" s="164">
        <v>8.8000000000000007</v>
      </c>
      <c r="DD304" s="164">
        <v>640</v>
      </c>
      <c r="DE304" s="34">
        <v>730</v>
      </c>
      <c r="DF304" s="164">
        <v>800</v>
      </c>
      <c r="DG304" s="34">
        <v>940</v>
      </c>
      <c r="DH304" s="77">
        <v>200000</v>
      </c>
      <c r="DI304" s="27" t="s">
        <v>4765</v>
      </c>
      <c r="DJ304" s="143" t="s">
        <v>4561</v>
      </c>
      <c r="DK304" s="297" t="s">
        <v>4566</v>
      </c>
    </row>
    <row r="305" spans="1:115" ht="15.6" customHeight="1">
      <c r="A305" s="305">
        <v>300</v>
      </c>
      <c r="B305" s="325">
        <v>44</v>
      </c>
      <c r="C305" s="325">
        <v>2011</v>
      </c>
      <c r="D305" s="342" t="s">
        <v>4681</v>
      </c>
      <c r="E305" s="342" t="s">
        <v>6336</v>
      </c>
      <c r="F305" s="325">
        <v>5</v>
      </c>
      <c r="G305" s="336" t="s">
        <v>5935</v>
      </c>
      <c r="H305" s="336" t="s">
        <v>5934</v>
      </c>
      <c r="I305" s="336" t="s">
        <v>6337</v>
      </c>
      <c r="J305" s="43" t="s">
        <v>4429</v>
      </c>
      <c r="K305" s="305" t="s">
        <v>4383</v>
      </c>
      <c r="L305" s="162" t="s">
        <v>5792</v>
      </c>
      <c r="M305" s="305" t="s">
        <v>4509</v>
      </c>
      <c r="N305" s="162" t="s">
        <v>4703</v>
      </c>
      <c r="O305" s="17" t="s">
        <v>4506</v>
      </c>
      <c r="P305" s="162" t="s">
        <v>6312</v>
      </c>
      <c r="Q305" s="162" t="s">
        <v>4420</v>
      </c>
      <c r="R305" s="162" t="s">
        <v>4420</v>
      </c>
      <c r="S305" s="162" t="s">
        <v>5792</v>
      </c>
      <c r="T305" s="162" t="s">
        <v>4420</v>
      </c>
      <c r="U305" s="162" t="s">
        <v>5792</v>
      </c>
      <c r="V305" s="162" t="s">
        <v>4559</v>
      </c>
      <c r="W305" s="17">
        <v>10</v>
      </c>
      <c r="X305" s="239">
        <v>0</v>
      </c>
      <c r="Y305" s="17">
        <v>0</v>
      </c>
      <c r="Z305" s="305" t="s">
        <v>5123</v>
      </c>
      <c r="AA305" s="16">
        <f>INDEX('[2]Cross-Section Database'!$C$2:$V$2928,MATCH(Z305,'[2]Cross-Section Database'!$B$2:$B$2928,0),3)</f>
        <v>338</v>
      </c>
      <c r="AB305" s="16">
        <f>INDEX('[2]Cross-Section Database'!$C$2:$V$2928,MATCH(Z305,'[2]Cross-Section Database'!$B$2:$B$2928,0),4)</f>
        <v>351</v>
      </c>
      <c r="AC305" s="16">
        <f>INDEX('[2]Cross-Section Database'!$C$2:$V$2928,MATCH(Z305,'[2]Cross-Section Database'!$B$2:$B$2928,0),6)</f>
        <v>13</v>
      </c>
      <c r="AD305" s="16">
        <f>INDEX('[2]Cross-Section Database'!$C$2:$V$2928,MATCH(Z305,'[2]Cross-Section Database'!$B$2:$B$2928,0),5)</f>
        <v>13</v>
      </c>
      <c r="AE305" s="26">
        <v>3000</v>
      </c>
      <c r="AF305" s="305" t="s">
        <v>4712</v>
      </c>
      <c r="AG305" s="16">
        <f>INDEX('[2]Cross-Section Database'!$C$2:$V$2928,MATCH(AF305,'[2]Cross-Section Database'!$B$2:$B$2928,0),3)</f>
        <v>400</v>
      </c>
      <c r="AH305" s="16">
        <f>INDEX('[2]Cross-Section Database'!$C$2:$V$2928,MATCH(AF305,'[2]Cross-Section Database'!$B$2:$B$2928,0),4)</f>
        <v>200</v>
      </c>
      <c r="AI305" s="16">
        <f>INDEX('[2]Cross-Section Database'!$C$2:$V$2928,MATCH(AF305,'[2]Cross-Section Database'!$B$2:$B$2928,0),6)</f>
        <v>13</v>
      </c>
      <c r="AJ305" s="16">
        <f>INDEX('[2]Cross-Section Database'!$C$2:$V$2928,MATCH(AF305,'[2]Cross-Section Database'!$B$2:$B$2928,0),5)</f>
        <v>8</v>
      </c>
      <c r="AK305" s="16">
        <v>1300</v>
      </c>
      <c r="AL305" s="16">
        <f>INDEX('[2]Cross-Section Database'!$C$2:$V$3928,MATCH(AF305,'[2]Cross-Section Database'!$B$2:$B$3928,0),11)</f>
        <v>235000000</v>
      </c>
      <c r="AM305" s="26">
        <f>INDEX('[2]Cross-Section Database'!$C$2:$V$3928,MATCH(AF305,'[2]Cross-Section Database'!$B$2:$B$3928,0),12)</f>
        <v>1310000</v>
      </c>
      <c r="AN305" s="16">
        <v>12</v>
      </c>
      <c r="AO305" s="16">
        <v>200</v>
      </c>
      <c r="AP305" s="16">
        <f>AG305+50</f>
        <v>450</v>
      </c>
      <c r="AQ305" s="16">
        <v>25</v>
      </c>
      <c r="AR305" s="16">
        <v>25</v>
      </c>
      <c r="AS305" s="305" t="s">
        <v>5807</v>
      </c>
      <c r="AT305" s="162" t="s">
        <v>6134</v>
      </c>
      <c r="AU305" s="162" t="s">
        <v>6134</v>
      </c>
      <c r="AV305" s="162">
        <v>20</v>
      </c>
      <c r="AW305" s="162">
        <f t="shared" si="160"/>
        <v>245</v>
      </c>
      <c r="AX305" s="16">
        <v>85</v>
      </c>
      <c r="AY305" s="16">
        <v>85</v>
      </c>
      <c r="AZ305" s="16">
        <v>0</v>
      </c>
      <c r="BA305" s="16">
        <v>90</v>
      </c>
      <c r="BB305" s="16">
        <f t="shared" si="164"/>
        <v>280</v>
      </c>
      <c r="BC305" s="22" t="s">
        <v>4470</v>
      </c>
      <c r="BD305" s="162" t="s">
        <v>6209</v>
      </c>
      <c r="BE305" s="162" t="s">
        <v>6209</v>
      </c>
      <c r="BF305" s="162">
        <v>2</v>
      </c>
      <c r="BG305" s="162">
        <v>4</v>
      </c>
      <c r="BH305" s="200" t="s">
        <v>5792</v>
      </c>
      <c r="BI305" s="201" t="s">
        <v>5792</v>
      </c>
      <c r="BJ305" s="201" t="s">
        <v>5792</v>
      </c>
      <c r="BK305" s="201" t="s">
        <v>5792</v>
      </c>
      <c r="BL305" s="201" t="s">
        <v>5792</v>
      </c>
      <c r="BM305" s="201" t="s">
        <v>5792</v>
      </c>
      <c r="BN305" s="201" t="s">
        <v>5792</v>
      </c>
      <c r="BO305" s="201" t="s">
        <v>5792</v>
      </c>
      <c r="BP305" s="200" t="s">
        <v>5792</v>
      </c>
      <c r="BQ305" s="201" t="s">
        <v>5792</v>
      </c>
      <c r="BR305" s="201" t="s">
        <v>5792</v>
      </c>
      <c r="BS305" s="201" t="s">
        <v>5792</v>
      </c>
      <c r="BT305" s="201" t="s">
        <v>5792</v>
      </c>
      <c r="BU305" s="201" t="s">
        <v>5792</v>
      </c>
      <c r="BV305" s="219" t="s">
        <v>5792</v>
      </c>
      <c r="BW305" s="201" t="s">
        <v>5792</v>
      </c>
      <c r="BX305" s="201" t="s">
        <v>5792</v>
      </c>
      <c r="BY305" s="201" t="s">
        <v>5792</v>
      </c>
      <c r="BZ305" s="201" t="s">
        <v>5792</v>
      </c>
      <c r="CA305" s="201" t="s">
        <v>5792</v>
      </c>
      <c r="CB305" s="219" t="s">
        <v>5792</v>
      </c>
      <c r="CC305" s="162" t="s">
        <v>6282</v>
      </c>
      <c r="CD305" s="162">
        <v>275</v>
      </c>
      <c r="CE305" s="16">
        <v>356</v>
      </c>
      <c r="CF305" s="16">
        <v>410</v>
      </c>
      <c r="CG305" s="16">
        <v>488</v>
      </c>
      <c r="CH305" s="81">
        <v>200000</v>
      </c>
      <c r="CI305" s="162" t="s">
        <v>6282</v>
      </c>
      <c r="CJ305" s="162">
        <v>275</v>
      </c>
      <c r="CK305" s="16">
        <v>351</v>
      </c>
      <c r="CL305" s="16">
        <v>410</v>
      </c>
      <c r="CM305" s="16">
        <v>495</v>
      </c>
      <c r="CN305" s="81">
        <v>212000</v>
      </c>
      <c r="CO305" s="305" t="s">
        <v>6282</v>
      </c>
      <c r="CP305" s="16">
        <v>275</v>
      </c>
      <c r="CQ305" s="16">
        <v>307.3</v>
      </c>
      <c r="CR305" s="16">
        <v>410</v>
      </c>
      <c r="CS305" s="16">
        <v>476</v>
      </c>
      <c r="CT305" s="81">
        <v>204000</v>
      </c>
      <c r="CU305" s="204" t="s">
        <v>5792</v>
      </c>
      <c r="CV305" s="205" t="s">
        <v>5792</v>
      </c>
      <c r="CW305" s="205" t="s">
        <v>5792</v>
      </c>
      <c r="CX305" s="206" t="s">
        <v>5792</v>
      </c>
      <c r="CY305" s="204" t="s">
        <v>5792</v>
      </c>
      <c r="CZ305" s="205" t="s">
        <v>5792</v>
      </c>
      <c r="DA305" s="206" t="s">
        <v>5792</v>
      </c>
      <c r="DB305" s="282" t="s">
        <v>5792</v>
      </c>
      <c r="DC305" s="162">
        <v>8.8000000000000007</v>
      </c>
      <c r="DD305" s="162">
        <v>640</v>
      </c>
      <c r="DE305" s="30">
        <v>730</v>
      </c>
      <c r="DF305" s="162">
        <v>800</v>
      </c>
      <c r="DG305" s="30">
        <v>940</v>
      </c>
      <c r="DH305" s="76">
        <v>200000</v>
      </c>
      <c r="DI305" s="29" t="s">
        <v>4768</v>
      </c>
      <c r="DJ305" s="162" t="s">
        <v>4435</v>
      </c>
      <c r="DK305" s="296" t="s">
        <v>4566</v>
      </c>
    </row>
    <row r="306" spans="1:115">
      <c r="A306" s="306">
        <v>301</v>
      </c>
      <c r="B306" s="326"/>
      <c r="C306" s="326"/>
      <c r="D306" s="343"/>
      <c r="E306" s="343"/>
      <c r="F306" s="326"/>
      <c r="G306" s="337"/>
      <c r="H306" s="337"/>
      <c r="I306" s="337"/>
      <c r="J306" s="41" t="s">
        <v>4430</v>
      </c>
      <c r="K306" s="306" t="s">
        <v>4383</v>
      </c>
      <c r="L306" s="163" t="s">
        <v>5792</v>
      </c>
      <c r="M306" s="306" t="s">
        <v>4509</v>
      </c>
      <c r="N306" s="163" t="s">
        <v>4703</v>
      </c>
      <c r="O306" s="18" t="s">
        <v>4506</v>
      </c>
      <c r="P306" s="163" t="s">
        <v>6312</v>
      </c>
      <c r="Q306" s="163" t="s">
        <v>4420</v>
      </c>
      <c r="R306" s="163" t="s">
        <v>4420</v>
      </c>
      <c r="S306" s="163" t="s">
        <v>5792</v>
      </c>
      <c r="T306" s="163" t="s">
        <v>4420</v>
      </c>
      <c r="U306" s="163" t="s">
        <v>5792</v>
      </c>
      <c r="V306" s="163" t="s">
        <v>4559</v>
      </c>
      <c r="W306" s="18">
        <v>10</v>
      </c>
      <c r="X306" s="230">
        <v>0</v>
      </c>
      <c r="Y306" s="18">
        <v>0</v>
      </c>
      <c r="Z306" s="306" t="s">
        <v>5109</v>
      </c>
      <c r="AA306" s="21">
        <f>INDEX('[2]Cross-Section Database'!$C$2:$V$2928,MATCH(Z306,'[2]Cross-Section Database'!$B$2:$B$2928,0),3)</f>
        <v>294</v>
      </c>
      <c r="AB306" s="21">
        <f>INDEX('[2]Cross-Section Database'!$C$2:$V$2928,MATCH(Z306,'[2]Cross-Section Database'!$B$2:$B$2928,0),4)</f>
        <v>302</v>
      </c>
      <c r="AC306" s="21">
        <f>INDEX('[2]Cross-Section Database'!$C$2:$V$2928,MATCH(Z306,'[2]Cross-Section Database'!$B$2:$B$2928,0),6)</f>
        <v>12</v>
      </c>
      <c r="AD306" s="21">
        <f>INDEX('[2]Cross-Section Database'!$C$2:$V$2928,MATCH(Z306,'[2]Cross-Section Database'!$B$2:$B$2928,0),5)</f>
        <v>12</v>
      </c>
      <c r="AE306" s="24">
        <v>3000</v>
      </c>
      <c r="AF306" s="306" t="s">
        <v>4712</v>
      </c>
      <c r="AG306" s="21">
        <f>INDEX('[2]Cross-Section Database'!$C$2:$V$2928,MATCH(AF306,'[2]Cross-Section Database'!$B$2:$B$2928,0),3)</f>
        <v>400</v>
      </c>
      <c r="AH306" s="21">
        <f>INDEX('[2]Cross-Section Database'!$C$2:$V$2928,MATCH(AF306,'[2]Cross-Section Database'!$B$2:$B$2928,0),4)</f>
        <v>200</v>
      </c>
      <c r="AI306" s="21">
        <f>INDEX('[2]Cross-Section Database'!$C$2:$V$2928,MATCH(AF306,'[2]Cross-Section Database'!$B$2:$B$2928,0),6)</f>
        <v>13</v>
      </c>
      <c r="AJ306" s="21">
        <f>INDEX('[2]Cross-Section Database'!$C$2:$V$2928,MATCH(AF306,'[2]Cross-Section Database'!$B$2:$B$2928,0),5)</f>
        <v>8</v>
      </c>
      <c r="AK306" s="21">
        <v>1300</v>
      </c>
      <c r="AL306" s="21">
        <f>INDEX('[2]Cross-Section Database'!$C$2:$V$3928,MATCH(AF306,'[2]Cross-Section Database'!$B$2:$B$3928,0),11)</f>
        <v>235000000</v>
      </c>
      <c r="AM306" s="24">
        <f>INDEX('[2]Cross-Section Database'!$C$2:$V$3928,MATCH(AF306,'[2]Cross-Section Database'!$B$2:$B$3928,0),12)</f>
        <v>1310000</v>
      </c>
      <c r="AN306" s="21">
        <v>12</v>
      </c>
      <c r="AO306" s="21">
        <v>200</v>
      </c>
      <c r="AP306" s="21">
        <f t="shared" ref="AP306:AP309" si="166">AG306+50</f>
        <v>450</v>
      </c>
      <c r="AQ306" s="21">
        <v>25</v>
      </c>
      <c r="AR306" s="21">
        <v>25</v>
      </c>
      <c r="AS306" s="306" t="s">
        <v>5807</v>
      </c>
      <c r="AT306" s="163" t="s">
        <v>6134</v>
      </c>
      <c r="AU306" s="163" t="s">
        <v>6134</v>
      </c>
      <c r="AV306" s="163">
        <v>20</v>
      </c>
      <c r="AW306" s="163">
        <f t="shared" si="160"/>
        <v>245</v>
      </c>
      <c r="AX306" s="21">
        <v>85</v>
      </c>
      <c r="AY306" s="21">
        <v>85</v>
      </c>
      <c r="AZ306" s="21">
        <v>0</v>
      </c>
      <c r="BA306" s="21">
        <v>90</v>
      </c>
      <c r="BB306" s="21">
        <f t="shared" si="164"/>
        <v>280</v>
      </c>
      <c r="BC306" s="15" t="s">
        <v>4470</v>
      </c>
      <c r="BD306" s="163" t="s">
        <v>6209</v>
      </c>
      <c r="BE306" s="163" t="s">
        <v>6209</v>
      </c>
      <c r="BF306" s="163">
        <v>2</v>
      </c>
      <c r="BG306" s="163">
        <v>4</v>
      </c>
      <c r="BH306" s="202" t="s">
        <v>5792</v>
      </c>
      <c r="BI306" s="203" t="s">
        <v>5792</v>
      </c>
      <c r="BJ306" s="203" t="s">
        <v>5792</v>
      </c>
      <c r="BK306" s="203" t="s">
        <v>5792</v>
      </c>
      <c r="BL306" s="203" t="s">
        <v>5792</v>
      </c>
      <c r="BM306" s="203" t="s">
        <v>5792</v>
      </c>
      <c r="BN306" s="203" t="s">
        <v>5792</v>
      </c>
      <c r="BO306" s="203" t="s">
        <v>5792</v>
      </c>
      <c r="BP306" s="202" t="s">
        <v>5792</v>
      </c>
      <c r="BQ306" s="203" t="s">
        <v>5792</v>
      </c>
      <c r="BR306" s="203" t="s">
        <v>5792</v>
      </c>
      <c r="BS306" s="203" t="s">
        <v>5792</v>
      </c>
      <c r="BT306" s="203" t="s">
        <v>5792</v>
      </c>
      <c r="BU306" s="203" t="s">
        <v>5792</v>
      </c>
      <c r="BV306" s="218" t="s">
        <v>5792</v>
      </c>
      <c r="BW306" s="203" t="s">
        <v>5792</v>
      </c>
      <c r="BX306" s="203" t="s">
        <v>5792</v>
      </c>
      <c r="BY306" s="203" t="s">
        <v>5792</v>
      </c>
      <c r="BZ306" s="203" t="s">
        <v>5792</v>
      </c>
      <c r="CA306" s="203" t="s">
        <v>5792</v>
      </c>
      <c r="CB306" s="218" t="s">
        <v>5792</v>
      </c>
      <c r="CC306" s="163" t="s">
        <v>6282</v>
      </c>
      <c r="CD306" s="163">
        <v>275</v>
      </c>
      <c r="CE306" s="21">
        <v>364.5</v>
      </c>
      <c r="CF306" s="21">
        <v>410</v>
      </c>
      <c r="CG306" s="21">
        <v>516</v>
      </c>
      <c r="CH306" s="69">
        <v>198000</v>
      </c>
      <c r="CI306" s="163" t="s">
        <v>6282</v>
      </c>
      <c r="CJ306" s="163">
        <v>275</v>
      </c>
      <c r="CK306" s="21">
        <v>351</v>
      </c>
      <c r="CL306" s="21">
        <v>410</v>
      </c>
      <c r="CM306" s="21">
        <v>495</v>
      </c>
      <c r="CN306" s="69">
        <v>212000</v>
      </c>
      <c r="CO306" s="306" t="s">
        <v>6282</v>
      </c>
      <c r="CP306" s="21">
        <v>275</v>
      </c>
      <c r="CQ306" s="21">
        <v>307.3</v>
      </c>
      <c r="CR306" s="21">
        <v>410</v>
      </c>
      <c r="CS306" s="21">
        <v>476</v>
      </c>
      <c r="CT306" s="69">
        <v>204000</v>
      </c>
      <c r="CU306" s="207" t="s">
        <v>5792</v>
      </c>
      <c r="CV306" s="208" t="s">
        <v>5792</v>
      </c>
      <c r="CW306" s="208" t="s">
        <v>5792</v>
      </c>
      <c r="CX306" s="209" t="s">
        <v>5792</v>
      </c>
      <c r="CY306" s="207" t="s">
        <v>5792</v>
      </c>
      <c r="CZ306" s="208" t="s">
        <v>5792</v>
      </c>
      <c r="DA306" s="209" t="s">
        <v>5792</v>
      </c>
      <c r="DB306" s="283" t="s">
        <v>5792</v>
      </c>
      <c r="DC306" s="163">
        <v>8.8000000000000007</v>
      </c>
      <c r="DD306" s="163">
        <v>640</v>
      </c>
      <c r="DE306" s="32">
        <v>730</v>
      </c>
      <c r="DF306" s="163">
        <v>800</v>
      </c>
      <c r="DG306" s="32">
        <v>940</v>
      </c>
      <c r="DH306" s="61">
        <v>200000</v>
      </c>
      <c r="DI306" s="29" t="s">
        <v>4768</v>
      </c>
      <c r="DJ306" s="163" t="s">
        <v>4435</v>
      </c>
      <c r="DK306" s="297" t="s">
        <v>4566</v>
      </c>
    </row>
    <row r="307" spans="1:115" ht="15.6" customHeight="1">
      <c r="A307" s="306">
        <v>302</v>
      </c>
      <c r="B307" s="326"/>
      <c r="C307" s="326"/>
      <c r="D307" s="343"/>
      <c r="E307" s="343"/>
      <c r="F307" s="326"/>
      <c r="G307" s="337"/>
      <c r="H307" s="337"/>
      <c r="I307" s="337"/>
      <c r="J307" s="41" t="s">
        <v>4431</v>
      </c>
      <c r="K307" s="306" t="s">
        <v>4383</v>
      </c>
      <c r="L307" s="163" t="s">
        <v>5792</v>
      </c>
      <c r="M307" s="306" t="s">
        <v>4509</v>
      </c>
      <c r="N307" s="163" t="s">
        <v>4703</v>
      </c>
      <c r="O307" s="18" t="s">
        <v>4506</v>
      </c>
      <c r="P307" s="163" t="s">
        <v>4420</v>
      </c>
      <c r="Q307" s="163" t="s">
        <v>4420</v>
      </c>
      <c r="R307" s="163" t="s">
        <v>4420</v>
      </c>
      <c r="S307" s="163" t="s">
        <v>5792</v>
      </c>
      <c r="T307" s="163" t="s">
        <v>4420</v>
      </c>
      <c r="U307" s="163" t="s">
        <v>5792</v>
      </c>
      <c r="V307" s="163" t="s">
        <v>4559</v>
      </c>
      <c r="W307" s="18">
        <v>10</v>
      </c>
      <c r="X307" s="230">
        <v>0</v>
      </c>
      <c r="Y307" s="18">
        <v>0</v>
      </c>
      <c r="Z307" s="306" t="s">
        <v>5109</v>
      </c>
      <c r="AA307" s="21">
        <f>INDEX('[2]Cross-Section Database'!$C$2:$V$2928,MATCH(Z307,'[2]Cross-Section Database'!$B$2:$B$2928,0),3)</f>
        <v>294</v>
      </c>
      <c r="AB307" s="21">
        <f>INDEX('[2]Cross-Section Database'!$C$2:$V$2928,MATCH(Z307,'[2]Cross-Section Database'!$B$2:$B$2928,0),4)</f>
        <v>302</v>
      </c>
      <c r="AC307" s="21">
        <f>INDEX('[2]Cross-Section Database'!$C$2:$V$2928,MATCH(Z307,'[2]Cross-Section Database'!$B$2:$B$2928,0),6)</f>
        <v>12</v>
      </c>
      <c r="AD307" s="21">
        <f>INDEX('[2]Cross-Section Database'!$C$2:$V$2928,MATCH(Z307,'[2]Cross-Section Database'!$B$2:$B$2928,0),5)</f>
        <v>12</v>
      </c>
      <c r="AE307" s="24">
        <v>3000</v>
      </c>
      <c r="AF307" s="306" t="s">
        <v>6338</v>
      </c>
      <c r="AG307" s="21">
        <f>INDEX('[2]Cross-Section Database'!$C$2:$V$2928,MATCH(AF307,'[2]Cross-Section Database'!$B$2:$B$2928,0),3)</f>
        <v>350</v>
      </c>
      <c r="AH307" s="21">
        <f>INDEX('[2]Cross-Section Database'!$C$2:$V$2928,MATCH(AF307,'[2]Cross-Section Database'!$B$2:$B$2928,0),4)</f>
        <v>175</v>
      </c>
      <c r="AI307" s="21">
        <f>INDEX('[2]Cross-Section Database'!$C$2:$V$2928,MATCH(AF307,'[2]Cross-Section Database'!$B$2:$B$2928,0),6)</f>
        <v>11</v>
      </c>
      <c r="AJ307" s="21">
        <f>INDEX('[2]Cross-Section Database'!$C$2:$V$2928,MATCH(AF307,'[2]Cross-Section Database'!$B$2:$B$2928,0),5)</f>
        <v>7</v>
      </c>
      <c r="AK307" s="21">
        <v>1300</v>
      </c>
      <c r="AL307" s="21">
        <f>INDEX('[2]Cross-Section Database'!$C$2:$V$3928,MATCH(AF307,'[2]Cross-Section Database'!$B$2:$B$3928,0),11)</f>
        <v>135000000</v>
      </c>
      <c r="AM307" s="24">
        <f>INDEX('[2]Cross-Section Database'!$C$2:$V$3928,MATCH(AF307,'[2]Cross-Section Database'!$B$2:$B$3928,0),12)</f>
        <v>865000</v>
      </c>
      <c r="AN307" s="21">
        <v>12</v>
      </c>
      <c r="AO307" s="21">
        <v>200</v>
      </c>
      <c r="AP307" s="21">
        <f t="shared" si="166"/>
        <v>400</v>
      </c>
      <c r="AQ307" s="21">
        <v>25</v>
      </c>
      <c r="AR307" s="21">
        <v>25</v>
      </c>
      <c r="AS307" s="306" t="s">
        <v>5807</v>
      </c>
      <c r="AT307" s="163" t="s">
        <v>6134</v>
      </c>
      <c r="AU307" s="21" t="s">
        <v>6134</v>
      </c>
      <c r="AV307" s="163">
        <v>20</v>
      </c>
      <c r="AW307" s="163">
        <f t="shared" si="160"/>
        <v>245</v>
      </c>
      <c r="AX307" s="21">
        <v>85</v>
      </c>
      <c r="AY307" s="21">
        <v>85</v>
      </c>
      <c r="AZ307" s="21">
        <v>0</v>
      </c>
      <c r="BA307" s="21">
        <v>90</v>
      </c>
      <c r="BB307" s="21">
        <f t="shared" si="164"/>
        <v>230</v>
      </c>
      <c r="BC307" s="15" t="s">
        <v>4470</v>
      </c>
      <c r="BD307" s="163" t="s">
        <v>6209</v>
      </c>
      <c r="BE307" s="163" t="s">
        <v>6209</v>
      </c>
      <c r="BF307" s="163">
        <v>2</v>
      </c>
      <c r="BG307" s="163">
        <v>4</v>
      </c>
      <c r="BH307" s="202" t="s">
        <v>5792</v>
      </c>
      <c r="BI307" s="203" t="s">
        <v>5792</v>
      </c>
      <c r="BJ307" s="203" t="s">
        <v>5792</v>
      </c>
      <c r="BK307" s="203" t="s">
        <v>5792</v>
      </c>
      <c r="BL307" s="203" t="s">
        <v>5792</v>
      </c>
      <c r="BM307" s="203" t="s">
        <v>5792</v>
      </c>
      <c r="BN307" s="203" t="s">
        <v>5792</v>
      </c>
      <c r="BO307" s="203" t="s">
        <v>5792</v>
      </c>
      <c r="BP307" s="202" t="s">
        <v>5792</v>
      </c>
      <c r="BQ307" s="203" t="s">
        <v>5792</v>
      </c>
      <c r="BR307" s="203" t="s">
        <v>5792</v>
      </c>
      <c r="BS307" s="203" t="s">
        <v>5792</v>
      </c>
      <c r="BT307" s="203" t="s">
        <v>5792</v>
      </c>
      <c r="BU307" s="203" t="s">
        <v>5792</v>
      </c>
      <c r="BV307" s="218" t="s">
        <v>5792</v>
      </c>
      <c r="BW307" s="203" t="s">
        <v>5792</v>
      </c>
      <c r="BX307" s="203" t="s">
        <v>5792</v>
      </c>
      <c r="BY307" s="203" t="s">
        <v>5792</v>
      </c>
      <c r="BZ307" s="203" t="s">
        <v>5792</v>
      </c>
      <c r="CA307" s="203" t="s">
        <v>5792</v>
      </c>
      <c r="CB307" s="218" t="s">
        <v>5792</v>
      </c>
      <c r="CC307" s="163" t="s">
        <v>6282</v>
      </c>
      <c r="CD307" s="163">
        <v>275</v>
      </c>
      <c r="CE307" s="21">
        <v>364.5</v>
      </c>
      <c r="CF307" s="21">
        <v>410</v>
      </c>
      <c r="CG307" s="21">
        <v>516</v>
      </c>
      <c r="CH307" s="69">
        <v>198000</v>
      </c>
      <c r="CI307" s="163" t="s">
        <v>6282</v>
      </c>
      <c r="CJ307" s="163">
        <v>275</v>
      </c>
      <c r="CK307" s="21">
        <v>372</v>
      </c>
      <c r="CL307" s="21">
        <v>410</v>
      </c>
      <c r="CM307" s="21">
        <v>514</v>
      </c>
      <c r="CN307" s="69">
        <v>201000</v>
      </c>
      <c r="CO307" s="306" t="s">
        <v>6282</v>
      </c>
      <c r="CP307" s="21">
        <v>275</v>
      </c>
      <c r="CQ307" s="21">
        <v>307.3</v>
      </c>
      <c r="CR307" s="21">
        <v>410</v>
      </c>
      <c r="CS307" s="21">
        <v>476</v>
      </c>
      <c r="CT307" s="69">
        <v>204000</v>
      </c>
      <c r="CU307" s="207" t="s">
        <v>5792</v>
      </c>
      <c r="CV307" s="208" t="s">
        <v>5792</v>
      </c>
      <c r="CW307" s="208" t="s">
        <v>5792</v>
      </c>
      <c r="CX307" s="209" t="s">
        <v>5792</v>
      </c>
      <c r="CY307" s="207" t="s">
        <v>5792</v>
      </c>
      <c r="CZ307" s="208" t="s">
        <v>5792</v>
      </c>
      <c r="DA307" s="209" t="s">
        <v>5792</v>
      </c>
      <c r="DB307" s="283" t="s">
        <v>5792</v>
      </c>
      <c r="DC307" s="163">
        <v>8.8000000000000007</v>
      </c>
      <c r="DD307" s="163">
        <v>640</v>
      </c>
      <c r="DE307" s="32">
        <v>730</v>
      </c>
      <c r="DF307" s="163">
        <v>800</v>
      </c>
      <c r="DG307" s="32">
        <v>940</v>
      </c>
      <c r="DH307" s="61">
        <v>200000</v>
      </c>
      <c r="DI307" s="29" t="s">
        <v>4768</v>
      </c>
      <c r="DJ307" s="163" t="s">
        <v>4435</v>
      </c>
      <c r="DK307" s="297" t="s">
        <v>4566</v>
      </c>
    </row>
    <row r="308" spans="1:115" ht="15.6" customHeight="1">
      <c r="A308" s="306">
        <v>303</v>
      </c>
      <c r="B308" s="326"/>
      <c r="C308" s="326"/>
      <c r="D308" s="343"/>
      <c r="E308" s="343"/>
      <c r="F308" s="326"/>
      <c r="G308" s="337"/>
      <c r="H308" s="337"/>
      <c r="I308" s="337"/>
      <c r="J308" s="41" t="s">
        <v>4432</v>
      </c>
      <c r="K308" s="306" t="s">
        <v>4383</v>
      </c>
      <c r="L308" s="163" t="s">
        <v>5792</v>
      </c>
      <c r="M308" s="306" t="s">
        <v>4509</v>
      </c>
      <c r="N308" s="163" t="s">
        <v>4703</v>
      </c>
      <c r="O308" s="18" t="s">
        <v>4506</v>
      </c>
      <c r="P308" s="163" t="s">
        <v>6312</v>
      </c>
      <c r="Q308" s="163" t="s">
        <v>4420</v>
      </c>
      <c r="R308" s="163" t="s">
        <v>4420</v>
      </c>
      <c r="S308" s="163" t="s">
        <v>5792</v>
      </c>
      <c r="T308" s="163" t="s">
        <v>4420</v>
      </c>
      <c r="U308" s="163" t="s">
        <v>5792</v>
      </c>
      <c r="V308" s="163" t="s">
        <v>4559</v>
      </c>
      <c r="W308" s="18">
        <v>10</v>
      </c>
      <c r="X308" s="230">
        <v>0</v>
      </c>
      <c r="Y308" s="18">
        <v>0</v>
      </c>
      <c r="Z308" s="306" t="s">
        <v>5109</v>
      </c>
      <c r="AA308" s="21">
        <f>INDEX('[2]Cross-Section Database'!$C$2:$V$2928,MATCH(Z308,'[2]Cross-Section Database'!$B$2:$B$2928,0),3)</f>
        <v>294</v>
      </c>
      <c r="AB308" s="21">
        <f>INDEX('[2]Cross-Section Database'!$C$2:$V$2928,MATCH(Z308,'[2]Cross-Section Database'!$B$2:$B$2928,0),4)</f>
        <v>302</v>
      </c>
      <c r="AC308" s="21">
        <f>INDEX('[2]Cross-Section Database'!$C$2:$V$2928,MATCH(Z308,'[2]Cross-Section Database'!$B$2:$B$2928,0),6)</f>
        <v>12</v>
      </c>
      <c r="AD308" s="21">
        <f>INDEX('[2]Cross-Section Database'!$C$2:$V$2928,MATCH(Z308,'[2]Cross-Section Database'!$B$2:$B$2928,0),5)</f>
        <v>12</v>
      </c>
      <c r="AE308" s="24">
        <v>3000</v>
      </c>
      <c r="AF308" s="306" t="s">
        <v>5145</v>
      </c>
      <c r="AG308" s="21">
        <f>INDEX('[2]Cross-Section Database'!$C$2:$V$2928,MATCH(AF308,'[2]Cross-Section Database'!$B$2:$B$2928,0),3)</f>
        <v>450</v>
      </c>
      <c r="AH308" s="21">
        <f>INDEX('[2]Cross-Section Database'!$C$2:$V$2928,MATCH(AF308,'[2]Cross-Section Database'!$B$2:$B$2928,0),4)</f>
        <v>200</v>
      </c>
      <c r="AI308" s="21">
        <f>INDEX('[2]Cross-Section Database'!$C$2:$V$2928,MATCH(AF308,'[2]Cross-Section Database'!$B$2:$B$2928,0),6)</f>
        <v>14</v>
      </c>
      <c r="AJ308" s="21">
        <f>INDEX('[2]Cross-Section Database'!$C$2:$V$2928,MATCH(AF308,'[2]Cross-Section Database'!$B$2:$B$2928,0),5)</f>
        <v>9</v>
      </c>
      <c r="AK308" s="21">
        <v>1300</v>
      </c>
      <c r="AL308" s="21">
        <f>INDEX('[2]Cross-Section Database'!$C$2:$V$3928,MATCH(AF308,'[2]Cross-Section Database'!$B$2:$B$3928,0),11)</f>
        <v>329000000</v>
      </c>
      <c r="AM308" s="24">
        <f>INDEX('[2]Cross-Section Database'!$C$2:$V$3928,MATCH(AF308,'[2]Cross-Section Database'!$B$2:$B$3928,0),12)</f>
        <v>1650000</v>
      </c>
      <c r="AN308" s="21">
        <v>12</v>
      </c>
      <c r="AO308" s="21">
        <v>200</v>
      </c>
      <c r="AP308" s="21">
        <f t="shared" si="166"/>
        <v>500</v>
      </c>
      <c r="AQ308" s="21">
        <v>25</v>
      </c>
      <c r="AR308" s="21">
        <v>25</v>
      </c>
      <c r="AS308" s="306" t="s">
        <v>5807</v>
      </c>
      <c r="AT308" s="163" t="s">
        <v>6134</v>
      </c>
      <c r="AU308" s="21" t="s">
        <v>6134</v>
      </c>
      <c r="AV308" s="163">
        <v>20</v>
      </c>
      <c r="AW308" s="163">
        <f t="shared" si="160"/>
        <v>245</v>
      </c>
      <c r="AX308" s="21">
        <v>85</v>
      </c>
      <c r="AY308" s="21">
        <v>85</v>
      </c>
      <c r="AZ308" s="21">
        <v>0</v>
      </c>
      <c r="BA308" s="21">
        <v>90</v>
      </c>
      <c r="BB308" s="21">
        <f t="shared" si="164"/>
        <v>330</v>
      </c>
      <c r="BC308" s="15" t="s">
        <v>4470</v>
      </c>
      <c r="BD308" s="163" t="s">
        <v>6209</v>
      </c>
      <c r="BE308" s="163" t="s">
        <v>6209</v>
      </c>
      <c r="BF308" s="163">
        <v>2</v>
      </c>
      <c r="BG308" s="163">
        <v>4</v>
      </c>
      <c r="BH308" s="202" t="s">
        <v>5792</v>
      </c>
      <c r="BI308" s="203" t="s">
        <v>5792</v>
      </c>
      <c r="BJ308" s="203" t="s">
        <v>5792</v>
      </c>
      <c r="BK308" s="203" t="s">
        <v>5792</v>
      </c>
      <c r="BL308" s="203" t="s">
        <v>5792</v>
      </c>
      <c r="BM308" s="203" t="s">
        <v>5792</v>
      </c>
      <c r="BN308" s="203" t="s">
        <v>5792</v>
      </c>
      <c r="BO308" s="203" t="s">
        <v>5792</v>
      </c>
      <c r="BP308" s="202" t="s">
        <v>5792</v>
      </c>
      <c r="BQ308" s="203" t="s">
        <v>5792</v>
      </c>
      <c r="BR308" s="203" t="s">
        <v>5792</v>
      </c>
      <c r="BS308" s="203" t="s">
        <v>5792</v>
      </c>
      <c r="BT308" s="203" t="s">
        <v>5792</v>
      </c>
      <c r="BU308" s="203" t="s">
        <v>5792</v>
      </c>
      <c r="BV308" s="218" t="s">
        <v>5792</v>
      </c>
      <c r="BW308" s="203" t="s">
        <v>5792</v>
      </c>
      <c r="BX308" s="203" t="s">
        <v>5792</v>
      </c>
      <c r="BY308" s="203" t="s">
        <v>5792</v>
      </c>
      <c r="BZ308" s="203" t="s">
        <v>5792</v>
      </c>
      <c r="CA308" s="203" t="s">
        <v>5792</v>
      </c>
      <c r="CB308" s="218" t="s">
        <v>5792</v>
      </c>
      <c r="CC308" s="163" t="s">
        <v>6282</v>
      </c>
      <c r="CD308" s="163">
        <v>275</v>
      </c>
      <c r="CE308" s="21">
        <v>364.5</v>
      </c>
      <c r="CF308" s="21">
        <v>410</v>
      </c>
      <c r="CG308" s="21">
        <v>516</v>
      </c>
      <c r="CH308" s="69">
        <v>198000</v>
      </c>
      <c r="CI308" s="163" t="s">
        <v>6282</v>
      </c>
      <c r="CJ308" s="163">
        <v>275</v>
      </c>
      <c r="CK308" s="21">
        <v>378</v>
      </c>
      <c r="CL308" s="21">
        <v>410</v>
      </c>
      <c r="CM308" s="21">
        <v>487</v>
      </c>
      <c r="CN308" s="69">
        <v>214000</v>
      </c>
      <c r="CO308" s="306" t="s">
        <v>6282</v>
      </c>
      <c r="CP308" s="21">
        <v>275</v>
      </c>
      <c r="CQ308" s="21">
        <v>307.3</v>
      </c>
      <c r="CR308" s="21">
        <v>410</v>
      </c>
      <c r="CS308" s="21">
        <v>476</v>
      </c>
      <c r="CT308" s="69">
        <v>204000</v>
      </c>
      <c r="CU308" s="207" t="s">
        <v>5792</v>
      </c>
      <c r="CV308" s="208" t="s">
        <v>5792</v>
      </c>
      <c r="CW308" s="208" t="s">
        <v>5792</v>
      </c>
      <c r="CX308" s="209" t="s">
        <v>5792</v>
      </c>
      <c r="CY308" s="207" t="s">
        <v>5792</v>
      </c>
      <c r="CZ308" s="208" t="s">
        <v>5792</v>
      </c>
      <c r="DA308" s="209" t="s">
        <v>5792</v>
      </c>
      <c r="DB308" s="283" t="s">
        <v>5792</v>
      </c>
      <c r="DC308" s="163">
        <v>8.8000000000000007</v>
      </c>
      <c r="DD308" s="163">
        <v>640</v>
      </c>
      <c r="DE308" s="32">
        <v>730</v>
      </c>
      <c r="DF308" s="163">
        <v>800</v>
      </c>
      <c r="DG308" s="32">
        <v>940</v>
      </c>
      <c r="DH308" s="61">
        <v>200000</v>
      </c>
      <c r="DI308" s="29" t="s">
        <v>4768</v>
      </c>
      <c r="DJ308" s="163" t="s">
        <v>4435</v>
      </c>
      <c r="DK308" s="297" t="s">
        <v>4566</v>
      </c>
    </row>
    <row r="309" spans="1:115" ht="15.6" customHeight="1" thickBot="1">
      <c r="A309" s="143">
        <v>304</v>
      </c>
      <c r="B309" s="327"/>
      <c r="C309" s="327"/>
      <c r="D309" s="344"/>
      <c r="E309" s="344"/>
      <c r="F309" s="327"/>
      <c r="G309" s="338"/>
      <c r="H309" s="338"/>
      <c r="I309" s="338"/>
      <c r="J309" s="42" t="s">
        <v>6339</v>
      </c>
      <c r="K309" s="143" t="s">
        <v>4383</v>
      </c>
      <c r="L309" s="164" t="s">
        <v>5792</v>
      </c>
      <c r="M309" s="143" t="s">
        <v>4509</v>
      </c>
      <c r="N309" s="164" t="s">
        <v>4703</v>
      </c>
      <c r="O309" s="14" t="s">
        <v>4506</v>
      </c>
      <c r="P309" s="164" t="s">
        <v>6312</v>
      </c>
      <c r="Q309" s="164" t="s">
        <v>4420</v>
      </c>
      <c r="R309" s="164" t="s">
        <v>4420</v>
      </c>
      <c r="S309" s="164" t="s">
        <v>5792</v>
      </c>
      <c r="T309" s="164" t="s">
        <v>4420</v>
      </c>
      <c r="U309" s="164" t="s">
        <v>5792</v>
      </c>
      <c r="V309" s="164" t="s">
        <v>4559</v>
      </c>
      <c r="W309" s="14">
        <v>10</v>
      </c>
      <c r="X309" s="235">
        <v>0</v>
      </c>
      <c r="Y309" s="14">
        <v>0</v>
      </c>
      <c r="Z309" s="143" t="s">
        <v>5123</v>
      </c>
      <c r="AA309" s="23">
        <f>INDEX('[2]Cross-Section Database'!$C$2:$V$2928,MATCH(Z309,'[2]Cross-Section Database'!$B$2:$B$2928,0),3)</f>
        <v>338</v>
      </c>
      <c r="AB309" s="23">
        <f>INDEX('[2]Cross-Section Database'!$C$2:$V$2928,MATCH(Z309,'[2]Cross-Section Database'!$B$2:$B$2928,0),4)</f>
        <v>351</v>
      </c>
      <c r="AC309" s="23">
        <f>INDEX('[2]Cross-Section Database'!$C$2:$V$2928,MATCH(Z309,'[2]Cross-Section Database'!$B$2:$B$2928,0),6)</f>
        <v>13</v>
      </c>
      <c r="AD309" s="23">
        <f>INDEX('[2]Cross-Section Database'!$C$2:$V$2928,MATCH(Z309,'[2]Cross-Section Database'!$B$2:$B$2928,0),5)</f>
        <v>13</v>
      </c>
      <c r="AE309" s="25">
        <v>3000</v>
      </c>
      <c r="AF309" s="143" t="s">
        <v>5157</v>
      </c>
      <c r="AG309" s="23">
        <f>INDEX('[2]Cross-Section Database'!$C$2:$V$2928,MATCH(AF309,'[2]Cross-Section Database'!$B$2:$B$2928,0),3)</f>
        <v>506</v>
      </c>
      <c r="AH309" s="23">
        <f>INDEX('[2]Cross-Section Database'!$C$2:$V$2928,MATCH(AF309,'[2]Cross-Section Database'!$B$2:$B$2928,0),4)</f>
        <v>201</v>
      </c>
      <c r="AI309" s="23">
        <f>INDEX('[2]Cross-Section Database'!$C$2:$V$2928,MATCH(AF309,'[2]Cross-Section Database'!$B$2:$B$2928,0),6)</f>
        <v>19</v>
      </c>
      <c r="AJ309" s="23">
        <f>INDEX('[2]Cross-Section Database'!$C$2:$V$2928,MATCH(AF309,'[2]Cross-Section Database'!$B$2:$B$2928,0),5)</f>
        <v>11</v>
      </c>
      <c r="AK309" s="23">
        <v>1300</v>
      </c>
      <c r="AL309" s="23">
        <f>INDEX('[2]Cross-Section Database'!$C$2:$V$3928,MATCH(AF309,'[2]Cross-Section Database'!$B$2:$B$3928,0),11)</f>
        <v>555000000</v>
      </c>
      <c r="AM309" s="25">
        <f>INDEX('[2]Cross-Section Database'!$C$2:$V$3928,MATCH(AF309,'[2]Cross-Section Database'!$B$2:$B$3928,0),12)</f>
        <v>2500000</v>
      </c>
      <c r="AN309" s="23">
        <v>12</v>
      </c>
      <c r="AO309" s="23">
        <v>200</v>
      </c>
      <c r="AP309" s="23">
        <f t="shared" si="166"/>
        <v>556</v>
      </c>
      <c r="AQ309" s="23">
        <v>25</v>
      </c>
      <c r="AR309" s="23">
        <v>25</v>
      </c>
      <c r="AS309" s="143" t="s">
        <v>5807</v>
      </c>
      <c r="AT309" s="164" t="s">
        <v>6134</v>
      </c>
      <c r="AU309" s="23" t="s">
        <v>6134</v>
      </c>
      <c r="AV309" s="164">
        <v>20</v>
      </c>
      <c r="AW309" s="164">
        <f t="shared" si="160"/>
        <v>245</v>
      </c>
      <c r="AX309" s="23">
        <v>85</v>
      </c>
      <c r="AY309" s="23">
        <v>85</v>
      </c>
      <c r="AZ309" s="23">
        <v>0</v>
      </c>
      <c r="BA309" s="23">
        <v>90</v>
      </c>
      <c r="BB309" s="23">
        <f t="shared" si="164"/>
        <v>386</v>
      </c>
      <c r="BC309" s="19" t="s">
        <v>4470</v>
      </c>
      <c r="BD309" s="164" t="s">
        <v>6209</v>
      </c>
      <c r="BE309" s="164" t="s">
        <v>6209</v>
      </c>
      <c r="BF309" s="164">
        <v>2</v>
      </c>
      <c r="BG309" s="164">
        <v>4</v>
      </c>
      <c r="BH309" s="197" t="s">
        <v>5792</v>
      </c>
      <c r="BI309" s="198" t="s">
        <v>5792</v>
      </c>
      <c r="BJ309" s="198" t="s">
        <v>5792</v>
      </c>
      <c r="BK309" s="198" t="s">
        <v>5792</v>
      </c>
      <c r="BL309" s="198" t="s">
        <v>5792</v>
      </c>
      <c r="BM309" s="198" t="s">
        <v>5792</v>
      </c>
      <c r="BN309" s="198" t="s">
        <v>5792</v>
      </c>
      <c r="BO309" s="198" t="s">
        <v>5792</v>
      </c>
      <c r="BP309" s="197" t="s">
        <v>5792</v>
      </c>
      <c r="BQ309" s="198" t="s">
        <v>5792</v>
      </c>
      <c r="BR309" s="198" t="s">
        <v>5792</v>
      </c>
      <c r="BS309" s="198" t="s">
        <v>5792</v>
      </c>
      <c r="BT309" s="198" t="s">
        <v>5792</v>
      </c>
      <c r="BU309" s="198" t="s">
        <v>5792</v>
      </c>
      <c r="BV309" s="220" t="s">
        <v>5792</v>
      </c>
      <c r="BW309" s="198" t="s">
        <v>5792</v>
      </c>
      <c r="BX309" s="198" t="s">
        <v>5792</v>
      </c>
      <c r="BY309" s="198" t="s">
        <v>5792</v>
      </c>
      <c r="BZ309" s="198" t="s">
        <v>5792</v>
      </c>
      <c r="CA309" s="198" t="s">
        <v>5792</v>
      </c>
      <c r="CB309" s="220" t="s">
        <v>5792</v>
      </c>
      <c r="CC309" s="164" t="s">
        <v>6282</v>
      </c>
      <c r="CD309" s="23">
        <v>275</v>
      </c>
      <c r="CE309" s="23">
        <v>359</v>
      </c>
      <c r="CF309" s="23">
        <v>410</v>
      </c>
      <c r="CG309" s="23">
        <v>488</v>
      </c>
      <c r="CH309" s="83">
        <v>200000</v>
      </c>
      <c r="CI309" s="164" t="s">
        <v>6282</v>
      </c>
      <c r="CJ309" s="23">
        <v>275</v>
      </c>
      <c r="CK309" s="23">
        <v>331</v>
      </c>
      <c r="CL309" s="23">
        <v>410</v>
      </c>
      <c r="CM309" s="23">
        <v>485</v>
      </c>
      <c r="CN309" s="83">
        <v>204000</v>
      </c>
      <c r="CO309" s="143" t="s">
        <v>6282</v>
      </c>
      <c r="CP309" s="23">
        <v>275</v>
      </c>
      <c r="CQ309" s="23">
        <v>307.3</v>
      </c>
      <c r="CR309" s="23">
        <v>410</v>
      </c>
      <c r="CS309" s="23">
        <v>476</v>
      </c>
      <c r="CT309" s="83">
        <v>204000</v>
      </c>
      <c r="CU309" s="210" t="s">
        <v>5792</v>
      </c>
      <c r="CV309" s="211" t="s">
        <v>5792</v>
      </c>
      <c r="CW309" s="211" t="s">
        <v>5792</v>
      </c>
      <c r="CX309" s="212" t="s">
        <v>5792</v>
      </c>
      <c r="CY309" s="210" t="s">
        <v>5792</v>
      </c>
      <c r="CZ309" s="211" t="s">
        <v>5792</v>
      </c>
      <c r="DA309" s="212" t="s">
        <v>5792</v>
      </c>
      <c r="DB309" s="284" t="s">
        <v>5792</v>
      </c>
      <c r="DC309" s="163">
        <v>8.8000000000000007</v>
      </c>
      <c r="DD309" s="163">
        <v>640</v>
      </c>
      <c r="DE309" s="32">
        <v>730</v>
      </c>
      <c r="DF309" s="163">
        <v>800</v>
      </c>
      <c r="DG309" s="32">
        <v>940</v>
      </c>
      <c r="DH309" s="61">
        <v>200000</v>
      </c>
      <c r="DI309" s="29" t="s">
        <v>4768</v>
      </c>
      <c r="DJ309" s="163" t="s">
        <v>4435</v>
      </c>
      <c r="DK309" s="298" t="s">
        <v>4566</v>
      </c>
    </row>
    <row r="310" spans="1:115" ht="15.6" customHeight="1">
      <c r="A310" s="306">
        <v>305</v>
      </c>
      <c r="B310" s="325">
        <v>45</v>
      </c>
      <c r="C310" s="325">
        <v>2011</v>
      </c>
      <c r="D310" s="345" t="s">
        <v>4682</v>
      </c>
      <c r="E310" s="333" t="s">
        <v>4847</v>
      </c>
      <c r="F310" s="325">
        <v>3</v>
      </c>
      <c r="G310" s="325" t="s">
        <v>5928</v>
      </c>
      <c r="H310" s="325" t="s">
        <v>5923</v>
      </c>
      <c r="I310" s="325" t="s">
        <v>6254</v>
      </c>
      <c r="J310" s="41" t="s">
        <v>4688</v>
      </c>
      <c r="K310" s="306" t="s">
        <v>4383</v>
      </c>
      <c r="L310" s="163" t="s">
        <v>5792</v>
      </c>
      <c r="M310" s="306" t="s">
        <v>4508</v>
      </c>
      <c r="N310" s="163" t="s">
        <v>4702</v>
      </c>
      <c r="O310" s="18" t="s">
        <v>4507</v>
      </c>
      <c r="P310" s="163" t="s">
        <v>4420</v>
      </c>
      <c r="Q310" s="163" t="s">
        <v>4470</v>
      </c>
      <c r="R310" s="163" t="s">
        <v>4420</v>
      </c>
      <c r="S310" s="163" t="s">
        <v>5792</v>
      </c>
      <c r="T310" s="163" t="s">
        <v>4420</v>
      </c>
      <c r="U310" s="163" t="s">
        <v>5792</v>
      </c>
      <c r="V310" s="32" t="s">
        <v>4559</v>
      </c>
      <c r="W310" s="73">
        <v>10</v>
      </c>
      <c r="X310" s="230">
        <v>0</v>
      </c>
      <c r="Y310" s="18">
        <v>470</v>
      </c>
      <c r="Z310" s="306" t="s">
        <v>4634</v>
      </c>
      <c r="AA310" s="21">
        <v>300</v>
      </c>
      <c r="AB310" s="21">
        <v>300</v>
      </c>
      <c r="AC310" s="21">
        <v>10</v>
      </c>
      <c r="AD310" s="21">
        <v>10</v>
      </c>
      <c r="AE310" s="21">
        <v>1500</v>
      </c>
      <c r="AF310" s="306" t="s">
        <v>4633</v>
      </c>
      <c r="AG310" s="21">
        <f>INDEX('[2]Cross-Section Database'!$C$2:$V$2928,MATCH(AF310,'[2]Cross-Section Database'!$B$2:$B$2928,0),3)</f>
        <v>602</v>
      </c>
      <c r="AH310" s="21">
        <f>INDEX('[2]Cross-Section Database'!$C$2:$V$2928,MATCH(AF310,'[2]Cross-Section Database'!$B$2:$B$2928,0),4)</f>
        <v>228</v>
      </c>
      <c r="AI310" s="21">
        <f>INDEX('[2]Cross-Section Database'!$C$2:$V$2928,MATCH(AF310,'[2]Cross-Section Database'!$B$2:$B$2928,0),6)</f>
        <v>14.8</v>
      </c>
      <c r="AJ310" s="21">
        <f>INDEX('[2]Cross-Section Database'!$C$2:$V$2928,MATCH(AF310,'[2]Cross-Section Database'!$B$2:$B$2928,0),5)</f>
        <v>10.6</v>
      </c>
      <c r="AK310" s="21">
        <v>1620</v>
      </c>
      <c r="AL310" s="21">
        <f>INDEX('[2]Cross-Section Database'!$C$2:$V$3928,MATCH(AF310,'[2]Cross-Section Database'!$B$2:$B$3928,0),11)</f>
        <v>761000000</v>
      </c>
      <c r="AM310" s="24">
        <f>INDEX('[2]Cross-Section Database'!$C$2:$V$3928,MATCH(AF310,'[2]Cross-Section Database'!$B$2:$B$3928,0),12)</f>
        <v>2900000</v>
      </c>
      <c r="AN310" s="21">
        <v>12</v>
      </c>
      <c r="AO310" s="21">
        <v>300</v>
      </c>
      <c r="AP310" s="21">
        <v>610</v>
      </c>
      <c r="AQ310" s="21">
        <v>4</v>
      </c>
      <c r="AR310" s="21">
        <f t="shared" si="162"/>
        <v>4</v>
      </c>
      <c r="AS310" s="306" t="s">
        <v>5672</v>
      </c>
      <c r="AT310" s="163" t="s">
        <v>6134</v>
      </c>
      <c r="AU310" s="21" t="s">
        <v>6134</v>
      </c>
      <c r="AV310" s="163">
        <v>20</v>
      </c>
      <c r="AW310" s="163">
        <f t="shared" si="160"/>
        <v>245</v>
      </c>
      <c r="AX310" s="21">
        <v>97</v>
      </c>
      <c r="AY310" s="21">
        <f t="shared" si="165"/>
        <v>97</v>
      </c>
      <c r="AZ310" s="21">
        <v>205</v>
      </c>
      <c r="BA310" s="21">
        <v>90</v>
      </c>
      <c r="BB310" s="21">
        <v>0</v>
      </c>
      <c r="BC310" s="15" t="s">
        <v>4470</v>
      </c>
      <c r="BD310" s="163" t="s">
        <v>6209</v>
      </c>
      <c r="BE310" s="163" t="s">
        <v>6209</v>
      </c>
      <c r="BF310" s="163">
        <v>2</v>
      </c>
      <c r="BG310" s="163">
        <v>6</v>
      </c>
      <c r="BH310" s="202" t="s">
        <v>5792</v>
      </c>
      <c r="BI310" s="203" t="s">
        <v>5792</v>
      </c>
      <c r="BJ310" s="203" t="s">
        <v>5792</v>
      </c>
      <c r="BK310" s="203" t="s">
        <v>5792</v>
      </c>
      <c r="BL310" s="203" t="s">
        <v>5792</v>
      </c>
      <c r="BM310" s="203" t="s">
        <v>5792</v>
      </c>
      <c r="BN310" s="203" t="s">
        <v>5792</v>
      </c>
      <c r="BO310" s="203" t="s">
        <v>5792</v>
      </c>
      <c r="BP310" s="202" t="s">
        <v>5792</v>
      </c>
      <c r="BQ310" s="203" t="s">
        <v>5792</v>
      </c>
      <c r="BR310" s="203" t="s">
        <v>5792</v>
      </c>
      <c r="BS310" s="203" t="s">
        <v>5792</v>
      </c>
      <c r="BT310" s="203" t="s">
        <v>5792</v>
      </c>
      <c r="BU310" s="203" t="s">
        <v>5792</v>
      </c>
      <c r="BV310" s="218" t="s">
        <v>5792</v>
      </c>
      <c r="BW310" s="203" t="s">
        <v>5792</v>
      </c>
      <c r="BX310" s="203" t="s">
        <v>5792</v>
      </c>
      <c r="BY310" s="203" t="s">
        <v>5792</v>
      </c>
      <c r="BZ310" s="203" t="s">
        <v>5792</v>
      </c>
      <c r="CA310" s="203" t="s">
        <v>5792</v>
      </c>
      <c r="CB310" s="472" t="s">
        <v>5792</v>
      </c>
      <c r="CC310" s="107" t="s">
        <v>4449</v>
      </c>
      <c r="CD310" s="63">
        <v>235</v>
      </c>
      <c r="CE310" s="33">
        <v>300</v>
      </c>
      <c r="CF310" s="21">
        <v>360</v>
      </c>
      <c r="CG310" s="33">
        <v>430</v>
      </c>
      <c r="CH310" s="67">
        <v>200000</v>
      </c>
      <c r="CI310" s="107" t="s">
        <v>4449</v>
      </c>
      <c r="CJ310" s="60">
        <v>235</v>
      </c>
      <c r="CK310" s="33">
        <v>300</v>
      </c>
      <c r="CL310" s="47">
        <v>360</v>
      </c>
      <c r="CM310" s="33">
        <v>430</v>
      </c>
      <c r="CN310" s="67">
        <v>200000</v>
      </c>
      <c r="CO310" s="107" t="s">
        <v>4449</v>
      </c>
      <c r="CP310" s="60">
        <v>235</v>
      </c>
      <c r="CQ310" s="33">
        <v>300</v>
      </c>
      <c r="CR310" s="47">
        <v>360</v>
      </c>
      <c r="CS310" s="33">
        <v>430</v>
      </c>
      <c r="CT310" s="67">
        <v>200000</v>
      </c>
      <c r="CU310" s="207" t="s">
        <v>5792</v>
      </c>
      <c r="CV310" s="208" t="s">
        <v>5792</v>
      </c>
      <c r="CW310" s="208" t="s">
        <v>5792</v>
      </c>
      <c r="CX310" s="209" t="s">
        <v>5792</v>
      </c>
      <c r="CY310" s="207" t="s">
        <v>5792</v>
      </c>
      <c r="CZ310" s="208" t="s">
        <v>5792</v>
      </c>
      <c r="DA310" s="209" t="s">
        <v>5792</v>
      </c>
      <c r="DB310" s="283" t="s">
        <v>5792</v>
      </c>
      <c r="DC310" s="162">
        <v>8.8000000000000007</v>
      </c>
      <c r="DD310" s="162">
        <v>640</v>
      </c>
      <c r="DE310" s="30">
        <v>750</v>
      </c>
      <c r="DF310" s="162">
        <v>800</v>
      </c>
      <c r="DG310" s="30">
        <v>940</v>
      </c>
      <c r="DH310" s="76">
        <v>200000</v>
      </c>
      <c r="DI310" s="43" t="s">
        <v>4573</v>
      </c>
      <c r="DJ310" s="162" t="s">
        <v>4561</v>
      </c>
      <c r="DK310" s="297" t="s">
        <v>4566</v>
      </c>
    </row>
    <row r="311" spans="1:115">
      <c r="A311" s="306">
        <v>306</v>
      </c>
      <c r="B311" s="326"/>
      <c r="C311" s="326"/>
      <c r="D311" s="346"/>
      <c r="E311" s="334"/>
      <c r="F311" s="326"/>
      <c r="G311" s="326"/>
      <c r="H311" s="326"/>
      <c r="I311" s="326"/>
      <c r="J311" s="309" t="s">
        <v>4689</v>
      </c>
      <c r="K311" s="306" t="s">
        <v>4383</v>
      </c>
      <c r="L311" s="163" t="s">
        <v>6062</v>
      </c>
      <c r="M311" s="306" t="s">
        <v>4508</v>
      </c>
      <c r="N311" s="163" t="s">
        <v>4702</v>
      </c>
      <c r="O311" s="18" t="s">
        <v>4507</v>
      </c>
      <c r="P311" s="163" t="s">
        <v>4470</v>
      </c>
      <c r="Q311" s="163" t="s">
        <v>4470</v>
      </c>
      <c r="R311" s="163" t="s">
        <v>4420</v>
      </c>
      <c r="S311" s="163" t="s">
        <v>5792</v>
      </c>
      <c r="T311" s="163" t="s">
        <v>4420</v>
      </c>
      <c r="U311" s="163" t="s">
        <v>5792</v>
      </c>
      <c r="V311" s="32" t="s">
        <v>4559</v>
      </c>
      <c r="W311" s="73">
        <v>10</v>
      </c>
      <c r="X311" s="230">
        <v>0</v>
      </c>
      <c r="Y311" s="18">
        <v>1980</v>
      </c>
      <c r="Z311" s="306" t="s">
        <v>4634</v>
      </c>
      <c r="AA311" s="21">
        <v>300</v>
      </c>
      <c r="AB311" s="21">
        <v>300</v>
      </c>
      <c r="AC311" s="21">
        <v>10</v>
      </c>
      <c r="AD311" s="21">
        <v>10</v>
      </c>
      <c r="AE311" s="21">
        <v>1500</v>
      </c>
      <c r="AF311" s="306" t="s">
        <v>4633</v>
      </c>
      <c r="AG311" s="21">
        <f>INDEX('[2]Cross-Section Database'!$C$2:$V$2928,MATCH(AF311,'[2]Cross-Section Database'!$B$2:$B$2928,0),3)</f>
        <v>602</v>
      </c>
      <c r="AH311" s="21">
        <f>INDEX('[2]Cross-Section Database'!$C$2:$V$2928,MATCH(AF311,'[2]Cross-Section Database'!$B$2:$B$2928,0),4)</f>
        <v>228</v>
      </c>
      <c r="AI311" s="21">
        <f>INDEX('[2]Cross-Section Database'!$C$2:$V$2928,MATCH(AF311,'[2]Cross-Section Database'!$B$2:$B$2928,0),6)</f>
        <v>14.8</v>
      </c>
      <c r="AJ311" s="21">
        <f>INDEX('[2]Cross-Section Database'!$C$2:$V$2928,MATCH(AF311,'[2]Cross-Section Database'!$B$2:$B$2928,0),5)</f>
        <v>10.6</v>
      </c>
      <c r="AK311" s="21">
        <v>1620</v>
      </c>
      <c r="AL311" s="21">
        <f>INDEX('[2]Cross-Section Database'!$C$2:$V$3928,MATCH(AF311,'[2]Cross-Section Database'!$B$2:$B$3928,0),11)</f>
        <v>761000000</v>
      </c>
      <c r="AM311" s="24">
        <f>INDEX('[2]Cross-Section Database'!$C$2:$V$3928,MATCH(AF311,'[2]Cross-Section Database'!$B$2:$B$3928,0),12)</f>
        <v>2900000</v>
      </c>
      <c r="AN311" s="21">
        <v>12</v>
      </c>
      <c r="AO311" s="21">
        <v>300</v>
      </c>
      <c r="AP311" s="21">
        <v>610</v>
      </c>
      <c r="AQ311" s="21">
        <v>4</v>
      </c>
      <c r="AR311" s="21">
        <f t="shared" si="162"/>
        <v>4</v>
      </c>
      <c r="AS311" s="306" t="s">
        <v>5672</v>
      </c>
      <c r="AT311" s="163" t="s">
        <v>6134</v>
      </c>
      <c r="AU311" s="21" t="s">
        <v>6134</v>
      </c>
      <c r="AV311" s="163">
        <v>20</v>
      </c>
      <c r="AW311" s="163">
        <f t="shared" si="160"/>
        <v>245</v>
      </c>
      <c r="AX311" s="21">
        <v>97</v>
      </c>
      <c r="AY311" s="21">
        <f t="shared" si="165"/>
        <v>97</v>
      </c>
      <c r="AZ311" s="21">
        <v>205</v>
      </c>
      <c r="BA311" s="21">
        <v>90</v>
      </c>
      <c r="BB311" s="21">
        <v>0</v>
      </c>
      <c r="BC311" s="15" t="s">
        <v>4470</v>
      </c>
      <c r="BD311" s="163" t="s">
        <v>6209</v>
      </c>
      <c r="BE311" s="163" t="s">
        <v>6209</v>
      </c>
      <c r="BF311" s="163">
        <v>2</v>
      </c>
      <c r="BG311" s="163">
        <v>6</v>
      </c>
      <c r="BH311" s="306">
        <v>120</v>
      </c>
      <c r="BI311" s="163">
        <v>2000</v>
      </c>
      <c r="BJ311" s="163" t="s">
        <v>6196</v>
      </c>
      <c r="BK311" s="163">
        <v>1</v>
      </c>
      <c r="BL311" s="163">
        <v>300</v>
      </c>
      <c r="BM311" s="163">
        <v>1620</v>
      </c>
      <c r="BN311" s="163">
        <v>55</v>
      </c>
      <c r="BO311" s="163" t="s">
        <v>4590</v>
      </c>
      <c r="BP311" s="306" t="s">
        <v>5856</v>
      </c>
      <c r="BQ311" s="163">
        <v>5</v>
      </c>
      <c r="BR311" s="163">
        <v>1</v>
      </c>
      <c r="BS311" s="163">
        <v>19</v>
      </c>
      <c r="BT311" s="163">
        <v>100</v>
      </c>
      <c r="BU311" s="32">
        <v>200</v>
      </c>
      <c r="BV311" s="18">
        <v>300</v>
      </c>
      <c r="BW311" s="163" t="s">
        <v>4587</v>
      </c>
      <c r="BX311" s="163" t="s">
        <v>4691</v>
      </c>
      <c r="BY311" s="21">
        <v>0</v>
      </c>
      <c r="BZ311" s="21">
        <f>10*PI()*12^2/4</f>
        <v>1130.9733552923256</v>
      </c>
      <c r="CA311" s="32">
        <v>30</v>
      </c>
      <c r="CB311" s="121">
        <v>8.6999999999999994E-3</v>
      </c>
      <c r="CC311" s="107" t="s">
        <v>4449</v>
      </c>
      <c r="CD311" s="63">
        <v>235</v>
      </c>
      <c r="CE311" s="32">
        <v>300</v>
      </c>
      <c r="CF311" s="21">
        <v>360</v>
      </c>
      <c r="CG311" s="32">
        <v>430</v>
      </c>
      <c r="CH311" s="73">
        <v>200000</v>
      </c>
      <c r="CI311" s="107" t="s">
        <v>4449</v>
      </c>
      <c r="CJ311" s="60">
        <v>235</v>
      </c>
      <c r="CK311" s="32">
        <v>300</v>
      </c>
      <c r="CL311" s="60">
        <v>360</v>
      </c>
      <c r="CM311" s="32">
        <v>430</v>
      </c>
      <c r="CN311" s="73">
        <v>200000</v>
      </c>
      <c r="CO311" s="107" t="s">
        <v>4449</v>
      </c>
      <c r="CP311" s="60">
        <v>235</v>
      </c>
      <c r="CQ311" s="32">
        <v>300</v>
      </c>
      <c r="CR311" s="60">
        <v>360</v>
      </c>
      <c r="CS311" s="32">
        <v>430</v>
      </c>
      <c r="CT311" s="61">
        <v>200000</v>
      </c>
      <c r="CU311" s="107" t="s">
        <v>4752</v>
      </c>
      <c r="CV311" s="64">
        <v>28.74</v>
      </c>
      <c r="CW311" s="64">
        <v>3.74</v>
      </c>
      <c r="CX311" s="69">
        <v>27070</v>
      </c>
      <c r="CY311" s="107">
        <v>540</v>
      </c>
      <c r="CZ311" s="32">
        <v>650</v>
      </c>
      <c r="DA311" s="67">
        <v>200000</v>
      </c>
      <c r="DB311" s="294">
        <v>550</v>
      </c>
      <c r="DC311" s="163">
        <v>8.8000000000000007</v>
      </c>
      <c r="DD311" s="163">
        <v>640</v>
      </c>
      <c r="DE311" s="32">
        <v>750</v>
      </c>
      <c r="DF311" s="163">
        <v>800</v>
      </c>
      <c r="DG311" s="32">
        <v>940</v>
      </c>
      <c r="DH311" s="61">
        <v>200000</v>
      </c>
      <c r="DI311" s="41" t="s">
        <v>5852</v>
      </c>
      <c r="DJ311" s="163" t="s">
        <v>4561</v>
      </c>
      <c r="DK311" s="297" t="s">
        <v>4566</v>
      </c>
    </row>
    <row r="312" spans="1:115" ht="16.2" thickBot="1">
      <c r="A312" s="143">
        <v>307</v>
      </c>
      <c r="B312" s="327"/>
      <c r="C312" s="327"/>
      <c r="D312" s="347"/>
      <c r="E312" s="335"/>
      <c r="F312" s="327"/>
      <c r="G312" s="327"/>
      <c r="H312" s="327"/>
      <c r="I312" s="327"/>
      <c r="J312" s="318" t="s">
        <v>4690</v>
      </c>
      <c r="K312" s="143" t="s">
        <v>4535</v>
      </c>
      <c r="L312" s="164" t="s">
        <v>6062</v>
      </c>
      <c r="M312" s="143" t="s">
        <v>4508</v>
      </c>
      <c r="N312" s="164" t="s">
        <v>4702</v>
      </c>
      <c r="O312" s="14" t="s">
        <v>4507</v>
      </c>
      <c r="P312" s="164" t="s">
        <v>4470</v>
      </c>
      <c r="Q312" s="164" t="s">
        <v>4470</v>
      </c>
      <c r="R312" s="164" t="s">
        <v>4420</v>
      </c>
      <c r="S312" s="164" t="s">
        <v>5792</v>
      </c>
      <c r="T312" s="164" t="s">
        <v>4420</v>
      </c>
      <c r="U312" s="164" t="s">
        <v>5792</v>
      </c>
      <c r="V312" s="34" t="s">
        <v>4559</v>
      </c>
      <c r="W312" s="118">
        <v>10</v>
      </c>
      <c r="X312" s="235">
        <v>0</v>
      </c>
      <c r="Y312" s="14">
        <v>1963</v>
      </c>
      <c r="Z312" s="143" t="s">
        <v>4634</v>
      </c>
      <c r="AA312" s="164">
        <v>300</v>
      </c>
      <c r="AB312" s="164">
        <v>300</v>
      </c>
      <c r="AC312" s="23">
        <v>10</v>
      </c>
      <c r="AD312" s="23">
        <v>10</v>
      </c>
      <c r="AE312" s="23">
        <v>1500</v>
      </c>
      <c r="AF312" s="143" t="s">
        <v>4633</v>
      </c>
      <c r="AG312" s="23">
        <f>INDEX('[2]Cross-Section Database'!$C$2:$V$2928,MATCH(AF312,'[2]Cross-Section Database'!$B$2:$B$2928,0),3)</f>
        <v>602</v>
      </c>
      <c r="AH312" s="23">
        <f>INDEX('[2]Cross-Section Database'!$C$2:$V$2928,MATCH(AF312,'[2]Cross-Section Database'!$B$2:$B$2928,0),4)</f>
        <v>228</v>
      </c>
      <c r="AI312" s="23">
        <f>INDEX('[2]Cross-Section Database'!$C$2:$V$2928,MATCH(AF312,'[2]Cross-Section Database'!$B$2:$B$2928,0),6)</f>
        <v>14.8</v>
      </c>
      <c r="AJ312" s="23">
        <f>INDEX('[2]Cross-Section Database'!$C$2:$V$2928,MATCH(AF312,'[2]Cross-Section Database'!$B$2:$B$2928,0),5)</f>
        <v>10.6</v>
      </c>
      <c r="AK312" s="23">
        <v>1620</v>
      </c>
      <c r="AL312" s="23">
        <f>INDEX('[2]Cross-Section Database'!$C$2:$V$3928,MATCH(AF312,'[2]Cross-Section Database'!$B$2:$B$3928,0),11)</f>
        <v>761000000</v>
      </c>
      <c r="AM312" s="25">
        <f>INDEX('[2]Cross-Section Database'!$C$2:$V$3928,MATCH(AF312,'[2]Cross-Section Database'!$B$2:$B$3928,0),12)</f>
        <v>2900000</v>
      </c>
      <c r="AN312" s="23">
        <v>12</v>
      </c>
      <c r="AO312" s="23">
        <v>300</v>
      </c>
      <c r="AP312" s="23">
        <v>610</v>
      </c>
      <c r="AQ312" s="23">
        <v>4</v>
      </c>
      <c r="AR312" s="23">
        <f t="shared" si="162"/>
        <v>4</v>
      </c>
      <c r="AS312" s="143" t="s">
        <v>5672</v>
      </c>
      <c r="AT312" s="164" t="s">
        <v>6134</v>
      </c>
      <c r="AU312" s="23" t="s">
        <v>6134</v>
      </c>
      <c r="AV312" s="164">
        <v>20</v>
      </c>
      <c r="AW312" s="164">
        <f t="shared" si="160"/>
        <v>245</v>
      </c>
      <c r="AX312" s="23">
        <v>97</v>
      </c>
      <c r="AY312" s="23">
        <f t="shared" si="165"/>
        <v>97</v>
      </c>
      <c r="AZ312" s="23">
        <v>205</v>
      </c>
      <c r="BA312" s="23">
        <v>90</v>
      </c>
      <c r="BB312" s="23">
        <v>0</v>
      </c>
      <c r="BC312" s="19" t="s">
        <v>4470</v>
      </c>
      <c r="BD312" s="164" t="s">
        <v>6209</v>
      </c>
      <c r="BE312" s="164" t="s">
        <v>6209</v>
      </c>
      <c r="BF312" s="164">
        <v>2</v>
      </c>
      <c r="BG312" s="164">
        <v>6</v>
      </c>
      <c r="BH312" s="143">
        <v>120</v>
      </c>
      <c r="BI312" s="164">
        <v>2000</v>
      </c>
      <c r="BJ312" s="164" t="s">
        <v>6196</v>
      </c>
      <c r="BK312" s="164">
        <v>1</v>
      </c>
      <c r="BL312" s="164">
        <v>300</v>
      </c>
      <c r="BM312" s="164">
        <v>1620</v>
      </c>
      <c r="BN312" s="164">
        <v>55</v>
      </c>
      <c r="BO312" s="164" t="s">
        <v>4590</v>
      </c>
      <c r="BP312" s="143" t="s">
        <v>5856</v>
      </c>
      <c r="BQ312" s="164">
        <v>5</v>
      </c>
      <c r="BR312" s="164">
        <v>1</v>
      </c>
      <c r="BS312" s="164">
        <v>19</v>
      </c>
      <c r="BT312" s="164">
        <v>100</v>
      </c>
      <c r="BU312" s="34">
        <v>200</v>
      </c>
      <c r="BV312" s="14">
        <v>300</v>
      </c>
      <c r="BW312" s="164" t="s">
        <v>4587</v>
      </c>
      <c r="BX312" s="164" t="s">
        <v>4691</v>
      </c>
      <c r="BY312" s="23">
        <v>0</v>
      </c>
      <c r="BZ312" s="23">
        <f>10*PI()*12^2/4</f>
        <v>1130.9733552923256</v>
      </c>
      <c r="CA312" s="34">
        <v>30</v>
      </c>
      <c r="CB312" s="122">
        <v>8.6999999999999994E-3</v>
      </c>
      <c r="CC312" s="132" t="s">
        <v>4449</v>
      </c>
      <c r="CD312" s="74">
        <v>235</v>
      </c>
      <c r="CE312" s="34">
        <v>300</v>
      </c>
      <c r="CF312" s="23">
        <v>360</v>
      </c>
      <c r="CG312" s="34">
        <v>430</v>
      </c>
      <c r="CH312" s="118">
        <v>200000</v>
      </c>
      <c r="CI312" s="132" t="s">
        <v>4449</v>
      </c>
      <c r="CJ312" s="87">
        <v>235</v>
      </c>
      <c r="CK312" s="34">
        <v>300</v>
      </c>
      <c r="CL312" s="87">
        <v>360</v>
      </c>
      <c r="CM312" s="34">
        <v>430</v>
      </c>
      <c r="CN312" s="118">
        <v>200000</v>
      </c>
      <c r="CO312" s="132" t="s">
        <v>4449</v>
      </c>
      <c r="CP312" s="87">
        <v>235</v>
      </c>
      <c r="CQ312" s="34">
        <v>300</v>
      </c>
      <c r="CR312" s="87">
        <v>360</v>
      </c>
      <c r="CS312" s="34">
        <v>430</v>
      </c>
      <c r="CT312" s="77">
        <v>200000</v>
      </c>
      <c r="CU312" s="132" t="s">
        <v>4752</v>
      </c>
      <c r="CV312" s="84">
        <v>28.74</v>
      </c>
      <c r="CW312" s="84">
        <v>3.74</v>
      </c>
      <c r="CX312" s="83">
        <v>27070</v>
      </c>
      <c r="CY312" s="132">
        <v>540</v>
      </c>
      <c r="CZ312" s="34">
        <v>650</v>
      </c>
      <c r="DA312" s="70">
        <v>200000</v>
      </c>
      <c r="DB312" s="295">
        <v>550</v>
      </c>
      <c r="DC312" s="164">
        <v>8.8000000000000007</v>
      </c>
      <c r="DD312" s="164">
        <v>640</v>
      </c>
      <c r="DE312" s="34">
        <v>750</v>
      </c>
      <c r="DF312" s="164">
        <v>800</v>
      </c>
      <c r="DG312" s="34">
        <v>940</v>
      </c>
      <c r="DH312" s="77">
        <v>200000</v>
      </c>
      <c r="DI312" s="42" t="s">
        <v>5853</v>
      </c>
      <c r="DJ312" s="164" t="s">
        <v>4561</v>
      </c>
      <c r="DK312" s="298" t="s">
        <v>4566</v>
      </c>
    </row>
    <row r="313" spans="1:115" ht="15.6" customHeight="1">
      <c r="A313" s="305">
        <v>308</v>
      </c>
      <c r="B313" s="325">
        <v>46</v>
      </c>
      <c r="C313" s="325">
        <v>2012</v>
      </c>
      <c r="D313" s="325" t="s">
        <v>4753</v>
      </c>
      <c r="E313" s="328" t="s">
        <v>4846</v>
      </c>
      <c r="F313" s="325">
        <v>2</v>
      </c>
      <c r="G313" s="325" t="s">
        <v>5936</v>
      </c>
      <c r="H313" s="325" t="s">
        <v>4676</v>
      </c>
      <c r="I313" s="325" t="s">
        <v>6223</v>
      </c>
      <c r="J313" s="43" t="s">
        <v>4727</v>
      </c>
      <c r="K313" s="305" t="s">
        <v>4383</v>
      </c>
      <c r="L313" s="162" t="s">
        <v>5792</v>
      </c>
      <c r="M313" s="305" t="s">
        <v>4508</v>
      </c>
      <c r="N313" s="162" t="s">
        <v>4701</v>
      </c>
      <c r="O313" s="17" t="s">
        <v>4507</v>
      </c>
      <c r="P313" s="162" t="s">
        <v>4420</v>
      </c>
      <c r="Q313" s="162" t="s">
        <v>4420</v>
      </c>
      <c r="R313" s="162" t="s">
        <v>4420</v>
      </c>
      <c r="S313" s="162" t="s">
        <v>5792</v>
      </c>
      <c r="T313" s="162" t="s">
        <v>4420</v>
      </c>
      <c r="U313" s="162" t="s">
        <v>5792</v>
      </c>
      <c r="V313" s="162" t="s">
        <v>4559</v>
      </c>
      <c r="W313" s="17">
        <v>6</v>
      </c>
      <c r="X313" s="239">
        <v>0</v>
      </c>
      <c r="Y313" s="17">
        <v>0</v>
      </c>
      <c r="Z313" s="305" t="s">
        <v>3952</v>
      </c>
      <c r="AA313" s="16">
        <f>INDEX('[2]Cross-Section Database'!$C$2:$V$2928,MATCH(Z313,'[2]Cross-Section Database'!$B$2:$B$2928,0),3)</f>
        <v>114</v>
      </c>
      <c r="AB313" s="16">
        <f>INDEX('[2]Cross-Section Database'!$C$2:$V$2928,MATCH(Z313,'[2]Cross-Section Database'!$B$2:$B$2928,0),4)</f>
        <v>120</v>
      </c>
      <c r="AC313" s="16">
        <f>INDEX('[2]Cross-Section Database'!$C$2:$V$2928,MATCH(Z313,'[2]Cross-Section Database'!$B$2:$B$2928,0),6)</f>
        <v>8</v>
      </c>
      <c r="AD313" s="16">
        <f>INDEX('[2]Cross-Section Database'!$C$2:$V$2928,MATCH(Z313,'[2]Cross-Section Database'!$B$2:$B$2928,0),5)</f>
        <v>5</v>
      </c>
      <c r="AE313" s="21">
        <v>510</v>
      </c>
      <c r="AF313" s="306" t="s">
        <v>3907</v>
      </c>
      <c r="AG313" s="16">
        <f>INDEX('[2]Cross-Section Database'!$C$2:$V$2928,MATCH(AF313,'[2]Cross-Section Database'!$B$2:$B$2928,0),3)</f>
        <v>240</v>
      </c>
      <c r="AH313" s="16">
        <f>INDEX('[2]Cross-Section Database'!$C$2:$V$2928,MATCH(AF313,'[2]Cross-Section Database'!$B$2:$B$2928,0),4)</f>
        <v>120</v>
      </c>
      <c r="AI313" s="16">
        <f>INDEX('[2]Cross-Section Database'!$C$2:$V$2928,MATCH(AF313,'[2]Cross-Section Database'!$B$2:$B$2928,0),6)</f>
        <v>9.8000000000000007</v>
      </c>
      <c r="AJ313" s="16">
        <f>INDEX('[2]Cross-Section Database'!$C$2:$V$2928,MATCH(AF313,'[2]Cross-Section Database'!$B$2:$B$2928,0),5)</f>
        <v>6.2</v>
      </c>
      <c r="AK313" s="16">
        <v>1703</v>
      </c>
      <c r="AL313" s="16">
        <f>INDEX('[2]Cross-Section Database'!$C$2:$V$3928,MATCH(AF313,'[2]Cross-Section Database'!$B$2:$B$3928,0),11)</f>
        <v>38920000</v>
      </c>
      <c r="AM313" s="26">
        <f>INDEX('[2]Cross-Section Database'!$C$2:$V$3928,MATCH(AF313,'[2]Cross-Section Database'!$B$2:$B$3928,0),12)</f>
        <v>367000</v>
      </c>
      <c r="AN313" s="16">
        <v>15</v>
      </c>
      <c r="AO313" s="16">
        <v>150</v>
      </c>
      <c r="AP313" s="16">
        <v>285</v>
      </c>
      <c r="AQ313" s="16">
        <f t="shared" ref="AQ313:AQ337" si="167">(AP313-AG313)-AR313</f>
        <v>22.5</v>
      </c>
      <c r="AR313" s="16">
        <f t="shared" si="162"/>
        <v>22.5</v>
      </c>
      <c r="AS313" s="305" t="s">
        <v>5807</v>
      </c>
      <c r="AT313" s="162" t="s">
        <v>4499</v>
      </c>
      <c r="AU313" s="16">
        <f>0.175*AW313*DF313/1000</f>
        <v>21.98</v>
      </c>
      <c r="AV313" s="162">
        <v>16</v>
      </c>
      <c r="AW313" s="162">
        <f>IF(AV313=24,353,IF(AV313=22,303,IF(AV313=20,245,IF(AV313=16,157,0))))</f>
        <v>157</v>
      </c>
      <c r="AX313" s="16">
        <v>61</v>
      </c>
      <c r="AY313" s="16">
        <v>61</v>
      </c>
      <c r="AZ313" s="16">
        <v>82</v>
      </c>
      <c r="BA313" s="16">
        <v>75</v>
      </c>
      <c r="BB313" s="16">
        <v>0</v>
      </c>
      <c r="BC313" s="22" t="s">
        <v>4470</v>
      </c>
      <c r="BD313" s="162" t="s">
        <v>6209</v>
      </c>
      <c r="BE313" s="162" t="s">
        <v>6209</v>
      </c>
      <c r="BF313" s="162">
        <v>2</v>
      </c>
      <c r="BG313" s="17">
        <v>6</v>
      </c>
      <c r="BH313" s="202" t="s">
        <v>5792</v>
      </c>
      <c r="BI313" s="203" t="s">
        <v>5792</v>
      </c>
      <c r="BJ313" s="203" t="s">
        <v>5792</v>
      </c>
      <c r="BK313" s="203" t="s">
        <v>5792</v>
      </c>
      <c r="BL313" s="203" t="s">
        <v>5792</v>
      </c>
      <c r="BM313" s="203" t="s">
        <v>5792</v>
      </c>
      <c r="BN313" s="203" t="s">
        <v>5792</v>
      </c>
      <c r="BO313" s="203" t="s">
        <v>5792</v>
      </c>
      <c r="BP313" s="202" t="s">
        <v>5792</v>
      </c>
      <c r="BQ313" s="203" t="s">
        <v>5792</v>
      </c>
      <c r="BR313" s="203" t="s">
        <v>5792</v>
      </c>
      <c r="BS313" s="203" t="s">
        <v>5792</v>
      </c>
      <c r="BT313" s="203" t="s">
        <v>5792</v>
      </c>
      <c r="BU313" s="203" t="s">
        <v>5792</v>
      </c>
      <c r="BV313" s="218" t="s">
        <v>5792</v>
      </c>
      <c r="BW313" s="203" t="s">
        <v>5792</v>
      </c>
      <c r="BX313" s="203" t="s">
        <v>5792</v>
      </c>
      <c r="BY313" s="203" t="s">
        <v>5792</v>
      </c>
      <c r="BZ313" s="203" t="s">
        <v>5792</v>
      </c>
      <c r="CA313" s="203" t="s">
        <v>5792</v>
      </c>
      <c r="CB313" s="218" t="s">
        <v>5792</v>
      </c>
      <c r="CC313" s="306" t="s">
        <v>4449</v>
      </c>
      <c r="CD313" s="163">
        <v>235</v>
      </c>
      <c r="CE313" s="21">
        <f>(345+338)/2</f>
        <v>341.5</v>
      </c>
      <c r="CF313" s="21">
        <v>360</v>
      </c>
      <c r="CG313" s="21">
        <f>(456+535)/2</f>
        <v>495.5</v>
      </c>
      <c r="CH313" s="61">
        <v>200000</v>
      </c>
      <c r="CI313" s="163" t="s">
        <v>4449</v>
      </c>
      <c r="CJ313" s="163">
        <v>235</v>
      </c>
      <c r="CK313" s="21">
        <f>(343+356)/2</f>
        <v>349.5</v>
      </c>
      <c r="CL313" s="163">
        <v>360</v>
      </c>
      <c r="CM313" s="163">
        <f>(456+480)/2</f>
        <v>468</v>
      </c>
      <c r="CN313" s="76">
        <v>200000</v>
      </c>
      <c r="CO313" s="163" t="s">
        <v>4449</v>
      </c>
      <c r="CP313" s="60">
        <v>235</v>
      </c>
      <c r="CQ313" s="163">
        <v>310</v>
      </c>
      <c r="CR313" s="60">
        <v>360</v>
      </c>
      <c r="CS313" s="163">
        <v>464</v>
      </c>
      <c r="CT313" s="61">
        <v>200000</v>
      </c>
      <c r="CU313" s="204" t="s">
        <v>5792</v>
      </c>
      <c r="CV313" s="205" t="s">
        <v>5792</v>
      </c>
      <c r="CW313" s="205" t="s">
        <v>5792</v>
      </c>
      <c r="CX313" s="206" t="s">
        <v>5792</v>
      </c>
      <c r="CY313" s="204" t="s">
        <v>5792</v>
      </c>
      <c r="CZ313" s="205" t="s">
        <v>5792</v>
      </c>
      <c r="DA313" s="206" t="s">
        <v>5792</v>
      </c>
      <c r="DB313" s="283" t="s">
        <v>5792</v>
      </c>
      <c r="DC313" s="162">
        <v>8.8000000000000007</v>
      </c>
      <c r="DD313" s="162">
        <v>640</v>
      </c>
      <c r="DE313" s="162">
        <v>893</v>
      </c>
      <c r="DF313" s="162">
        <v>800</v>
      </c>
      <c r="DG313" s="162">
        <v>1010</v>
      </c>
      <c r="DH313" s="76">
        <v>200000</v>
      </c>
      <c r="DI313" s="144" t="s">
        <v>4765</v>
      </c>
      <c r="DJ313" s="162" t="s">
        <v>4435</v>
      </c>
      <c r="DK313" s="296" t="s">
        <v>4566</v>
      </c>
    </row>
    <row r="314" spans="1:115" ht="15.6" customHeight="1" thickBot="1">
      <c r="A314" s="143">
        <v>309</v>
      </c>
      <c r="B314" s="327"/>
      <c r="C314" s="327"/>
      <c r="D314" s="327"/>
      <c r="E314" s="330"/>
      <c r="F314" s="327"/>
      <c r="G314" s="327"/>
      <c r="H314" s="327"/>
      <c r="I314" s="327"/>
      <c r="J314" s="42" t="s">
        <v>4728</v>
      </c>
      <c r="K314" s="143" t="s">
        <v>4383</v>
      </c>
      <c r="L314" s="164" t="s">
        <v>5792</v>
      </c>
      <c r="M314" s="143" t="s">
        <v>4552</v>
      </c>
      <c r="N314" s="164" t="s">
        <v>4707</v>
      </c>
      <c r="O314" s="14" t="s">
        <v>4507</v>
      </c>
      <c r="P314" s="164" t="s">
        <v>4420</v>
      </c>
      <c r="Q314" s="164" t="s">
        <v>4420</v>
      </c>
      <c r="R314" s="164" t="s">
        <v>4420</v>
      </c>
      <c r="S314" s="164" t="s">
        <v>5792</v>
      </c>
      <c r="T314" s="164" t="s">
        <v>4420</v>
      </c>
      <c r="U314" s="164" t="s">
        <v>5792</v>
      </c>
      <c r="V314" s="164" t="s">
        <v>4559</v>
      </c>
      <c r="W314" s="14">
        <v>6</v>
      </c>
      <c r="X314" s="235">
        <v>0</v>
      </c>
      <c r="Y314" s="14" t="s">
        <v>5792</v>
      </c>
      <c r="Z314" s="197" t="s">
        <v>5792</v>
      </c>
      <c r="AA314" s="198" t="s">
        <v>4687</v>
      </c>
      <c r="AB314" s="198" t="s">
        <v>4687</v>
      </c>
      <c r="AC314" s="199" t="s">
        <v>4687</v>
      </c>
      <c r="AD314" s="199" t="s">
        <v>4687</v>
      </c>
      <c r="AE314" s="199" t="s">
        <v>4687</v>
      </c>
      <c r="AF314" s="143" t="s">
        <v>3907</v>
      </c>
      <c r="AG314" s="23">
        <f>INDEX('[2]Cross-Section Database'!$C$2:$V$2928,MATCH(AF314,'[2]Cross-Section Database'!$B$2:$B$2928,0),3)</f>
        <v>240</v>
      </c>
      <c r="AH314" s="23">
        <f>INDEX('[2]Cross-Section Database'!$C$2:$V$2928,MATCH(AF314,'[2]Cross-Section Database'!$B$2:$B$2928,0),4)</f>
        <v>120</v>
      </c>
      <c r="AI314" s="23">
        <f>INDEX('[2]Cross-Section Database'!$C$2:$V$2928,MATCH(AF314,'[2]Cross-Section Database'!$B$2:$B$2928,0),6)</f>
        <v>9.8000000000000007</v>
      </c>
      <c r="AJ314" s="23">
        <f>INDEX('[2]Cross-Section Database'!$C$2:$V$2928,MATCH(AF314,'[2]Cross-Section Database'!$B$2:$B$2928,0),5)</f>
        <v>6.2</v>
      </c>
      <c r="AK314" s="23">
        <v>1745</v>
      </c>
      <c r="AL314" s="23">
        <f>INDEX('[2]Cross-Section Database'!$C$2:$V$3928,MATCH(AF314,'[2]Cross-Section Database'!$B$2:$B$3928,0),11)</f>
        <v>38920000</v>
      </c>
      <c r="AM314" s="25">
        <f>INDEX('[2]Cross-Section Database'!$C$2:$V$3928,MATCH(AF314,'[2]Cross-Section Database'!$B$2:$B$3928,0),12)</f>
        <v>367000</v>
      </c>
      <c r="AN314" s="23">
        <v>15</v>
      </c>
      <c r="AO314" s="23">
        <v>150</v>
      </c>
      <c r="AP314" s="23">
        <v>285</v>
      </c>
      <c r="AQ314" s="23">
        <f t="shared" si="167"/>
        <v>22.5</v>
      </c>
      <c r="AR314" s="23">
        <f t="shared" si="162"/>
        <v>22.5</v>
      </c>
      <c r="AS314" s="143" t="s">
        <v>5807</v>
      </c>
      <c r="AT314" s="164" t="s">
        <v>4499</v>
      </c>
      <c r="AU314" s="23">
        <f>0.175*AW314*DF314/1000</f>
        <v>21.98</v>
      </c>
      <c r="AV314" s="164">
        <v>16</v>
      </c>
      <c r="AW314" s="164">
        <f>IF(AV314=24,353,IF(AV314=22,303,IF(AV314=20,245,IF(AV314=16,157,0))))</f>
        <v>157</v>
      </c>
      <c r="AX314" s="23">
        <v>61</v>
      </c>
      <c r="AY314" s="23">
        <v>61</v>
      </c>
      <c r="AZ314" s="23">
        <v>82</v>
      </c>
      <c r="BA314" s="23">
        <v>75</v>
      </c>
      <c r="BB314" s="23">
        <v>0</v>
      </c>
      <c r="BC314" s="19" t="s">
        <v>4470</v>
      </c>
      <c r="BD314" s="164" t="s">
        <v>6209</v>
      </c>
      <c r="BE314" s="164" t="s">
        <v>6209</v>
      </c>
      <c r="BF314" s="164">
        <v>2</v>
      </c>
      <c r="BG314" s="14">
        <v>6</v>
      </c>
      <c r="BH314" s="197" t="s">
        <v>5792</v>
      </c>
      <c r="BI314" s="198" t="s">
        <v>5792</v>
      </c>
      <c r="BJ314" s="198" t="s">
        <v>5792</v>
      </c>
      <c r="BK314" s="198" t="s">
        <v>5792</v>
      </c>
      <c r="BL314" s="198" t="s">
        <v>5792</v>
      </c>
      <c r="BM314" s="198" t="s">
        <v>5792</v>
      </c>
      <c r="BN314" s="198" t="s">
        <v>5792</v>
      </c>
      <c r="BO314" s="198" t="s">
        <v>5792</v>
      </c>
      <c r="BP314" s="197" t="s">
        <v>5792</v>
      </c>
      <c r="BQ314" s="198" t="s">
        <v>5792</v>
      </c>
      <c r="BR314" s="198" t="s">
        <v>5792</v>
      </c>
      <c r="BS314" s="198" t="s">
        <v>5792</v>
      </c>
      <c r="BT314" s="198" t="s">
        <v>5792</v>
      </c>
      <c r="BU314" s="198" t="s">
        <v>5792</v>
      </c>
      <c r="BV314" s="220" t="s">
        <v>5792</v>
      </c>
      <c r="BW314" s="198" t="s">
        <v>5792</v>
      </c>
      <c r="BX314" s="198" t="s">
        <v>5792</v>
      </c>
      <c r="BY314" s="198" t="s">
        <v>5792</v>
      </c>
      <c r="BZ314" s="198" t="s">
        <v>5792</v>
      </c>
      <c r="CA314" s="198" t="s">
        <v>5792</v>
      </c>
      <c r="CB314" s="220" t="s">
        <v>5792</v>
      </c>
      <c r="CC314" s="143" t="s">
        <v>4449</v>
      </c>
      <c r="CD314" s="164">
        <v>235</v>
      </c>
      <c r="CE314" s="23">
        <f>(345+338)/2</f>
        <v>341.5</v>
      </c>
      <c r="CF314" s="23">
        <v>360</v>
      </c>
      <c r="CG314" s="23">
        <f>(456+535)/2</f>
        <v>495.5</v>
      </c>
      <c r="CH314" s="77">
        <v>200000</v>
      </c>
      <c r="CI314" s="164" t="s">
        <v>4449</v>
      </c>
      <c r="CJ314" s="164">
        <v>235</v>
      </c>
      <c r="CK314" s="23">
        <f>(343+356)/2</f>
        <v>349.5</v>
      </c>
      <c r="CL314" s="164">
        <v>360</v>
      </c>
      <c r="CM314" s="164">
        <f>(456+480)/2</f>
        <v>468</v>
      </c>
      <c r="CN314" s="77">
        <v>200000</v>
      </c>
      <c r="CO314" s="164" t="s">
        <v>4449</v>
      </c>
      <c r="CP314" s="87">
        <v>235</v>
      </c>
      <c r="CQ314" s="164">
        <v>310</v>
      </c>
      <c r="CR314" s="87">
        <v>360</v>
      </c>
      <c r="CS314" s="164">
        <v>464</v>
      </c>
      <c r="CT314" s="77">
        <v>200000</v>
      </c>
      <c r="CU314" s="207" t="s">
        <v>5792</v>
      </c>
      <c r="CV314" s="208" t="s">
        <v>5792</v>
      </c>
      <c r="CW314" s="208" t="s">
        <v>5792</v>
      </c>
      <c r="CX314" s="209" t="s">
        <v>5792</v>
      </c>
      <c r="CY314" s="207" t="s">
        <v>5792</v>
      </c>
      <c r="CZ314" s="208" t="s">
        <v>5792</v>
      </c>
      <c r="DA314" s="209" t="s">
        <v>5792</v>
      </c>
      <c r="DB314" s="284" t="s">
        <v>5792</v>
      </c>
      <c r="DC314" s="164">
        <v>8.8000000000000007</v>
      </c>
      <c r="DD314" s="164">
        <v>640</v>
      </c>
      <c r="DE314" s="164">
        <v>893</v>
      </c>
      <c r="DF314" s="164">
        <v>800</v>
      </c>
      <c r="DG314" s="164">
        <v>1010</v>
      </c>
      <c r="DH314" s="77">
        <v>200000</v>
      </c>
      <c r="DI314" s="145" t="s">
        <v>5836</v>
      </c>
      <c r="DJ314" s="143" t="s">
        <v>4435</v>
      </c>
      <c r="DK314" s="298" t="s">
        <v>4566</v>
      </c>
    </row>
    <row r="315" spans="1:115">
      <c r="A315" s="305">
        <v>310</v>
      </c>
      <c r="B315" s="325">
        <v>47</v>
      </c>
      <c r="C315" s="325">
        <v>2012</v>
      </c>
      <c r="D315" s="333" t="s">
        <v>4683</v>
      </c>
      <c r="E315" s="333" t="s">
        <v>4845</v>
      </c>
      <c r="F315" s="325">
        <v>4</v>
      </c>
      <c r="G315" s="336" t="s">
        <v>5935</v>
      </c>
      <c r="H315" s="336" t="s">
        <v>5934</v>
      </c>
      <c r="I315" s="336" t="s">
        <v>6255</v>
      </c>
      <c r="J315" s="41" t="s">
        <v>4567</v>
      </c>
      <c r="K315" s="305" t="s">
        <v>4383</v>
      </c>
      <c r="L315" s="162" t="s">
        <v>5792</v>
      </c>
      <c r="M315" s="305" t="s">
        <v>4509</v>
      </c>
      <c r="N315" s="162" t="s">
        <v>4703</v>
      </c>
      <c r="O315" s="17" t="s">
        <v>4507</v>
      </c>
      <c r="P315" s="162" t="s">
        <v>6312</v>
      </c>
      <c r="Q315" s="162" t="s">
        <v>4420</v>
      </c>
      <c r="R315" s="162" t="s">
        <v>4420</v>
      </c>
      <c r="S315" s="162" t="s">
        <v>5792</v>
      </c>
      <c r="T315" s="162" t="s">
        <v>4420</v>
      </c>
      <c r="U315" s="162" t="s">
        <v>5792</v>
      </c>
      <c r="V315" s="162" t="s">
        <v>6047</v>
      </c>
      <c r="W315" s="17">
        <v>10</v>
      </c>
      <c r="X315" s="239">
        <v>0</v>
      </c>
      <c r="Y315" s="17">
        <v>0</v>
      </c>
      <c r="Z315" s="305" t="s">
        <v>4353</v>
      </c>
      <c r="AA315" s="16">
        <f>INDEX('[2]Cross-Section Database'!$C$2:$V$2928,MATCH(Z315,'[2]Cross-Section Database'!$B$2:$B$2928,0),3)</f>
        <v>314.5</v>
      </c>
      <c r="AB315" s="16">
        <f>INDEX('[2]Cross-Section Database'!$C$2:$V$2928,MATCH(Z315,'[2]Cross-Section Database'!$B$2:$B$2928,0),4)</f>
        <v>307.39999999999998</v>
      </c>
      <c r="AC315" s="16">
        <f>INDEX('[2]Cross-Section Database'!$C$2:$V$2928,MATCH(Z315,'[2]Cross-Section Database'!$B$2:$B$2928,0),6)</f>
        <v>18.7</v>
      </c>
      <c r="AD315" s="16">
        <f>INDEX('[2]Cross-Section Database'!$C$2:$V$2928,MATCH(Z315,'[2]Cross-Section Database'!$B$2:$B$2928,0),5)</f>
        <v>12</v>
      </c>
      <c r="AE315" s="16">
        <v>3000</v>
      </c>
      <c r="AF315" s="305" t="s">
        <v>4808</v>
      </c>
      <c r="AG315" s="16">
        <v>400</v>
      </c>
      <c r="AH315" s="16">
        <v>140</v>
      </c>
      <c r="AI315" s="16">
        <v>12</v>
      </c>
      <c r="AJ315" s="16">
        <v>5</v>
      </c>
      <c r="AK315" s="16">
        <v>1300</v>
      </c>
      <c r="AL315" s="16">
        <f>AH315*AG315^3/12-(AH315-AJ315)*(AG315-2*AI315)^3/12</f>
        <v>148646186.66666663</v>
      </c>
      <c r="AM315" s="24">
        <f>AH315*AG315^2/4-(AH315-AJ315)*(AG315-2*AI315)^2/4</f>
        <v>828560</v>
      </c>
      <c r="AN315" s="16">
        <v>12</v>
      </c>
      <c r="AO315" s="16">
        <v>200</v>
      </c>
      <c r="AP315" s="16">
        <v>450</v>
      </c>
      <c r="AQ315" s="16">
        <f t="shared" si="167"/>
        <v>25</v>
      </c>
      <c r="AR315" s="16">
        <f t="shared" si="162"/>
        <v>25</v>
      </c>
      <c r="AS315" s="305" t="s">
        <v>5807</v>
      </c>
      <c r="AT315" s="162" t="s">
        <v>6134</v>
      </c>
      <c r="AU315" s="16" t="s">
        <v>6134</v>
      </c>
      <c r="AV315" s="162">
        <v>20</v>
      </c>
      <c r="AW315" s="162">
        <f t="shared" si="160"/>
        <v>245</v>
      </c>
      <c r="AX315" s="16">
        <v>85</v>
      </c>
      <c r="AY315" s="16">
        <f t="shared" si="165"/>
        <v>85</v>
      </c>
      <c r="AZ315" s="16">
        <v>0</v>
      </c>
      <c r="BA315" s="16">
        <v>90</v>
      </c>
      <c r="BB315" s="16">
        <f>AP315-AX315-AY315-AZ315</f>
        <v>280</v>
      </c>
      <c r="BC315" s="22" t="s">
        <v>4470</v>
      </c>
      <c r="BD315" s="162" t="s">
        <v>6209</v>
      </c>
      <c r="BE315" s="162" t="s">
        <v>6209</v>
      </c>
      <c r="BF315" s="162">
        <v>2</v>
      </c>
      <c r="BG315" s="162">
        <v>4</v>
      </c>
      <c r="BH315" s="200" t="s">
        <v>5792</v>
      </c>
      <c r="BI315" s="201" t="s">
        <v>5792</v>
      </c>
      <c r="BJ315" s="201" t="s">
        <v>5792</v>
      </c>
      <c r="BK315" s="201" t="s">
        <v>5792</v>
      </c>
      <c r="BL315" s="201" t="s">
        <v>5792</v>
      </c>
      <c r="BM315" s="201" t="s">
        <v>5792</v>
      </c>
      <c r="BN315" s="201" t="s">
        <v>5792</v>
      </c>
      <c r="BO315" s="201" t="s">
        <v>5792</v>
      </c>
      <c r="BP315" s="200" t="s">
        <v>5792</v>
      </c>
      <c r="BQ315" s="201" t="s">
        <v>5792</v>
      </c>
      <c r="BR315" s="201" t="s">
        <v>5792</v>
      </c>
      <c r="BS315" s="201" t="s">
        <v>5792</v>
      </c>
      <c r="BT315" s="201" t="s">
        <v>5792</v>
      </c>
      <c r="BU315" s="201" t="s">
        <v>5792</v>
      </c>
      <c r="BV315" s="219" t="s">
        <v>5792</v>
      </c>
      <c r="BW315" s="201" t="s">
        <v>5792</v>
      </c>
      <c r="BX315" s="201" t="s">
        <v>5792</v>
      </c>
      <c r="BY315" s="201" t="s">
        <v>5792</v>
      </c>
      <c r="BZ315" s="201" t="s">
        <v>5792</v>
      </c>
      <c r="CA315" s="201" t="s">
        <v>5792</v>
      </c>
      <c r="CB315" s="219" t="s">
        <v>5792</v>
      </c>
      <c r="CC315" s="162" t="s">
        <v>4450</v>
      </c>
      <c r="CD315" s="162">
        <v>275</v>
      </c>
      <c r="CE315" s="16">
        <v>371</v>
      </c>
      <c r="CF315" s="16">
        <v>410</v>
      </c>
      <c r="CG315" s="16">
        <f>(458+531)/2</f>
        <v>494.5</v>
      </c>
      <c r="CH315" s="81">
        <v>203000</v>
      </c>
      <c r="CI315" s="305" t="s">
        <v>4384</v>
      </c>
      <c r="CJ315" s="162">
        <v>355</v>
      </c>
      <c r="CK315" s="16">
        <f>(317+373)/2</f>
        <v>345</v>
      </c>
      <c r="CL315" s="16">
        <v>470</v>
      </c>
      <c r="CM315" s="16">
        <v>545</v>
      </c>
      <c r="CN315" s="81">
        <v>236500</v>
      </c>
      <c r="CO315" s="30" t="s">
        <v>4450</v>
      </c>
      <c r="CP315" s="72">
        <v>275</v>
      </c>
      <c r="CQ315" s="16">
        <v>334</v>
      </c>
      <c r="CR315" s="72">
        <v>410</v>
      </c>
      <c r="CS315" s="16">
        <v>413</v>
      </c>
      <c r="CT315" s="105">
        <v>235000</v>
      </c>
      <c r="CU315" s="204" t="s">
        <v>5792</v>
      </c>
      <c r="CV315" s="205" t="s">
        <v>5792</v>
      </c>
      <c r="CW315" s="205" t="s">
        <v>5792</v>
      </c>
      <c r="CX315" s="206" t="s">
        <v>5792</v>
      </c>
      <c r="CY315" s="204" t="s">
        <v>5792</v>
      </c>
      <c r="CZ315" s="205" t="s">
        <v>5792</v>
      </c>
      <c r="DA315" s="206" t="s">
        <v>5792</v>
      </c>
      <c r="DB315" s="282" t="s">
        <v>5792</v>
      </c>
      <c r="DC315" s="162">
        <v>8.8000000000000007</v>
      </c>
      <c r="DD315" s="162">
        <v>640</v>
      </c>
      <c r="DE315" s="30">
        <v>730</v>
      </c>
      <c r="DF315" s="162">
        <v>800</v>
      </c>
      <c r="DG315" s="30">
        <v>940</v>
      </c>
      <c r="DH315" s="76">
        <v>200000</v>
      </c>
      <c r="DI315" s="28" t="s">
        <v>5832</v>
      </c>
      <c r="DJ315" s="162" t="s">
        <v>6055</v>
      </c>
      <c r="DK315" s="296" t="s">
        <v>6046</v>
      </c>
    </row>
    <row r="316" spans="1:115">
      <c r="A316" s="306">
        <v>311</v>
      </c>
      <c r="B316" s="326"/>
      <c r="C316" s="326"/>
      <c r="D316" s="334"/>
      <c r="E316" s="334"/>
      <c r="F316" s="326"/>
      <c r="G316" s="337"/>
      <c r="H316" s="337"/>
      <c r="I316" s="337"/>
      <c r="J316" s="41" t="s">
        <v>4568</v>
      </c>
      <c r="K316" s="306" t="s">
        <v>4383</v>
      </c>
      <c r="L316" s="163" t="s">
        <v>5792</v>
      </c>
      <c r="M316" s="306" t="s">
        <v>4509</v>
      </c>
      <c r="N316" s="163" t="s">
        <v>4703</v>
      </c>
      <c r="O316" s="18" t="s">
        <v>4507</v>
      </c>
      <c r="P316" s="163" t="s">
        <v>6312</v>
      </c>
      <c r="Q316" s="163" t="s">
        <v>4420</v>
      </c>
      <c r="R316" s="163" t="s">
        <v>4420</v>
      </c>
      <c r="S316" s="163" t="s">
        <v>5792</v>
      </c>
      <c r="T316" s="163" t="s">
        <v>4420</v>
      </c>
      <c r="U316" s="163" t="s">
        <v>5792</v>
      </c>
      <c r="V316" s="163" t="s">
        <v>6047</v>
      </c>
      <c r="W316" s="18">
        <v>10</v>
      </c>
      <c r="X316" s="230">
        <v>0</v>
      </c>
      <c r="Y316" s="18">
        <v>0</v>
      </c>
      <c r="Z316" s="306" t="s">
        <v>4353</v>
      </c>
      <c r="AA316" s="21">
        <f>INDEX('[2]Cross-Section Database'!$C$2:$V$2928,MATCH(Z316,'[2]Cross-Section Database'!$B$2:$B$2928,0),3)</f>
        <v>314.5</v>
      </c>
      <c r="AB316" s="21">
        <f>INDEX('[2]Cross-Section Database'!$C$2:$V$2928,MATCH(Z316,'[2]Cross-Section Database'!$B$2:$B$2928,0),4)</f>
        <v>307.39999999999998</v>
      </c>
      <c r="AC316" s="21">
        <f>INDEX('[2]Cross-Section Database'!$C$2:$V$2928,MATCH(Z316,'[2]Cross-Section Database'!$B$2:$B$2928,0),6)</f>
        <v>18.7</v>
      </c>
      <c r="AD316" s="21">
        <f>INDEX('[2]Cross-Section Database'!$C$2:$V$2928,MATCH(Z316,'[2]Cross-Section Database'!$B$2:$B$2928,0),5)</f>
        <v>12</v>
      </c>
      <c r="AE316" s="21">
        <v>3000</v>
      </c>
      <c r="AF316" s="306" t="s">
        <v>4807</v>
      </c>
      <c r="AG316" s="21">
        <v>500</v>
      </c>
      <c r="AH316" s="21">
        <v>180</v>
      </c>
      <c r="AI316" s="21">
        <v>16</v>
      </c>
      <c r="AJ316" s="21">
        <v>5</v>
      </c>
      <c r="AK316" s="21">
        <v>1300</v>
      </c>
      <c r="AL316" s="21">
        <f>AH316*AG316^3/12-(AH316-AJ316)*(AG316-2*AI316)^3/12</f>
        <v>380161200</v>
      </c>
      <c r="AM316" s="24">
        <f>AH316*AG316^2/4-(AH316-AJ316)*(AG316-2*AI316)^2/4</f>
        <v>1667700</v>
      </c>
      <c r="AN316" s="21">
        <v>12</v>
      </c>
      <c r="AO316" s="21">
        <v>200</v>
      </c>
      <c r="AP316" s="21">
        <v>550</v>
      </c>
      <c r="AQ316" s="21">
        <f t="shared" si="167"/>
        <v>25</v>
      </c>
      <c r="AR316" s="21">
        <f t="shared" si="162"/>
        <v>25</v>
      </c>
      <c r="AS316" s="306" t="s">
        <v>5807</v>
      </c>
      <c r="AT316" s="163" t="s">
        <v>6134</v>
      </c>
      <c r="AU316" s="21" t="s">
        <v>6134</v>
      </c>
      <c r="AV316" s="163">
        <v>20</v>
      </c>
      <c r="AW316" s="163">
        <f t="shared" si="160"/>
        <v>245</v>
      </c>
      <c r="AX316" s="21">
        <v>85</v>
      </c>
      <c r="AY316" s="21">
        <f t="shared" si="165"/>
        <v>85</v>
      </c>
      <c r="AZ316" s="21">
        <v>0</v>
      </c>
      <c r="BA316" s="21">
        <v>90</v>
      </c>
      <c r="BB316" s="21">
        <f>AP316-AX316-AY316-AZ316</f>
        <v>380</v>
      </c>
      <c r="BC316" s="15" t="s">
        <v>4470</v>
      </c>
      <c r="BD316" s="163" t="s">
        <v>6209</v>
      </c>
      <c r="BE316" s="163" t="s">
        <v>6209</v>
      </c>
      <c r="BF316" s="163">
        <v>2</v>
      </c>
      <c r="BG316" s="163">
        <v>4</v>
      </c>
      <c r="BH316" s="202" t="s">
        <v>5792</v>
      </c>
      <c r="BI316" s="203" t="s">
        <v>5792</v>
      </c>
      <c r="BJ316" s="203" t="s">
        <v>5792</v>
      </c>
      <c r="BK316" s="203" t="s">
        <v>5792</v>
      </c>
      <c r="BL316" s="203" t="s">
        <v>5792</v>
      </c>
      <c r="BM316" s="203" t="s">
        <v>5792</v>
      </c>
      <c r="BN316" s="203" t="s">
        <v>5792</v>
      </c>
      <c r="BO316" s="203" t="s">
        <v>5792</v>
      </c>
      <c r="BP316" s="202" t="s">
        <v>5792</v>
      </c>
      <c r="BQ316" s="203" t="s">
        <v>5792</v>
      </c>
      <c r="BR316" s="203" t="s">
        <v>5792</v>
      </c>
      <c r="BS316" s="203" t="s">
        <v>5792</v>
      </c>
      <c r="BT316" s="203" t="s">
        <v>5792</v>
      </c>
      <c r="BU316" s="203" t="s">
        <v>5792</v>
      </c>
      <c r="BV316" s="218" t="s">
        <v>5792</v>
      </c>
      <c r="BW316" s="203" t="s">
        <v>5792</v>
      </c>
      <c r="BX316" s="203" t="s">
        <v>5792</v>
      </c>
      <c r="BY316" s="203" t="s">
        <v>5792</v>
      </c>
      <c r="BZ316" s="203" t="s">
        <v>5792</v>
      </c>
      <c r="CA316" s="203" t="s">
        <v>5792</v>
      </c>
      <c r="CB316" s="218" t="s">
        <v>5792</v>
      </c>
      <c r="CC316" s="163" t="s">
        <v>4450</v>
      </c>
      <c r="CD316" s="163">
        <v>275</v>
      </c>
      <c r="CE316" s="21">
        <v>371</v>
      </c>
      <c r="CF316" s="21">
        <v>410</v>
      </c>
      <c r="CG316" s="21">
        <f>(458+531)/2</f>
        <v>494.5</v>
      </c>
      <c r="CH316" s="69">
        <v>203000</v>
      </c>
      <c r="CI316" s="306" t="s">
        <v>4384</v>
      </c>
      <c r="CJ316" s="163">
        <v>355</v>
      </c>
      <c r="CK316" s="21">
        <f>(317+373)/2</f>
        <v>345</v>
      </c>
      <c r="CL316" s="21">
        <v>470</v>
      </c>
      <c r="CM316" s="21">
        <v>545</v>
      </c>
      <c r="CN316" s="69">
        <v>236500</v>
      </c>
      <c r="CO316" s="32" t="s">
        <v>4450</v>
      </c>
      <c r="CP316" s="47">
        <v>275</v>
      </c>
      <c r="CQ316" s="21">
        <v>334</v>
      </c>
      <c r="CR316" s="47">
        <v>410</v>
      </c>
      <c r="CS316" s="21">
        <v>413</v>
      </c>
      <c r="CT316" s="62">
        <v>235000</v>
      </c>
      <c r="CU316" s="207" t="s">
        <v>5792</v>
      </c>
      <c r="CV316" s="208" t="s">
        <v>5792</v>
      </c>
      <c r="CW316" s="208" t="s">
        <v>5792</v>
      </c>
      <c r="CX316" s="209" t="s">
        <v>5792</v>
      </c>
      <c r="CY316" s="207" t="s">
        <v>5792</v>
      </c>
      <c r="CZ316" s="208" t="s">
        <v>5792</v>
      </c>
      <c r="DA316" s="209" t="s">
        <v>5792</v>
      </c>
      <c r="DB316" s="283" t="s">
        <v>5792</v>
      </c>
      <c r="DC316" s="163">
        <v>8.8000000000000007</v>
      </c>
      <c r="DD316" s="163">
        <v>640</v>
      </c>
      <c r="DE316" s="32">
        <v>730</v>
      </c>
      <c r="DF316" s="163">
        <v>800</v>
      </c>
      <c r="DG316" s="32">
        <v>940</v>
      </c>
      <c r="DH316" s="61">
        <v>200000</v>
      </c>
      <c r="DI316" s="29" t="s">
        <v>6048</v>
      </c>
      <c r="DJ316" s="163" t="s">
        <v>6055</v>
      </c>
      <c r="DK316" s="297" t="s">
        <v>6046</v>
      </c>
    </row>
    <row r="317" spans="1:115">
      <c r="A317" s="306">
        <v>312</v>
      </c>
      <c r="B317" s="326"/>
      <c r="C317" s="326"/>
      <c r="D317" s="334"/>
      <c r="E317" s="334"/>
      <c r="F317" s="326"/>
      <c r="G317" s="337"/>
      <c r="H317" s="337"/>
      <c r="I317" s="337"/>
      <c r="J317" s="41" t="s">
        <v>4569</v>
      </c>
      <c r="K317" s="306" t="s">
        <v>4383</v>
      </c>
      <c r="L317" s="163" t="s">
        <v>5792</v>
      </c>
      <c r="M317" s="306" t="s">
        <v>4509</v>
      </c>
      <c r="N317" s="163" t="s">
        <v>4703</v>
      </c>
      <c r="O317" s="18" t="s">
        <v>4507</v>
      </c>
      <c r="P317" s="163" t="s">
        <v>6312</v>
      </c>
      <c r="Q317" s="163" t="s">
        <v>4420</v>
      </c>
      <c r="R317" s="163" t="s">
        <v>4420</v>
      </c>
      <c r="S317" s="163" t="s">
        <v>5792</v>
      </c>
      <c r="T317" s="163" t="s">
        <v>4420</v>
      </c>
      <c r="U317" s="163" t="s">
        <v>5792</v>
      </c>
      <c r="V317" s="163" t="s">
        <v>6047</v>
      </c>
      <c r="W317" s="18">
        <v>10</v>
      </c>
      <c r="X317" s="230">
        <v>0</v>
      </c>
      <c r="Y317" s="18">
        <v>0</v>
      </c>
      <c r="Z317" s="306" t="s">
        <v>4353</v>
      </c>
      <c r="AA317" s="21">
        <f>INDEX('[2]Cross-Section Database'!$C$2:$V$2928,MATCH(Z317,'[2]Cross-Section Database'!$B$2:$B$2928,0),3)</f>
        <v>314.5</v>
      </c>
      <c r="AB317" s="21">
        <f>INDEX('[2]Cross-Section Database'!$C$2:$V$2928,MATCH(Z317,'[2]Cross-Section Database'!$B$2:$B$2928,0),4)</f>
        <v>307.39999999999998</v>
      </c>
      <c r="AC317" s="21">
        <f>INDEX('[2]Cross-Section Database'!$C$2:$V$2928,MATCH(Z317,'[2]Cross-Section Database'!$B$2:$B$2928,0),6)</f>
        <v>18.7</v>
      </c>
      <c r="AD317" s="21">
        <f>INDEX('[2]Cross-Section Database'!$C$2:$V$2928,MATCH(Z317,'[2]Cross-Section Database'!$B$2:$B$2928,0),5)</f>
        <v>12</v>
      </c>
      <c r="AE317" s="21">
        <v>3000</v>
      </c>
      <c r="AF317" s="306" t="s">
        <v>4806</v>
      </c>
      <c r="AG317" s="21">
        <v>450</v>
      </c>
      <c r="AH317" s="21">
        <v>160</v>
      </c>
      <c r="AI317" s="21">
        <v>12</v>
      </c>
      <c r="AJ317" s="21">
        <v>5</v>
      </c>
      <c r="AK317" s="21">
        <v>1300</v>
      </c>
      <c r="AL317" s="21">
        <f>AH317*AG317^3/12-(AH317-AJ317)*(AG317-2*AI317)^3/12</f>
        <v>216428310</v>
      </c>
      <c r="AM317" s="24">
        <f>AH317*AG317^2/4-(AH317-AJ317)*(AG317-2*AI317)^2/4</f>
        <v>1067805</v>
      </c>
      <c r="AN317" s="21">
        <v>12</v>
      </c>
      <c r="AO317" s="21">
        <v>200</v>
      </c>
      <c r="AP317" s="21">
        <v>500</v>
      </c>
      <c r="AQ317" s="21">
        <f t="shared" si="167"/>
        <v>25</v>
      </c>
      <c r="AR317" s="21">
        <f t="shared" si="162"/>
        <v>25</v>
      </c>
      <c r="AS317" s="306" t="s">
        <v>5807</v>
      </c>
      <c r="AT317" s="163" t="s">
        <v>6134</v>
      </c>
      <c r="AU317" s="21" t="s">
        <v>6134</v>
      </c>
      <c r="AV317" s="163">
        <v>20</v>
      </c>
      <c r="AW317" s="163">
        <f t="shared" si="160"/>
        <v>245</v>
      </c>
      <c r="AX317" s="21">
        <v>85</v>
      </c>
      <c r="AY317" s="21">
        <f t="shared" si="165"/>
        <v>85</v>
      </c>
      <c r="AZ317" s="21">
        <v>90</v>
      </c>
      <c r="BA317" s="21">
        <v>90</v>
      </c>
      <c r="BB317" s="21">
        <f>AP317-AX317-AY317-AZ317</f>
        <v>240</v>
      </c>
      <c r="BC317" s="15" t="s">
        <v>4420</v>
      </c>
      <c r="BD317" s="163" t="s">
        <v>4465</v>
      </c>
      <c r="BE317" s="163" t="s">
        <v>4465</v>
      </c>
      <c r="BF317" s="163">
        <v>4</v>
      </c>
      <c r="BG317" s="163">
        <v>8</v>
      </c>
      <c r="BH317" s="202" t="s">
        <v>5792</v>
      </c>
      <c r="BI317" s="203" t="s">
        <v>5792</v>
      </c>
      <c r="BJ317" s="203" t="s">
        <v>5792</v>
      </c>
      <c r="BK317" s="203" t="s">
        <v>5792</v>
      </c>
      <c r="BL317" s="203" t="s">
        <v>5792</v>
      </c>
      <c r="BM317" s="203" t="s">
        <v>5792</v>
      </c>
      <c r="BN317" s="203" t="s">
        <v>5792</v>
      </c>
      <c r="BO317" s="203" t="s">
        <v>5792</v>
      </c>
      <c r="BP317" s="202" t="s">
        <v>5792</v>
      </c>
      <c r="BQ317" s="203" t="s">
        <v>5792</v>
      </c>
      <c r="BR317" s="203" t="s">
        <v>5792</v>
      </c>
      <c r="BS317" s="203" t="s">
        <v>5792</v>
      </c>
      <c r="BT317" s="203" t="s">
        <v>5792</v>
      </c>
      <c r="BU317" s="203" t="s">
        <v>5792</v>
      </c>
      <c r="BV317" s="218" t="s">
        <v>5792</v>
      </c>
      <c r="BW317" s="203" t="s">
        <v>5792</v>
      </c>
      <c r="BX317" s="203" t="s">
        <v>5792</v>
      </c>
      <c r="BY317" s="203" t="s">
        <v>5792</v>
      </c>
      <c r="BZ317" s="203" t="s">
        <v>5792</v>
      </c>
      <c r="CA317" s="203" t="s">
        <v>5792</v>
      </c>
      <c r="CB317" s="218" t="s">
        <v>5792</v>
      </c>
      <c r="CC317" s="163" t="s">
        <v>4450</v>
      </c>
      <c r="CD317" s="163">
        <v>275</v>
      </c>
      <c r="CE317" s="21">
        <v>371</v>
      </c>
      <c r="CF317" s="21">
        <v>410</v>
      </c>
      <c r="CG317" s="21">
        <f>(458+531)/2</f>
        <v>494.5</v>
      </c>
      <c r="CH317" s="69">
        <v>203000</v>
      </c>
      <c r="CI317" s="306" t="s">
        <v>4384</v>
      </c>
      <c r="CJ317" s="163">
        <v>355</v>
      </c>
      <c r="CK317" s="21">
        <f>(317+373)/2</f>
        <v>345</v>
      </c>
      <c r="CL317" s="21">
        <v>470</v>
      </c>
      <c r="CM317" s="21">
        <v>545</v>
      </c>
      <c r="CN317" s="69">
        <v>236500</v>
      </c>
      <c r="CO317" s="32" t="s">
        <v>4450</v>
      </c>
      <c r="CP317" s="47">
        <v>275</v>
      </c>
      <c r="CQ317" s="21">
        <v>334</v>
      </c>
      <c r="CR317" s="47">
        <v>410</v>
      </c>
      <c r="CS317" s="21">
        <v>413</v>
      </c>
      <c r="CT317" s="62">
        <v>235000</v>
      </c>
      <c r="CU317" s="207" t="s">
        <v>5792</v>
      </c>
      <c r="CV317" s="208" t="s">
        <v>5792</v>
      </c>
      <c r="CW317" s="208" t="s">
        <v>5792</v>
      </c>
      <c r="CX317" s="209" t="s">
        <v>5792</v>
      </c>
      <c r="CY317" s="207" t="s">
        <v>5792</v>
      </c>
      <c r="CZ317" s="208" t="s">
        <v>5792</v>
      </c>
      <c r="DA317" s="209" t="s">
        <v>5792</v>
      </c>
      <c r="DB317" s="283" t="s">
        <v>5792</v>
      </c>
      <c r="DC317" s="163">
        <v>8.8000000000000007</v>
      </c>
      <c r="DD317" s="163">
        <v>640</v>
      </c>
      <c r="DE317" s="32">
        <v>730</v>
      </c>
      <c r="DF317" s="163">
        <v>800</v>
      </c>
      <c r="DG317" s="32">
        <v>940</v>
      </c>
      <c r="DH317" s="61">
        <v>200000</v>
      </c>
      <c r="DI317" s="29" t="s">
        <v>6048</v>
      </c>
      <c r="DJ317" s="163" t="s">
        <v>6055</v>
      </c>
      <c r="DK317" s="297" t="s">
        <v>6046</v>
      </c>
    </row>
    <row r="318" spans="1:115" ht="16.2" thickBot="1">
      <c r="A318" s="306">
        <v>313</v>
      </c>
      <c r="B318" s="327"/>
      <c r="C318" s="327"/>
      <c r="D318" s="335"/>
      <c r="E318" s="335"/>
      <c r="F318" s="327"/>
      <c r="G318" s="338"/>
      <c r="H318" s="338"/>
      <c r="I318" s="338"/>
      <c r="J318" s="41" t="s">
        <v>4570</v>
      </c>
      <c r="K318" s="306" t="s">
        <v>4383</v>
      </c>
      <c r="L318" s="163" t="s">
        <v>5792</v>
      </c>
      <c r="M318" s="306" t="s">
        <v>4509</v>
      </c>
      <c r="N318" s="163" t="s">
        <v>4703</v>
      </c>
      <c r="O318" s="18" t="s">
        <v>4507</v>
      </c>
      <c r="P318" s="163" t="s">
        <v>6312</v>
      </c>
      <c r="Q318" s="163" t="s">
        <v>4420</v>
      </c>
      <c r="R318" s="163" t="s">
        <v>4420</v>
      </c>
      <c r="S318" s="163" t="s">
        <v>5792</v>
      </c>
      <c r="T318" s="163" t="s">
        <v>4420</v>
      </c>
      <c r="U318" s="163" t="s">
        <v>5792</v>
      </c>
      <c r="V318" s="163" t="s">
        <v>6047</v>
      </c>
      <c r="W318" s="18">
        <v>10</v>
      </c>
      <c r="X318" s="230">
        <v>0</v>
      </c>
      <c r="Y318" s="18">
        <v>0</v>
      </c>
      <c r="Z318" s="306" t="s">
        <v>4353</v>
      </c>
      <c r="AA318" s="21">
        <f>INDEX('[2]Cross-Section Database'!$C$2:$V$2928,MATCH(Z318,'[2]Cross-Section Database'!$B$2:$B$2928,0),3)</f>
        <v>314.5</v>
      </c>
      <c r="AB318" s="21">
        <f>INDEX('[2]Cross-Section Database'!$C$2:$V$2928,MATCH(Z318,'[2]Cross-Section Database'!$B$2:$B$2928,0),4)</f>
        <v>307.39999999999998</v>
      </c>
      <c r="AC318" s="21">
        <f>INDEX('[2]Cross-Section Database'!$C$2:$V$2928,MATCH(Z318,'[2]Cross-Section Database'!$B$2:$B$2928,0),6)</f>
        <v>18.7</v>
      </c>
      <c r="AD318" s="21">
        <f>INDEX('[2]Cross-Section Database'!$C$2:$V$2928,MATCH(Z318,'[2]Cross-Section Database'!$B$2:$B$2928,0),5)</f>
        <v>12</v>
      </c>
      <c r="AE318" s="21">
        <v>3000</v>
      </c>
      <c r="AF318" s="306" t="s">
        <v>4805</v>
      </c>
      <c r="AG318" s="21">
        <v>600</v>
      </c>
      <c r="AH318" s="21">
        <v>200</v>
      </c>
      <c r="AI318" s="21">
        <v>16</v>
      </c>
      <c r="AJ318" s="21">
        <v>6</v>
      </c>
      <c r="AK318" s="21">
        <v>1300</v>
      </c>
      <c r="AL318" s="23">
        <f>AH318*AG318^3/12-(AH318-AJ318)*(AG318-2*AI318)^3/12</f>
        <v>637451349.33333349</v>
      </c>
      <c r="AM318" s="25">
        <f>AH318*AG318^2/4-(AH318-AJ318)*(AG318-2*AI318)^2/4</f>
        <v>2352736</v>
      </c>
      <c r="AN318" s="21">
        <v>12</v>
      </c>
      <c r="AO318" s="21">
        <v>200</v>
      </c>
      <c r="AP318" s="21">
        <v>650</v>
      </c>
      <c r="AQ318" s="21">
        <f t="shared" si="167"/>
        <v>25</v>
      </c>
      <c r="AR318" s="21">
        <f t="shared" si="162"/>
        <v>25</v>
      </c>
      <c r="AS318" s="306" t="s">
        <v>5807</v>
      </c>
      <c r="AT318" s="163" t="s">
        <v>6134</v>
      </c>
      <c r="AU318" s="21" t="s">
        <v>6134</v>
      </c>
      <c r="AV318" s="163">
        <v>20</v>
      </c>
      <c r="AW318" s="163">
        <f t="shared" si="160"/>
        <v>245</v>
      </c>
      <c r="AX318" s="21">
        <v>85</v>
      </c>
      <c r="AY318" s="21">
        <f t="shared" si="165"/>
        <v>85</v>
      </c>
      <c r="AZ318" s="21">
        <v>90</v>
      </c>
      <c r="BA318" s="21">
        <v>90</v>
      </c>
      <c r="BB318" s="21">
        <f>AP318-AX318-AY318-AZ318</f>
        <v>390</v>
      </c>
      <c r="BC318" s="15" t="s">
        <v>4420</v>
      </c>
      <c r="BD318" s="163" t="s">
        <v>4465</v>
      </c>
      <c r="BE318" s="163" t="s">
        <v>4465</v>
      </c>
      <c r="BF318" s="163">
        <v>4</v>
      </c>
      <c r="BG318" s="163">
        <v>8</v>
      </c>
      <c r="BH318" s="202" t="s">
        <v>5792</v>
      </c>
      <c r="BI318" s="203" t="s">
        <v>5792</v>
      </c>
      <c r="BJ318" s="203" t="s">
        <v>5792</v>
      </c>
      <c r="BK318" s="203" t="s">
        <v>5792</v>
      </c>
      <c r="BL318" s="203" t="s">
        <v>5792</v>
      </c>
      <c r="BM318" s="203" t="s">
        <v>5792</v>
      </c>
      <c r="BN318" s="203" t="s">
        <v>5792</v>
      </c>
      <c r="BO318" s="203" t="s">
        <v>5792</v>
      </c>
      <c r="BP318" s="202" t="s">
        <v>5792</v>
      </c>
      <c r="BQ318" s="203" t="s">
        <v>5792</v>
      </c>
      <c r="BR318" s="203" t="s">
        <v>5792</v>
      </c>
      <c r="BS318" s="203" t="s">
        <v>5792</v>
      </c>
      <c r="BT318" s="203" t="s">
        <v>5792</v>
      </c>
      <c r="BU318" s="203" t="s">
        <v>5792</v>
      </c>
      <c r="BV318" s="218" t="s">
        <v>5792</v>
      </c>
      <c r="BW318" s="203" t="s">
        <v>5792</v>
      </c>
      <c r="BX318" s="203" t="s">
        <v>5792</v>
      </c>
      <c r="BY318" s="203" t="s">
        <v>5792</v>
      </c>
      <c r="BZ318" s="203" t="s">
        <v>5792</v>
      </c>
      <c r="CA318" s="203" t="s">
        <v>5792</v>
      </c>
      <c r="CB318" s="218" t="s">
        <v>5792</v>
      </c>
      <c r="CC318" s="163" t="s">
        <v>4450</v>
      </c>
      <c r="CD318" s="163">
        <v>275</v>
      </c>
      <c r="CE318" s="21">
        <v>371</v>
      </c>
      <c r="CF318" s="21">
        <v>410</v>
      </c>
      <c r="CG318" s="21">
        <f>(458+531)/2</f>
        <v>494.5</v>
      </c>
      <c r="CH318" s="69">
        <v>203000</v>
      </c>
      <c r="CI318" s="306" t="s">
        <v>4384</v>
      </c>
      <c r="CJ318" s="163">
        <v>355</v>
      </c>
      <c r="CK318" s="21">
        <f>(317+373)/2</f>
        <v>345</v>
      </c>
      <c r="CL318" s="21">
        <v>470</v>
      </c>
      <c r="CM318" s="21">
        <v>545</v>
      </c>
      <c r="CN318" s="69">
        <v>236500</v>
      </c>
      <c r="CO318" s="32" t="s">
        <v>4450</v>
      </c>
      <c r="CP318" s="47">
        <v>275</v>
      </c>
      <c r="CQ318" s="21">
        <v>334</v>
      </c>
      <c r="CR318" s="47">
        <v>410</v>
      </c>
      <c r="CS318" s="21">
        <v>413</v>
      </c>
      <c r="CT318" s="62">
        <v>235000</v>
      </c>
      <c r="CU318" s="207" t="s">
        <v>5792</v>
      </c>
      <c r="CV318" s="208" t="s">
        <v>5792</v>
      </c>
      <c r="CW318" s="208" t="s">
        <v>5792</v>
      </c>
      <c r="CX318" s="209" t="s">
        <v>5792</v>
      </c>
      <c r="CY318" s="207" t="s">
        <v>5792</v>
      </c>
      <c r="CZ318" s="208" t="s">
        <v>5792</v>
      </c>
      <c r="DA318" s="209" t="s">
        <v>5792</v>
      </c>
      <c r="DB318" s="283" t="s">
        <v>5792</v>
      </c>
      <c r="DC318" s="163">
        <v>8.8000000000000007</v>
      </c>
      <c r="DD318" s="163">
        <v>640</v>
      </c>
      <c r="DE318" s="32">
        <v>730</v>
      </c>
      <c r="DF318" s="163">
        <v>800</v>
      </c>
      <c r="DG318" s="32">
        <v>940</v>
      </c>
      <c r="DH318" s="61">
        <v>200000</v>
      </c>
      <c r="DI318" s="29" t="s">
        <v>5832</v>
      </c>
      <c r="DJ318" s="163" t="s">
        <v>6055</v>
      </c>
      <c r="DK318" s="297" t="s">
        <v>6046</v>
      </c>
    </row>
    <row r="319" spans="1:115">
      <c r="A319" s="305">
        <v>314</v>
      </c>
      <c r="B319" s="325">
        <v>48</v>
      </c>
      <c r="C319" s="325">
        <v>2013</v>
      </c>
      <c r="D319" s="342" t="s">
        <v>5652</v>
      </c>
      <c r="E319" s="342" t="s">
        <v>5656</v>
      </c>
      <c r="F319" s="325">
        <v>7</v>
      </c>
      <c r="G319" s="336" t="s">
        <v>5913</v>
      </c>
      <c r="H319" s="336" t="s">
        <v>5902</v>
      </c>
      <c r="I319" s="336" t="s">
        <v>6256</v>
      </c>
      <c r="J319" s="43" t="s">
        <v>4512</v>
      </c>
      <c r="K319" s="305" t="s">
        <v>4383</v>
      </c>
      <c r="L319" s="162" t="s">
        <v>5792</v>
      </c>
      <c r="M319" s="305" t="s">
        <v>4509</v>
      </c>
      <c r="N319" s="162" t="s">
        <v>4703</v>
      </c>
      <c r="O319" s="17" t="s">
        <v>4507</v>
      </c>
      <c r="P319" s="162" t="s">
        <v>6312</v>
      </c>
      <c r="Q319" s="162" t="s">
        <v>4470</v>
      </c>
      <c r="R319" s="162" t="s">
        <v>4420</v>
      </c>
      <c r="S319" s="162" t="s">
        <v>5792</v>
      </c>
      <c r="T319" s="162" t="s">
        <v>4420</v>
      </c>
      <c r="U319" s="162" t="s">
        <v>5792</v>
      </c>
      <c r="V319" s="162" t="s">
        <v>4559</v>
      </c>
      <c r="W319" s="88">
        <v>8</v>
      </c>
      <c r="X319" s="239">
        <v>0</v>
      </c>
      <c r="Y319" s="17">
        <v>0</v>
      </c>
      <c r="Z319" s="305" t="s">
        <v>4730</v>
      </c>
      <c r="AA319" s="16">
        <f>INDEX('[2]Cross-Section Database'!$C$2:$V$2928,MATCH(Z319,'[2]Cross-Section Database'!$B$2:$B$2928,0),3)</f>
        <v>200</v>
      </c>
      <c r="AB319" s="16">
        <f>INDEX('[2]Cross-Section Database'!$C$2:$V$2928,MATCH(Z319,'[2]Cross-Section Database'!$B$2:$B$2928,0),4)</f>
        <v>200</v>
      </c>
      <c r="AC319" s="16">
        <f>INDEX('[2]Cross-Section Database'!$C$2:$V$2928,MATCH(Z319,'[2]Cross-Section Database'!$B$2:$B$2928,0),6)</f>
        <v>12.5</v>
      </c>
      <c r="AD319" s="16">
        <f>INDEX('[2]Cross-Section Database'!$C$2:$V$2928,MATCH(Z319,'[2]Cross-Section Database'!$B$2:$B$2928,0),5)</f>
        <v>12.5</v>
      </c>
      <c r="AE319" s="16">
        <v>1800</v>
      </c>
      <c r="AF319" s="305" t="s">
        <v>4225</v>
      </c>
      <c r="AG319" s="16">
        <f>INDEX('[2]Cross-Section Database'!$C$2:$V$2928,MATCH(AF319,'[2]Cross-Section Database'!$B$2:$B$2928,0),3)</f>
        <v>363.4</v>
      </c>
      <c r="AH319" s="16">
        <f>INDEX('[2]Cross-Section Database'!$C$2:$V$2928,MATCH(AF319,'[2]Cross-Section Database'!$B$2:$B$2928,0),4)</f>
        <v>173.2</v>
      </c>
      <c r="AI319" s="16">
        <f>INDEX('[2]Cross-Section Database'!$C$2:$V$2928,MATCH(AF319,'[2]Cross-Section Database'!$B$2:$B$2928,0),6)</f>
        <v>15.7</v>
      </c>
      <c r="AJ319" s="16">
        <f>INDEX('[2]Cross-Section Database'!$C$2:$V$2928,MATCH(AF319,'[2]Cross-Section Database'!$B$2:$B$2928,0),5)</f>
        <v>9.1</v>
      </c>
      <c r="AK319" s="16">
        <v>1000</v>
      </c>
      <c r="AL319" s="21">
        <f>INDEX('[2]Cross-Section Database'!$C$2:$V$3928,MATCH(AF319,'[2]Cross-Section Database'!$B$2:$B$3928,0),11)</f>
        <v>194600000</v>
      </c>
      <c r="AM319" s="24">
        <f>INDEX('[2]Cross-Section Database'!$C$2:$V$3928,MATCH(AF319,'[2]Cross-Section Database'!$B$2:$B$3928,0),12)</f>
        <v>1211000</v>
      </c>
      <c r="AN319" s="16">
        <v>25</v>
      </c>
      <c r="AO319" s="16">
        <v>220</v>
      </c>
      <c r="AP319" s="16">
        <v>404</v>
      </c>
      <c r="AQ319" s="16">
        <f t="shared" si="167"/>
        <v>20.300000000000011</v>
      </c>
      <c r="AR319" s="16">
        <f t="shared" si="162"/>
        <v>20.300000000000011</v>
      </c>
      <c r="AS319" s="305" t="s">
        <v>5653</v>
      </c>
      <c r="AT319" s="30" t="s">
        <v>5658</v>
      </c>
      <c r="AU319" s="31">
        <v>57.192744999999995</v>
      </c>
      <c r="AV319" s="162">
        <v>16</v>
      </c>
      <c r="AW319" s="162">
        <f t="shared" si="160"/>
        <v>157</v>
      </c>
      <c r="AX319" s="16">
        <f>50+AI319+AQ319</f>
        <v>86.000000000000014</v>
      </c>
      <c r="AY319" s="16">
        <f>AP319-AX319-2*AZ319</f>
        <v>118</v>
      </c>
      <c r="AZ319" s="16">
        <v>100</v>
      </c>
      <c r="BA319" s="16">
        <v>120</v>
      </c>
      <c r="BB319" s="16">
        <v>0</v>
      </c>
      <c r="BC319" s="22" t="s">
        <v>4470</v>
      </c>
      <c r="BD319" s="162" t="s">
        <v>6209</v>
      </c>
      <c r="BE319" s="162" t="s">
        <v>6209</v>
      </c>
      <c r="BF319" s="162">
        <v>2</v>
      </c>
      <c r="BG319" s="17">
        <v>6</v>
      </c>
      <c r="BH319" s="200" t="s">
        <v>5792</v>
      </c>
      <c r="BI319" s="201" t="s">
        <v>5792</v>
      </c>
      <c r="BJ319" s="201" t="s">
        <v>5792</v>
      </c>
      <c r="BK319" s="201" t="s">
        <v>5792</v>
      </c>
      <c r="BL319" s="201" t="s">
        <v>5792</v>
      </c>
      <c r="BM319" s="201" t="s">
        <v>5792</v>
      </c>
      <c r="BN319" s="201" t="s">
        <v>5792</v>
      </c>
      <c r="BO319" s="201" t="s">
        <v>5792</v>
      </c>
      <c r="BP319" s="200" t="s">
        <v>5792</v>
      </c>
      <c r="BQ319" s="201" t="s">
        <v>5792</v>
      </c>
      <c r="BR319" s="201" t="s">
        <v>5792</v>
      </c>
      <c r="BS319" s="201" t="s">
        <v>5792</v>
      </c>
      <c r="BT319" s="201" t="s">
        <v>5792</v>
      </c>
      <c r="BU319" s="201" t="s">
        <v>5792</v>
      </c>
      <c r="BV319" s="219" t="s">
        <v>5792</v>
      </c>
      <c r="BW319" s="201" t="s">
        <v>5792</v>
      </c>
      <c r="BX319" s="201" t="s">
        <v>5792</v>
      </c>
      <c r="BY319" s="201" t="s">
        <v>5792</v>
      </c>
      <c r="BZ319" s="201" t="s">
        <v>5792</v>
      </c>
      <c r="CA319" s="201" t="s">
        <v>5792</v>
      </c>
      <c r="CB319" s="219" t="s">
        <v>5792</v>
      </c>
      <c r="CC319" s="305" t="s">
        <v>4384</v>
      </c>
      <c r="CD319" s="162">
        <v>355</v>
      </c>
      <c r="CE319" s="16">
        <v>437</v>
      </c>
      <c r="CF319" s="16">
        <v>470</v>
      </c>
      <c r="CG319" s="16">
        <v>507</v>
      </c>
      <c r="CH319" s="81">
        <v>205000</v>
      </c>
      <c r="CI319" s="305" t="s">
        <v>4384</v>
      </c>
      <c r="CJ319" s="162">
        <v>355</v>
      </c>
      <c r="CK319" s="16">
        <v>394</v>
      </c>
      <c r="CL319" s="16">
        <v>470</v>
      </c>
      <c r="CM319" s="16">
        <v>501</v>
      </c>
      <c r="CN319" s="81">
        <v>205000</v>
      </c>
      <c r="CO319" s="30" t="s">
        <v>4384</v>
      </c>
      <c r="CP319" s="162">
        <v>355</v>
      </c>
      <c r="CQ319" s="16">
        <f>1.1*CP319</f>
        <v>390.50000000000006</v>
      </c>
      <c r="CR319" s="16">
        <v>470</v>
      </c>
      <c r="CS319" s="16">
        <f>1.1*CR319</f>
        <v>517</v>
      </c>
      <c r="CT319" s="61">
        <v>200000</v>
      </c>
      <c r="CU319" s="305" t="s">
        <v>5654</v>
      </c>
      <c r="CV319" s="16">
        <v>40</v>
      </c>
      <c r="CW319" s="31">
        <v>2.5</v>
      </c>
      <c r="CX319" s="66">
        <v>35000</v>
      </c>
      <c r="CY319" s="204" t="s">
        <v>5792</v>
      </c>
      <c r="CZ319" s="205" t="s">
        <v>5792</v>
      </c>
      <c r="DA319" s="206" t="s">
        <v>5792</v>
      </c>
      <c r="DB319" s="282" t="s">
        <v>5792</v>
      </c>
      <c r="DC319" s="162">
        <v>8.8000000000000007</v>
      </c>
      <c r="DD319" s="162">
        <v>640</v>
      </c>
      <c r="DE319" s="162">
        <v>752</v>
      </c>
      <c r="DF319" s="162">
        <v>800</v>
      </c>
      <c r="DG319" s="162">
        <v>987</v>
      </c>
      <c r="DH319" s="94">
        <v>205000</v>
      </c>
      <c r="DI319" s="28" t="s">
        <v>5657</v>
      </c>
      <c r="DJ319" s="162" t="s">
        <v>4435</v>
      </c>
      <c r="DK319" s="296" t="s">
        <v>4566</v>
      </c>
    </row>
    <row r="320" spans="1:115" ht="15.6" customHeight="1">
      <c r="A320" s="306">
        <v>315</v>
      </c>
      <c r="B320" s="326"/>
      <c r="C320" s="326"/>
      <c r="D320" s="343"/>
      <c r="E320" s="343"/>
      <c r="F320" s="326"/>
      <c r="G320" s="337"/>
      <c r="H320" s="337"/>
      <c r="I320" s="337"/>
      <c r="J320" s="41" t="s">
        <v>4397</v>
      </c>
      <c r="K320" s="306" t="s">
        <v>4383</v>
      </c>
      <c r="L320" s="163" t="s">
        <v>5792</v>
      </c>
      <c r="M320" s="306" t="s">
        <v>4509</v>
      </c>
      <c r="N320" s="163" t="s">
        <v>4703</v>
      </c>
      <c r="O320" s="18" t="s">
        <v>4507</v>
      </c>
      <c r="P320" s="163" t="s">
        <v>6312</v>
      </c>
      <c r="Q320" s="163" t="s">
        <v>4470</v>
      </c>
      <c r="R320" s="163" t="s">
        <v>4420</v>
      </c>
      <c r="S320" s="163" t="s">
        <v>5792</v>
      </c>
      <c r="T320" s="163" t="s">
        <v>4420</v>
      </c>
      <c r="U320" s="163" t="s">
        <v>5792</v>
      </c>
      <c r="V320" s="163" t="s">
        <v>4559</v>
      </c>
      <c r="W320" s="73">
        <v>8</v>
      </c>
      <c r="X320" s="230">
        <v>0</v>
      </c>
      <c r="Y320" s="18">
        <v>0</v>
      </c>
      <c r="Z320" s="306" t="s">
        <v>5488</v>
      </c>
      <c r="AA320" s="21">
        <f>INDEX('[2]Cross-Section Database'!$C$2:$V$2928,MATCH(Z320,'[2]Cross-Section Database'!$B$2:$B$2928,0),3)</f>
        <v>200</v>
      </c>
      <c r="AB320" s="21">
        <f>INDEX('[2]Cross-Section Database'!$C$2:$V$2928,MATCH(Z320,'[2]Cross-Section Database'!$B$2:$B$2928,0),4)</f>
        <v>200</v>
      </c>
      <c r="AC320" s="21">
        <f>INDEX('[2]Cross-Section Database'!$C$2:$V$2928,MATCH(Z320,'[2]Cross-Section Database'!$B$2:$B$2928,0),6)</f>
        <v>10</v>
      </c>
      <c r="AD320" s="21">
        <f>INDEX('[2]Cross-Section Database'!$C$2:$V$2928,MATCH(Z320,'[2]Cross-Section Database'!$B$2:$B$2928,0),5)</f>
        <v>10</v>
      </c>
      <c r="AE320" s="21">
        <v>1800</v>
      </c>
      <c r="AF320" s="306" t="s">
        <v>4234</v>
      </c>
      <c r="AG320" s="21">
        <f>INDEX('[2]Cross-Section Database'!$C$2:$V$2928,MATCH(AF320,'[2]Cross-Section Database'!$B$2:$B$2928,0),3)</f>
        <v>449.8</v>
      </c>
      <c r="AH320" s="21">
        <f>INDEX('[2]Cross-Section Database'!$C$2:$V$2928,MATCH(AF320,'[2]Cross-Section Database'!$B$2:$B$2928,0),4)</f>
        <v>152.4</v>
      </c>
      <c r="AI320" s="21">
        <f>INDEX('[2]Cross-Section Database'!$C$2:$V$2928,MATCH(AF320,'[2]Cross-Section Database'!$B$2:$B$2928,0),6)</f>
        <v>10.9</v>
      </c>
      <c r="AJ320" s="21">
        <f>INDEX('[2]Cross-Section Database'!$C$2:$V$2928,MATCH(AF320,'[2]Cross-Section Database'!$B$2:$B$2928,0),5)</f>
        <v>7.6</v>
      </c>
      <c r="AK320" s="21">
        <v>1000</v>
      </c>
      <c r="AL320" s="21">
        <f>INDEX('[2]Cross-Section Database'!$C$2:$V$3928,MATCH(AF320,'[2]Cross-Section Database'!$B$2:$B$3928,0),11)</f>
        <v>213700000</v>
      </c>
      <c r="AM320" s="24">
        <f>INDEX('[2]Cross-Section Database'!$C$2:$V$3928,MATCH(AF320,'[2]Cross-Section Database'!$B$2:$B$3928,0),12)</f>
        <v>1096000</v>
      </c>
      <c r="AN320" s="21">
        <v>25</v>
      </c>
      <c r="AO320" s="21">
        <v>200</v>
      </c>
      <c r="AP320" s="21">
        <v>490</v>
      </c>
      <c r="AQ320" s="21">
        <f t="shared" si="167"/>
        <v>20.099999999999994</v>
      </c>
      <c r="AR320" s="21">
        <f t="shared" si="162"/>
        <v>20.099999999999994</v>
      </c>
      <c r="AS320" s="306" t="s">
        <v>5653</v>
      </c>
      <c r="AT320" s="32" t="s">
        <v>5658</v>
      </c>
      <c r="AU320" s="33">
        <v>54.875424999999993</v>
      </c>
      <c r="AV320" s="163">
        <v>16</v>
      </c>
      <c r="AW320" s="163">
        <f t="shared" si="160"/>
        <v>157</v>
      </c>
      <c r="AX320" s="21">
        <f t="shared" ref="AX320:AX325" si="168">50+AI320+AQ320</f>
        <v>81</v>
      </c>
      <c r="AY320" s="21">
        <f>AP320-AX320-2*AZ320</f>
        <v>129</v>
      </c>
      <c r="AZ320" s="21">
        <v>140</v>
      </c>
      <c r="BA320" s="21">
        <v>120</v>
      </c>
      <c r="BB320" s="21">
        <v>0</v>
      </c>
      <c r="BC320" s="15" t="s">
        <v>4470</v>
      </c>
      <c r="BD320" s="163" t="s">
        <v>6209</v>
      </c>
      <c r="BE320" s="163" t="s">
        <v>6209</v>
      </c>
      <c r="BF320" s="163">
        <v>2</v>
      </c>
      <c r="BG320" s="18">
        <v>6</v>
      </c>
      <c r="BH320" s="202" t="s">
        <v>5792</v>
      </c>
      <c r="BI320" s="203" t="s">
        <v>5792</v>
      </c>
      <c r="BJ320" s="203" t="s">
        <v>5792</v>
      </c>
      <c r="BK320" s="203" t="s">
        <v>5792</v>
      </c>
      <c r="BL320" s="203" t="s">
        <v>5792</v>
      </c>
      <c r="BM320" s="203" t="s">
        <v>5792</v>
      </c>
      <c r="BN320" s="203" t="s">
        <v>5792</v>
      </c>
      <c r="BO320" s="203" t="s">
        <v>5792</v>
      </c>
      <c r="BP320" s="202" t="s">
        <v>5792</v>
      </c>
      <c r="BQ320" s="203" t="s">
        <v>5792</v>
      </c>
      <c r="BR320" s="203" t="s">
        <v>5792</v>
      </c>
      <c r="BS320" s="203" t="s">
        <v>5792</v>
      </c>
      <c r="BT320" s="203" t="s">
        <v>5792</v>
      </c>
      <c r="BU320" s="203" t="s">
        <v>5792</v>
      </c>
      <c r="BV320" s="218" t="s">
        <v>5792</v>
      </c>
      <c r="BW320" s="203" t="s">
        <v>5792</v>
      </c>
      <c r="BX320" s="203" t="s">
        <v>5792</v>
      </c>
      <c r="BY320" s="203" t="s">
        <v>5792</v>
      </c>
      <c r="BZ320" s="203" t="s">
        <v>5792</v>
      </c>
      <c r="CA320" s="203" t="s">
        <v>5792</v>
      </c>
      <c r="CB320" s="218" t="s">
        <v>5792</v>
      </c>
      <c r="CC320" s="306" t="s">
        <v>4384</v>
      </c>
      <c r="CD320" s="163">
        <v>355</v>
      </c>
      <c r="CE320" s="21">
        <v>440</v>
      </c>
      <c r="CF320" s="21">
        <v>470</v>
      </c>
      <c r="CG320" s="21">
        <v>517</v>
      </c>
      <c r="CH320" s="69">
        <v>205000</v>
      </c>
      <c r="CI320" s="306" t="s">
        <v>4384</v>
      </c>
      <c r="CJ320" s="163">
        <v>355</v>
      </c>
      <c r="CK320" s="21">
        <v>385</v>
      </c>
      <c r="CL320" s="21">
        <v>470</v>
      </c>
      <c r="CM320" s="21">
        <v>495</v>
      </c>
      <c r="CN320" s="69">
        <v>201000</v>
      </c>
      <c r="CO320" s="32" t="s">
        <v>4384</v>
      </c>
      <c r="CP320" s="163">
        <v>355</v>
      </c>
      <c r="CQ320" s="21">
        <f t="shared" ref="CQ320:CS325" si="169">1.1*CP320</f>
        <v>390.50000000000006</v>
      </c>
      <c r="CR320" s="21">
        <v>470</v>
      </c>
      <c r="CS320" s="21">
        <f t="shared" si="169"/>
        <v>517</v>
      </c>
      <c r="CT320" s="61">
        <v>200000</v>
      </c>
      <c r="CU320" s="306" t="s">
        <v>5654</v>
      </c>
      <c r="CV320" s="21">
        <v>45</v>
      </c>
      <c r="CW320" s="33">
        <v>2.5</v>
      </c>
      <c r="CX320" s="67">
        <v>35000</v>
      </c>
      <c r="CY320" s="207" t="s">
        <v>5792</v>
      </c>
      <c r="CZ320" s="208" t="s">
        <v>5792</v>
      </c>
      <c r="DA320" s="209" t="s">
        <v>5792</v>
      </c>
      <c r="DB320" s="283" t="s">
        <v>5792</v>
      </c>
      <c r="DC320" s="163">
        <v>8.8000000000000007</v>
      </c>
      <c r="DD320" s="163">
        <v>640</v>
      </c>
      <c r="DE320" s="163">
        <v>752</v>
      </c>
      <c r="DF320" s="163">
        <v>800</v>
      </c>
      <c r="DG320" s="163">
        <v>987</v>
      </c>
      <c r="DH320" s="97">
        <v>205000</v>
      </c>
      <c r="DI320" s="29" t="s">
        <v>5657</v>
      </c>
      <c r="DJ320" s="163" t="s">
        <v>4435</v>
      </c>
      <c r="DK320" s="297" t="s">
        <v>4566</v>
      </c>
    </row>
    <row r="321" spans="1:115" ht="15.6" customHeight="1">
      <c r="A321" s="306">
        <v>316</v>
      </c>
      <c r="B321" s="326"/>
      <c r="C321" s="326"/>
      <c r="D321" s="343"/>
      <c r="E321" s="343"/>
      <c r="F321" s="326"/>
      <c r="G321" s="337"/>
      <c r="H321" s="337"/>
      <c r="I321" s="337"/>
      <c r="J321" s="41" t="s">
        <v>4399</v>
      </c>
      <c r="K321" s="306" t="s">
        <v>4383</v>
      </c>
      <c r="L321" s="163" t="s">
        <v>5792</v>
      </c>
      <c r="M321" s="306" t="s">
        <v>4509</v>
      </c>
      <c r="N321" s="163" t="s">
        <v>4703</v>
      </c>
      <c r="O321" s="18" t="s">
        <v>4507</v>
      </c>
      <c r="P321" s="163" t="s">
        <v>6312</v>
      </c>
      <c r="Q321" s="163" t="s">
        <v>4470</v>
      </c>
      <c r="R321" s="163" t="s">
        <v>4420</v>
      </c>
      <c r="S321" s="163" t="s">
        <v>5792</v>
      </c>
      <c r="T321" s="163" t="s">
        <v>4420</v>
      </c>
      <c r="U321" s="163" t="s">
        <v>5792</v>
      </c>
      <c r="V321" s="163" t="s">
        <v>4559</v>
      </c>
      <c r="W321" s="73">
        <v>8</v>
      </c>
      <c r="X321" s="230">
        <v>0</v>
      </c>
      <c r="Y321" s="18">
        <v>0</v>
      </c>
      <c r="Z321" s="306" t="s">
        <v>4647</v>
      </c>
      <c r="AA321" s="21">
        <f>INDEX('[2]Cross-Section Database'!$C$2:$V$2928,MATCH(Z321,'[2]Cross-Section Database'!$B$2:$B$2928,0),3)</f>
        <v>200</v>
      </c>
      <c r="AB321" s="21">
        <f>INDEX('[2]Cross-Section Database'!$C$2:$V$2928,MATCH(Z321,'[2]Cross-Section Database'!$B$2:$B$2928,0),4)</f>
        <v>200</v>
      </c>
      <c r="AC321" s="21">
        <f>INDEX('[2]Cross-Section Database'!$C$2:$V$2928,MATCH(Z321,'[2]Cross-Section Database'!$B$2:$B$2928,0),6)</f>
        <v>8</v>
      </c>
      <c r="AD321" s="21">
        <f>INDEX('[2]Cross-Section Database'!$C$2:$V$2928,MATCH(Z321,'[2]Cross-Section Database'!$B$2:$B$2928,0),5)</f>
        <v>8</v>
      </c>
      <c r="AE321" s="21">
        <v>1800</v>
      </c>
      <c r="AF321" s="306" t="s">
        <v>4234</v>
      </c>
      <c r="AG321" s="21">
        <f>INDEX('[2]Cross-Section Database'!$C$2:$V$2928,MATCH(AF321,'[2]Cross-Section Database'!$B$2:$B$2928,0),3)</f>
        <v>449.8</v>
      </c>
      <c r="AH321" s="21">
        <f>INDEX('[2]Cross-Section Database'!$C$2:$V$2928,MATCH(AF321,'[2]Cross-Section Database'!$B$2:$B$2928,0),4)</f>
        <v>152.4</v>
      </c>
      <c r="AI321" s="21">
        <f>INDEX('[2]Cross-Section Database'!$C$2:$V$2928,MATCH(AF321,'[2]Cross-Section Database'!$B$2:$B$2928,0),6)</f>
        <v>10.9</v>
      </c>
      <c r="AJ321" s="21">
        <f>INDEX('[2]Cross-Section Database'!$C$2:$V$2928,MATCH(AF321,'[2]Cross-Section Database'!$B$2:$B$2928,0),5)</f>
        <v>7.6</v>
      </c>
      <c r="AK321" s="21">
        <v>1000</v>
      </c>
      <c r="AL321" s="21">
        <f>INDEX('[2]Cross-Section Database'!$C$2:$V$3928,MATCH(AF321,'[2]Cross-Section Database'!$B$2:$B$3928,0),11)</f>
        <v>213700000</v>
      </c>
      <c r="AM321" s="24">
        <f>INDEX('[2]Cross-Section Database'!$C$2:$V$3928,MATCH(AF321,'[2]Cross-Section Database'!$B$2:$B$3928,0),12)</f>
        <v>1096000</v>
      </c>
      <c r="AN321" s="21">
        <v>25</v>
      </c>
      <c r="AO321" s="21">
        <v>200</v>
      </c>
      <c r="AP321" s="21">
        <v>490</v>
      </c>
      <c r="AQ321" s="21">
        <f t="shared" si="167"/>
        <v>20.099999999999994</v>
      </c>
      <c r="AR321" s="21">
        <f t="shared" si="162"/>
        <v>20.099999999999994</v>
      </c>
      <c r="AS321" s="306" t="s">
        <v>5653</v>
      </c>
      <c r="AT321" s="32" t="s">
        <v>5658</v>
      </c>
      <c r="AU321" s="33">
        <v>54.714500000000001</v>
      </c>
      <c r="AV321" s="163">
        <v>16</v>
      </c>
      <c r="AW321" s="163">
        <f t="shared" si="160"/>
        <v>157</v>
      </c>
      <c r="AX321" s="21">
        <f t="shared" si="168"/>
        <v>81</v>
      </c>
      <c r="AY321" s="21">
        <f t="shared" ref="AY321:AY325" si="170">AP321-AX321-2*AZ321</f>
        <v>129</v>
      </c>
      <c r="AZ321" s="21">
        <v>140</v>
      </c>
      <c r="BA321" s="21">
        <v>120</v>
      </c>
      <c r="BB321" s="21">
        <v>0</v>
      </c>
      <c r="BC321" s="15" t="s">
        <v>4470</v>
      </c>
      <c r="BD321" s="163" t="s">
        <v>6209</v>
      </c>
      <c r="BE321" s="163" t="s">
        <v>6209</v>
      </c>
      <c r="BF321" s="163">
        <v>2</v>
      </c>
      <c r="BG321" s="18">
        <v>6</v>
      </c>
      <c r="BH321" s="202" t="s">
        <v>5792</v>
      </c>
      <c r="BI321" s="203" t="s">
        <v>5792</v>
      </c>
      <c r="BJ321" s="203" t="s">
        <v>5792</v>
      </c>
      <c r="BK321" s="203" t="s">
        <v>5792</v>
      </c>
      <c r="BL321" s="203" t="s">
        <v>5792</v>
      </c>
      <c r="BM321" s="203" t="s">
        <v>5792</v>
      </c>
      <c r="BN321" s="203" t="s">
        <v>5792</v>
      </c>
      <c r="BO321" s="203" t="s">
        <v>5792</v>
      </c>
      <c r="BP321" s="202" t="s">
        <v>5792</v>
      </c>
      <c r="BQ321" s="203" t="s">
        <v>5792</v>
      </c>
      <c r="BR321" s="203" t="s">
        <v>5792</v>
      </c>
      <c r="BS321" s="203" t="s">
        <v>5792</v>
      </c>
      <c r="BT321" s="203" t="s">
        <v>5792</v>
      </c>
      <c r="BU321" s="203" t="s">
        <v>5792</v>
      </c>
      <c r="BV321" s="218" t="s">
        <v>5792</v>
      </c>
      <c r="BW321" s="203" t="s">
        <v>5792</v>
      </c>
      <c r="BX321" s="203" t="s">
        <v>5792</v>
      </c>
      <c r="BY321" s="203" t="s">
        <v>5792</v>
      </c>
      <c r="BZ321" s="203" t="s">
        <v>5792</v>
      </c>
      <c r="CA321" s="203" t="s">
        <v>5792</v>
      </c>
      <c r="CB321" s="218" t="s">
        <v>5792</v>
      </c>
      <c r="CC321" s="306" t="s">
        <v>4384</v>
      </c>
      <c r="CD321" s="163">
        <v>355</v>
      </c>
      <c r="CE321" s="21">
        <v>449</v>
      </c>
      <c r="CF321" s="21">
        <v>470</v>
      </c>
      <c r="CG321" s="21">
        <v>520</v>
      </c>
      <c r="CH321" s="69">
        <v>199000</v>
      </c>
      <c r="CI321" s="306" t="s">
        <v>4384</v>
      </c>
      <c r="CJ321" s="163">
        <v>355</v>
      </c>
      <c r="CK321" s="21">
        <v>385</v>
      </c>
      <c r="CL321" s="21">
        <v>470</v>
      </c>
      <c r="CM321" s="21">
        <v>495</v>
      </c>
      <c r="CN321" s="69">
        <v>201000</v>
      </c>
      <c r="CO321" s="32" t="s">
        <v>4384</v>
      </c>
      <c r="CP321" s="163">
        <v>355</v>
      </c>
      <c r="CQ321" s="21">
        <f t="shared" si="169"/>
        <v>390.50000000000006</v>
      </c>
      <c r="CR321" s="21">
        <v>470</v>
      </c>
      <c r="CS321" s="21">
        <f t="shared" si="169"/>
        <v>517</v>
      </c>
      <c r="CT321" s="61">
        <v>200000</v>
      </c>
      <c r="CU321" s="306" t="s">
        <v>5654</v>
      </c>
      <c r="CV321" s="21">
        <v>39</v>
      </c>
      <c r="CW321" s="33">
        <v>2.5</v>
      </c>
      <c r="CX321" s="67">
        <v>35000</v>
      </c>
      <c r="CY321" s="207" t="s">
        <v>5792</v>
      </c>
      <c r="CZ321" s="208" t="s">
        <v>5792</v>
      </c>
      <c r="DA321" s="209" t="s">
        <v>5792</v>
      </c>
      <c r="DB321" s="283" t="s">
        <v>5792</v>
      </c>
      <c r="DC321" s="163">
        <v>8.8000000000000007</v>
      </c>
      <c r="DD321" s="163">
        <v>640</v>
      </c>
      <c r="DE321" s="163">
        <v>752</v>
      </c>
      <c r="DF321" s="163">
        <v>800</v>
      </c>
      <c r="DG321" s="163">
        <v>987</v>
      </c>
      <c r="DH321" s="97">
        <v>205000</v>
      </c>
      <c r="DI321" s="29" t="s">
        <v>5657</v>
      </c>
      <c r="DJ321" s="163" t="s">
        <v>4435</v>
      </c>
      <c r="DK321" s="297" t="s">
        <v>4566</v>
      </c>
    </row>
    <row r="322" spans="1:115" ht="15.6" customHeight="1">
      <c r="A322" s="306">
        <v>317</v>
      </c>
      <c r="B322" s="326"/>
      <c r="C322" s="326"/>
      <c r="D322" s="343"/>
      <c r="E322" s="343"/>
      <c r="F322" s="326"/>
      <c r="G322" s="337"/>
      <c r="H322" s="337"/>
      <c r="I322" s="337"/>
      <c r="J322" s="41" t="s">
        <v>4400</v>
      </c>
      <c r="K322" s="306" t="s">
        <v>4383</v>
      </c>
      <c r="L322" s="163" t="s">
        <v>5792</v>
      </c>
      <c r="M322" s="306" t="s">
        <v>4509</v>
      </c>
      <c r="N322" s="163" t="s">
        <v>4703</v>
      </c>
      <c r="O322" s="18" t="s">
        <v>4507</v>
      </c>
      <c r="P322" s="163" t="s">
        <v>6312</v>
      </c>
      <c r="Q322" s="163" t="s">
        <v>4470</v>
      </c>
      <c r="R322" s="163" t="s">
        <v>4420</v>
      </c>
      <c r="S322" s="163" t="s">
        <v>5792</v>
      </c>
      <c r="T322" s="163" t="s">
        <v>4420</v>
      </c>
      <c r="U322" s="163" t="s">
        <v>5792</v>
      </c>
      <c r="V322" s="163" t="s">
        <v>4559</v>
      </c>
      <c r="W322" s="73">
        <v>8</v>
      </c>
      <c r="X322" s="230">
        <v>0</v>
      </c>
      <c r="Y322" s="18">
        <v>0</v>
      </c>
      <c r="Z322" s="306" t="s">
        <v>4647</v>
      </c>
      <c r="AA322" s="21">
        <f>INDEX('[2]Cross-Section Database'!$C$2:$V$2928,MATCH(Z322,'[2]Cross-Section Database'!$B$2:$B$2928,0),3)</f>
        <v>200</v>
      </c>
      <c r="AB322" s="21">
        <f>INDEX('[2]Cross-Section Database'!$C$2:$V$2928,MATCH(Z322,'[2]Cross-Section Database'!$B$2:$B$2928,0),4)</f>
        <v>200</v>
      </c>
      <c r="AC322" s="21">
        <f>INDEX('[2]Cross-Section Database'!$C$2:$V$2928,MATCH(Z322,'[2]Cross-Section Database'!$B$2:$B$2928,0),6)</f>
        <v>8</v>
      </c>
      <c r="AD322" s="21">
        <f>INDEX('[2]Cross-Section Database'!$C$2:$V$2928,MATCH(Z322,'[2]Cross-Section Database'!$B$2:$B$2928,0),5)</f>
        <v>8</v>
      </c>
      <c r="AE322" s="21">
        <v>1800</v>
      </c>
      <c r="AF322" s="306" t="s">
        <v>4225</v>
      </c>
      <c r="AG322" s="21">
        <f>INDEX('[2]Cross-Section Database'!$C$2:$V$2928,MATCH(AF322,'[2]Cross-Section Database'!$B$2:$B$2928,0),3)</f>
        <v>363.4</v>
      </c>
      <c r="AH322" s="21">
        <f>INDEX('[2]Cross-Section Database'!$C$2:$V$2928,MATCH(AF322,'[2]Cross-Section Database'!$B$2:$B$2928,0),4)</f>
        <v>173.2</v>
      </c>
      <c r="AI322" s="21">
        <f>INDEX('[2]Cross-Section Database'!$C$2:$V$2928,MATCH(AF322,'[2]Cross-Section Database'!$B$2:$B$2928,0),6)</f>
        <v>15.7</v>
      </c>
      <c r="AJ322" s="21">
        <f>INDEX('[2]Cross-Section Database'!$C$2:$V$2928,MATCH(AF322,'[2]Cross-Section Database'!$B$2:$B$2928,0),5)</f>
        <v>9.1</v>
      </c>
      <c r="AK322" s="21">
        <v>1000</v>
      </c>
      <c r="AL322" s="21">
        <f>INDEX('[2]Cross-Section Database'!$C$2:$V$3928,MATCH(AF322,'[2]Cross-Section Database'!$B$2:$B$3928,0),11)</f>
        <v>194600000</v>
      </c>
      <c r="AM322" s="24">
        <f>INDEX('[2]Cross-Section Database'!$C$2:$V$3928,MATCH(AF322,'[2]Cross-Section Database'!$B$2:$B$3928,0),12)</f>
        <v>1211000</v>
      </c>
      <c r="AN322" s="21">
        <v>25</v>
      </c>
      <c r="AO322" s="21">
        <v>220</v>
      </c>
      <c r="AP322" s="21">
        <v>404</v>
      </c>
      <c r="AQ322" s="21">
        <f t="shared" si="167"/>
        <v>20.300000000000011</v>
      </c>
      <c r="AR322" s="21">
        <f t="shared" si="162"/>
        <v>20.300000000000011</v>
      </c>
      <c r="AS322" s="306" t="s">
        <v>5653</v>
      </c>
      <c r="AT322" s="32" t="s">
        <v>5658</v>
      </c>
      <c r="AU322" s="33">
        <v>57.064004999999995</v>
      </c>
      <c r="AV322" s="163">
        <v>16</v>
      </c>
      <c r="AW322" s="163">
        <f t="shared" si="160"/>
        <v>157</v>
      </c>
      <c r="AX322" s="21">
        <f t="shared" si="168"/>
        <v>86.000000000000014</v>
      </c>
      <c r="AY322" s="21">
        <f t="shared" si="170"/>
        <v>118</v>
      </c>
      <c r="AZ322" s="21">
        <v>100</v>
      </c>
      <c r="BA322" s="21">
        <v>120</v>
      </c>
      <c r="BB322" s="21">
        <v>0</v>
      </c>
      <c r="BC322" s="15" t="s">
        <v>4470</v>
      </c>
      <c r="BD322" s="163" t="s">
        <v>6209</v>
      </c>
      <c r="BE322" s="163" t="s">
        <v>6209</v>
      </c>
      <c r="BF322" s="163">
        <v>2</v>
      </c>
      <c r="BG322" s="18">
        <v>6</v>
      </c>
      <c r="BH322" s="202" t="s">
        <v>5792</v>
      </c>
      <c r="BI322" s="203" t="s">
        <v>5792</v>
      </c>
      <c r="BJ322" s="203" t="s">
        <v>5792</v>
      </c>
      <c r="BK322" s="203" t="s">
        <v>5792</v>
      </c>
      <c r="BL322" s="203" t="s">
        <v>5792</v>
      </c>
      <c r="BM322" s="203" t="s">
        <v>5792</v>
      </c>
      <c r="BN322" s="203" t="s">
        <v>5792</v>
      </c>
      <c r="BO322" s="203" t="s">
        <v>5792</v>
      </c>
      <c r="BP322" s="202" t="s">
        <v>5792</v>
      </c>
      <c r="BQ322" s="203" t="s">
        <v>5792</v>
      </c>
      <c r="BR322" s="203" t="s">
        <v>5792</v>
      </c>
      <c r="BS322" s="203" t="s">
        <v>5792</v>
      </c>
      <c r="BT322" s="203" t="s">
        <v>5792</v>
      </c>
      <c r="BU322" s="203" t="s">
        <v>5792</v>
      </c>
      <c r="BV322" s="218" t="s">
        <v>5792</v>
      </c>
      <c r="BW322" s="203" t="s">
        <v>5792</v>
      </c>
      <c r="BX322" s="203" t="s">
        <v>5792</v>
      </c>
      <c r="BY322" s="203" t="s">
        <v>5792</v>
      </c>
      <c r="BZ322" s="203" t="s">
        <v>5792</v>
      </c>
      <c r="CA322" s="203" t="s">
        <v>5792</v>
      </c>
      <c r="CB322" s="218" t="s">
        <v>5792</v>
      </c>
      <c r="CC322" s="306" t="s">
        <v>4384</v>
      </c>
      <c r="CD322" s="163">
        <v>355</v>
      </c>
      <c r="CE322" s="21">
        <v>449</v>
      </c>
      <c r="CF322" s="21">
        <v>470</v>
      </c>
      <c r="CG322" s="21">
        <v>520</v>
      </c>
      <c r="CH322" s="69">
        <v>199000</v>
      </c>
      <c r="CI322" s="306" t="s">
        <v>4384</v>
      </c>
      <c r="CJ322" s="163">
        <v>355</v>
      </c>
      <c r="CK322" s="21">
        <v>394</v>
      </c>
      <c r="CL322" s="21">
        <v>470</v>
      </c>
      <c r="CM322" s="21">
        <v>501</v>
      </c>
      <c r="CN322" s="69">
        <v>205000</v>
      </c>
      <c r="CO322" s="32" t="s">
        <v>4384</v>
      </c>
      <c r="CP322" s="163">
        <v>355</v>
      </c>
      <c r="CQ322" s="21">
        <f t="shared" si="169"/>
        <v>390.50000000000006</v>
      </c>
      <c r="CR322" s="21">
        <v>470</v>
      </c>
      <c r="CS322" s="21">
        <f t="shared" si="169"/>
        <v>517</v>
      </c>
      <c r="CT322" s="61">
        <v>200000</v>
      </c>
      <c r="CU322" s="306" t="s">
        <v>5654</v>
      </c>
      <c r="CV322" s="21">
        <v>40</v>
      </c>
      <c r="CW322" s="33">
        <v>2.5</v>
      </c>
      <c r="CX322" s="67">
        <v>35000</v>
      </c>
      <c r="CY322" s="207" t="s">
        <v>5792</v>
      </c>
      <c r="CZ322" s="208" t="s">
        <v>5792</v>
      </c>
      <c r="DA322" s="209" t="s">
        <v>5792</v>
      </c>
      <c r="DB322" s="283" t="s">
        <v>5792</v>
      </c>
      <c r="DC322" s="163">
        <v>8.8000000000000007</v>
      </c>
      <c r="DD322" s="163">
        <v>640</v>
      </c>
      <c r="DE322" s="163">
        <v>752</v>
      </c>
      <c r="DF322" s="163">
        <v>800</v>
      </c>
      <c r="DG322" s="163">
        <v>987</v>
      </c>
      <c r="DH322" s="97">
        <v>205000</v>
      </c>
      <c r="DI322" s="29" t="s">
        <v>5657</v>
      </c>
      <c r="DJ322" s="163" t="s">
        <v>4435</v>
      </c>
      <c r="DK322" s="297" t="s">
        <v>4566</v>
      </c>
    </row>
    <row r="323" spans="1:115" ht="15.6" customHeight="1">
      <c r="A323" s="306">
        <v>318</v>
      </c>
      <c r="B323" s="326"/>
      <c r="C323" s="326"/>
      <c r="D323" s="343"/>
      <c r="E323" s="343"/>
      <c r="F323" s="326"/>
      <c r="G323" s="337"/>
      <c r="H323" s="337"/>
      <c r="I323" s="337"/>
      <c r="J323" s="41" t="s">
        <v>4401</v>
      </c>
      <c r="K323" s="306" t="s">
        <v>4383</v>
      </c>
      <c r="L323" s="163" t="s">
        <v>5792</v>
      </c>
      <c r="M323" s="306" t="s">
        <v>4509</v>
      </c>
      <c r="N323" s="163" t="s">
        <v>4703</v>
      </c>
      <c r="O323" s="18" t="s">
        <v>4507</v>
      </c>
      <c r="P323" s="163" t="s">
        <v>6312</v>
      </c>
      <c r="Q323" s="163" t="s">
        <v>4470</v>
      </c>
      <c r="R323" s="163" t="s">
        <v>4420</v>
      </c>
      <c r="S323" s="163" t="s">
        <v>5792</v>
      </c>
      <c r="T323" s="163" t="s">
        <v>4420</v>
      </c>
      <c r="U323" s="163" t="s">
        <v>5792</v>
      </c>
      <c r="V323" s="163" t="s">
        <v>4559</v>
      </c>
      <c r="W323" s="73">
        <v>8</v>
      </c>
      <c r="X323" s="230">
        <v>0</v>
      </c>
      <c r="Y323" s="18">
        <v>0</v>
      </c>
      <c r="Z323" s="306" t="s">
        <v>4730</v>
      </c>
      <c r="AA323" s="21">
        <f>INDEX('[2]Cross-Section Database'!$C$2:$V$2928,MATCH(Z323,'[2]Cross-Section Database'!$B$2:$B$2928,0),3)</f>
        <v>200</v>
      </c>
      <c r="AB323" s="21">
        <f>INDEX('[2]Cross-Section Database'!$C$2:$V$2928,MATCH(Z323,'[2]Cross-Section Database'!$B$2:$B$2928,0),4)</f>
        <v>200</v>
      </c>
      <c r="AC323" s="21">
        <f>INDEX('[2]Cross-Section Database'!$C$2:$V$2928,MATCH(Z323,'[2]Cross-Section Database'!$B$2:$B$2928,0),6)</f>
        <v>12.5</v>
      </c>
      <c r="AD323" s="21">
        <f>INDEX('[2]Cross-Section Database'!$C$2:$V$2928,MATCH(Z323,'[2]Cross-Section Database'!$B$2:$B$2928,0),5)</f>
        <v>12.5</v>
      </c>
      <c r="AE323" s="21">
        <v>1800</v>
      </c>
      <c r="AF323" s="306" t="s">
        <v>4234</v>
      </c>
      <c r="AG323" s="21">
        <f>INDEX('[2]Cross-Section Database'!$C$2:$V$2928,MATCH(AF323,'[2]Cross-Section Database'!$B$2:$B$2928,0),3)</f>
        <v>449.8</v>
      </c>
      <c r="AH323" s="21">
        <f>INDEX('[2]Cross-Section Database'!$C$2:$V$2928,MATCH(AF323,'[2]Cross-Section Database'!$B$2:$B$2928,0),4)</f>
        <v>152.4</v>
      </c>
      <c r="AI323" s="21">
        <f>INDEX('[2]Cross-Section Database'!$C$2:$V$2928,MATCH(AF323,'[2]Cross-Section Database'!$B$2:$B$2928,0),6)</f>
        <v>10.9</v>
      </c>
      <c r="AJ323" s="21">
        <f>INDEX('[2]Cross-Section Database'!$C$2:$V$2928,MATCH(AF323,'[2]Cross-Section Database'!$B$2:$B$2928,0),5)</f>
        <v>7.6</v>
      </c>
      <c r="AK323" s="21">
        <v>1000</v>
      </c>
      <c r="AL323" s="21">
        <f>INDEX('[2]Cross-Section Database'!$C$2:$V$3928,MATCH(AF323,'[2]Cross-Section Database'!$B$2:$B$3928,0),11)</f>
        <v>213700000</v>
      </c>
      <c r="AM323" s="24">
        <f>INDEX('[2]Cross-Section Database'!$C$2:$V$3928,MATCH(AF323,'[2]Cross-Section Database'!$B$2:$B$3928,0),12)</f>
        <v>1096000</v>
      </c>
      <c r="AN323" s="21">
        <v>25</v>
      </c>
      <c r="AO323" s="21">
        <v>200</v>
      </c>
      <c r="AP323" s="21">
        <v>490</v>
      </c>
      <c r="AQ323" s="21">
        <f t="shared" si="167"/>
        <v>20.099999999999994</v>
      </c>
      <c r="AR323" s="21">
        <f t="shared" si="162"/>
        <v>20.099999999999994</v>
      </c>
      <c r="AS323" s="306" t="s">
        <v>5653</v>
      </c>
      <c r="AT323" s="32" t="s">
        <v>5658</v>
      </c>
      <c r="AU323" s="33">
        <v>48.374054999999998</v>
      </c>
      <c r="AV323" s="163">
        <v>16</v>
      </c>
      <c r="AW323" s="163">
        <f t="shared" si="160"/>
        <v>157</v>
      </c>
      <c r="AX323" s="21">
        <f t="shared" si="168"/>
        <v>81</v>
      </c>
      <c r="AY323" s="21">
        <f t="shared" si="170"/>
        <v>129</v>
      </c>
      <c r="AZ323" s="21">
        <v>140</v>
      </c>
      <c r="BA323" s="21">
        <v>120</v>
      </c>
      <c r="BB323" s="21">
        <v>0</v>
      </c>
      <c r="BC323" s="15" t="s">
        <v>4470</v>
      </c>
      <c r="BD323" s="163" t="s">
        <v>6209</v>
      </c>
      <c r="BE323" s="163" t="s">
        <v>6209</v>
      </c>
      <c r="BF323" s="163">
        <v>2</v>
      </c>
      <c r="BG323" s="18">
        <v>6</v>
      </c>
      <c r="BH323" s="202" t="s">
        <v>5792</v>
      </c>
      <c r="BI323" s="203" t="s">
        <v>5792</v>
      </c>
      <c r="BJ323" s="203" t="s">
        <v>5792</v>
      </c>
      <c r="BK323" s="203" t="s">
        <v>5792</v>
      </c>
      <c r="BL323" s="203" t="s">
        <v>5792</v>
      </c>
      <c r="BM323" s="203" t="s">
        <v>5792</v>
      </c>
      <c r="BN323" s="203" t="s">
        <v>5792</v>
      </c>
      <c r="BO323" s="203" t="s">
        <v>5792</v>
      </c>
      <c r="BP323" s="202" t="s">
        <v>5792</v>
      </c>
      <c r="BQ323" s="203" t="s">
        <v>5792</v>
      </c>
      <c r="BR323" s="203" t="s">
        <v>5792</v>
      </c>
      <c r="BS323" s="203" t="s">
        <v>5792</v>
      </c>
      <c r="BT323" s="203" t="s">
        <v>5792</v>
      </c>
      <c r="BU323" s="203" t="s">
        <v>5792</v>
      </c>
      <c r="BV323" s="218" t="s">
        <v>5792</v>
      </c>
      <c r="BW323" s="203" t="s">
        <v>5792</v>
      </c>
      <c r="BX323" s="203" t="s">
        <v>5792</v>
      </c>
      <c r="BY323" s="203" t="s">
        <v>5792</v>
      </c>
      <c r="BZ323" s="203" t="s">
        <v>5792</v>
      </c>
      <c r="CA323" s="203" t="s">
        <v>5792</v>
      </c>
      <c r="CB323" s="218" t="s">
        <v>5792</v>
      </c>
      <c r="CC323" s="306" t="s">
        <v>4384</v>
      </c>
      <c r="CD323" s="163">
        <v>355</v>
      </c>
      <c r="CE323" s="21">
        <v>437</v>
      </c>
      <c r="CF323" s="21">
        <v>470</v>
      </c>
      <c r="CG323" s="21">
        <v>507</v>
      </c>
      <c r="CH323" s="69">
        <v>205000</v>
      </c>
      <c r="CI323" s="306" t="s">
        <v>4384</v>
      </c>
      <c r="CJ323" s="163">
        <v>355</v>
      </c>
      <c r="CK323" s="21">
        <v>385</v>
      </c>
      <c r="CL323" s="21">
        <v>470</v>
      </c>
      <c r="CM323" s="21">
        <v>495</v>
      </c>
      <c r="CN323" s="69">
        <v>201000</v>
      </c>
      <c r="CO323" s="32" t="s">
        <v>4384</v>
      </c>
      <c r="CP323" s="163">
        <v>355</v>
      </c>
      <c r="CQ323" s="21">
        <f t="shared" si="169"/>
        <v>390.50000000000006</v>
      </c>
      <c r="CR323" s="21">
        <v>470</v>
      </c>
      <c r="CS323" s="21">
        <f t="shared" si="169"/>
        <v>517</v>
      </c>
      <c r="CT323" s="61">
        <v>200000</v>
      </c>
      <c r="CU323" s="306" t="s">
        <v>5654</v>
      </c>
      <c r="CV323" s="21">
        <v>42</v>
      </c>
      <c r="CW323" s="33">
        <v>2.5</v>
      </c>
      <c r="CX323" s="67">
        <v>35000</v>
      </c>
      <c r="CY323" s="207" t="s">
        <v>5792</v>
      </c>
      <c r="CZ323" s="208" t="s">
        <v>5792</v>
      </c>
      <c r="DA323" s="209" t="s">
        <v>5792</v>
      </c>
      <c r="DB323" s="283" t="s">
        <v>5792</v>
      </c>
      <c r="DC323" s="163">
        <v>8.8000000000000007</v>
      </c>
      <c r="DD323" s="163">
        <v>640</v>
      </c>
      <c r="DE323" s="163">
        <v>752</v>
      </c>
      <c r="DF323" s="163">
        <v>800</v>
      </c>
      <c r="DG323" s="163">
        <v>987</v>
      </c>
      <c r="DH323" s="97">
        <v>205000</v>
      </c>
      <c r="DI323" s="29" t="s">
        <v>5657</v>
      </c>
      <c r="DJ323" s="163" t="s">
        <v>4435</v>
      </c>
      <c r="DK323" s="297" t="s">
        <v>4566</v>
      </c>
    </row>
    <row r="324" spans="1:115">
      <c r="A324" s="306">
        <v>319</v>
      </c>
      <c r="B324" s="326"/>
      <c r="C324" s="326"/>
      <c r="D324" s="343"/>
      <c r="E324" s="343"/>
      <c r="F324" s="326"/>
      <c r="G324" s="337"/>
      <c r="H324" s="337"/>
      <c r="I324" s="337"/>
      <c r="J324" s="41" t="s">
        <v>4402</v>
      </c>
      <c r="K324" s="306" t="s">
        <v>4383</v>
      </c>
      <c r="L324" s="163" t="s">
        <v>5792</v>
      </c>
      <c r="M324" s="306" t="s">
        <v>4509</v>
      </c>
      <c r="N324" s="163" t="s">
        <v>4703</v>
      </c>
      <c r="O324" s="18" t="s">
        <v>4507</v>
      </c>
      <c r="P324" s="163" t="s">
        <v>6312</v>
      </c>
      <c r="Q324" s="163" t="s">
        <v>4470</v>
      </c>
      <c r="R324" s="163" t="s">
        <v>4420</v>
      </c>
      <c r="S324" s="163" t="s">
        <v>5792</v>
      </c>
      <c r="T324" s="163" t="s">
        <v>4420</v>
      </c>
      <c r="U324" s="163" t="s">
        <v>5792</v>
      </c>
      <c r="V324" s="163" t="s">
        <v>4559</v>
      </c>
      <c r="W324" s="73">
        <v>8</v>
      </c>
      <c r="X324" s="230">
        <v>0</v>
      </c>
      <c r="Y324" s="18">
        <v>0</v>
      </c>
      <c r="Z324" s="306" t="s">
        <v>5488</v>
      </c>
      <c r="AA324" s="21">
        <f>INDEX('[2]Cross-Section Database'!$C$2:$V$2928,MATCH(Z324,'[2]Cross-Section Database'!$B$2:$B$2928,0),3)</f>
        <v>200</v>
      </c>
      <c r="AB324" s="21">
        <f>INDEX('[2]Cross-Section Database'!$C$2:$V$2928,MATCH(Z324,'[2]Cross-Section Database'!$B$2:$B$2928,0),4)</f>
        <v>200</v>
      </c>
      <c r="AC324" s="21">
        <f>INDEX('[2]Cross-Section Database'!$C$2:$V$2928,MATCH(Z324,'[2]Cross-Section Database'!$B$2:$B$2928,0),6)</f>
        <v>10</v>
      </c>
      <c r="AD324" s="21">
        <f>INDEX('[2]Cross-Section Database'!$C$2:$V$2928,MATCH(Z324,'[2]Cross-Section Database'!$B$2:$B$2928,0),5)</f>
        <v>10</v>
      </c>
      <c r="AE324" s="21">
        <v>1800</v>
      </c>
      <c r="AF324" s="306" t="s">
        <v>4225</v>
      </c>
      <c r="AG324" s="21">
        <f>INDEX('[2]Cross-Section Database'!$C$2:$V$2928,MATCH(AF324,'[2]Cross-Section Database'!$B$2:$B$2928,0),3)</f>
        <v>363.4</v>
      </c>
      <c r="AH324" s="21">
        <f>INDEX('[2]Cross-Section Database'!$C$2:$V$2928,MATCH(AF324,'[2]Cross-Section Database'!$B$2:$B$2928,0),4)</f>
        <v>173.2</v>
      </c>
      <c r="AI324" s="21">
        <f>INDEX('[2]Cross-Section Database'!$C$2:$V$2928,MATCH(AF324,'[2]Cross-Section Database'!$B$2:$B$2928,0),6)</f>
        <v>15.7</v>
      </c>
      <c r="AJ324" s="21">
        <f>INDEX('[2]Cross-Section Database'!$C$2:$V$2928,MATCH(AF324,'[2]Cross-Section Database'!$B$2:$B$2928,0),5)</f>
        <v>9.1</v>
      </c>
      <c r="AK324" s="21">
        <v>1000</v>
      </c>
      <c r="AL324" s="21">
        <f>INDEX('[2]Cross-Section Database'!$C$2:$V$3928,MATCH(AF324,'[2]Cross-Section Database'!$B$2:$B$3928,0),11)</f>
        <v>194600000</v>
      </c>
      <c r="AM324" s="24">
        <f>INDEX('[2]Cross-Section Database'!$C$2:$V$3928,MATCH(AF324,'[2]Cross-Section Database'!$B$2:$B$3928,0),12)</f>
        <v>1211000</v>
      </c>
      <c r="AN324" s="21">
        <v>25</v>
      </c>
      <c r="AO324" s="21">
        <v>220</v>
      </c>
      <c r="AP324" s="21">
        <v>404</v>
      </c>
      <c r="AQ324" s="21">
        <f t="shared" si="167"/>
        <v>20.300000000000011</v>
      </c>
      <c r="AR324" s="21">
        <f t="shared" si="162"/>
        <v>20.300000000000011</v>
      </c>
      <c r="AS324" s="306" t="s">
        <v>5653</v>
      </c>
      <c r="AT324" s="32" t="s">
        <v>5658</v>
      </c>
      <c r="AU324" s="33">
        <v>61.602090000000004</v>
      </c>
      <c r="AV324" s="163">
        <v>16</v>
      </c>
      <c r="AW324" s="163">
        <f t="shared" si="160"/>
        <v>157</v>
      </c>
      <c r="AX324" s="21">
        <f t="shared" si="168"/>
        <v>86.000000000000014</v>
      </c>
      <c r="AY324" s="21">
        <f t="shared" si="170"/>
        <v>118</v>
      </c>
      <c r="AZ324" s="21">
        <v>100</v>
      </c>
      <c r="BA324" s="21">
        <v>120</v>
      </c>
      <c r="BB324" s="21">
        <v>0</v>
      </c>
      <c r="BC324" s="15" t="s">
        <v>4470</v>
      </c>
      <c r="BD324" s="163" t="s">
        <v>6209</v>
      </c>
      <c r="BE324" s="163" t="s">
        <v>6209</v>
      </c>
      <c r="BF324" s="163">
        <v>2</v>
      </c>
      <c r="BG324" s="18">
        <v>6</v>
      </c>
      <c r="BH324" s="202" t="s">
        <v>5792</v>
      </c>
      <c r="BI324" s="203" t="s">
        <v>5792</v>
      </c>
      <c r="BJ324" s="203" t="s">
        <v>5792</v>
      </c>
      <c r="BK324" s="203" t="s">
        <v>5792</v>
      </c>
      <c r="BL324" s="203" t="s">
        <v>5792</v>
      </c>
      <c r="BM324" s="203" t="s">
        <v>5792</v>
      </c>
      <c r="BN324" s="203" t="s">
        <v>5792</v>
      </c>
      <c r="BO324" s="203" t="s">
        <v>5792</v>
      </c>
      <c r="BP324" s="202" t="s">
        <v>5792</v>
      </c>
      <c r="BQ324" s="203" t="s">
        <v>5792</v>
      </c>
      <c r="BR324" s="203" t="s">
        <v>5792</v>
      </c>
      <c r="BS324" s="203" t="s">
        <v>5792</v>
      </c>
      <c r="BT324" s="203" t="s">
        <v>5792</v>
      </c>
      <c r="BU324" s="203" t="s">
        <v>5792</v>
      </c>
      <c r="BV324" s="218" t="s">
        <v>5792</v>
      </c>
      <c r="BW324" s="203" t="s">
        <v>5792</v>
      </c>
      <c r="BX324" s="203" t="s">
        <v>5792</v>
      </c>
      <c r="BY324" s="203" t="s">
        <v>5792</v>
      </c>
      <c r="BZ324" s="203" t="s">
        <v>5792</v>
      </c>
      <c r="CA324" s="203" t="s">
        <v>5792</v>
      </c>
      <c r="CB324" s="218" t="s">
        <v>5792</v>
      </c>
      <c r="CC324" s="306" t="s">
        <v>4384</v>
      </c>
      <c r="CD324" s="163">
        <v>355</v>
      </c>
      <c r="CE324" s="21">
        <v>440</v>
      </c>
      <c r="CF324" s="21">
        <v>470</v>
      </c>
      <c r="CG324" s="21">
        <v>517</v>
      </c>
      <c r="CH324" s="69">
        <v>205000</v>
      </c>
      <c r="CI324" s="306" t="s">
        <v>4384</v>
      </c>
      <c r="CJ324" s="163">
        <v>355</v>
      </c>
      <c r="CK324" s="21">
        <v>394</v>
      </c>
      <c r="CL324" s="21">
        <v>470</v>
      </c>
      <c r="CM324" s="21">
        <v>501</v>
      </c>
      <c r="CN324" s="69">
        <v>205000</v>
      </c>
      <c r="CO324" s="32" t="s">
        <v>4384</v>
      </c>
      <c r="CP324" s="163">
        <v>355</v>
      </c>
      <c r="CQ324" s="21">
        <f t="shared" si="169"/>
        <v>390.50000000000006</v>
      </c>
      <c r="CR324" s="21">
        <v>470</v>
      </c>
      <c r="CS324" s="21">
        <f t="shared" si="169"/>
        <v>517</v>
      </c>
      <c r="CT324" s="61">
        <v>200000</v>
      </c>
      <c r="CU324" s="306" t="s">
        <v>5654</v>
      </c>
      <c r="CV324" s="64">
        <v>40</v>
      </c>
      <c r="CW324" s="33">
        <v>2.5</v>
      </c>
      <c r="CX324" s="67">
        <v>35000</v>
      </c>
      <c r="CY324" s="207" t="s">
        <v>5792</v>
      </c>
      <c r="CZ324" s="208" t="s">
        <v>5792</v>
      </c>
      <c r="DA324" s="209" t="s">
        <v>5792</v>
      </c>
      <c r="DB324" s="283" t="s">
        <v>5792</v>
      </c>
      <c r="DC324" s="163">
        <v>8.8000000000000007</v>
      </c>
      <c r="DD324" s="163">
        <v>640</v>
      </c>
      <c r="DE324" s="163">
        <v>752</v>
      </c>
      <c r="DF324" s="163">
        <v>800</v>
      </c>
      <c r="DG324" s="163">
        <v>987</v>
      </c>
      <c r="DH324" s="97">
        <v>205000</v>
      </c>
      <c r="DI324" s="29" t="s">
        <v>5657</v>
      </c>
      <c r="DJ324" s="163" t="s">
        <v>4435</v>
      </c>
      <c r="DK324" s="297" t="s">
        <v>4566</v>
      </c>
    </row>
    <row r="325" spans="1:115" ht="16.2" thickBot="1">
      <c r="A325" s="143">
        <v>320</v>
      </c>
      <c r="B325" s="327"/>
      <c r="C325" s="327"/>
      <c r="D325" s="344"/>
      <c r="E325" s="344"/>
      <c r="F325" s="327"/>
      <c r="G325" s="338"/>
      <c r="H325" s="338"/>
      <c r="I325" s="338"/>
      <c r="J325" s="42" t="s">
        <v>4403</v>
      </c>
      <c r="K325" s="143" t="s">
        <v>4383</v>
      </c>
      <c r="L325" s="164" t="s">
        <v>5792</v>
      </c>
      <c r="M325" s="143" t="s">
        <v>4509</v>
      </c>
      <c r="N325" s="164" t="s">
        <v>4703</v>
      </c>
      <c r="O325" s="14" t="s">
        <v>4507</v>
      </c>
      <c r="P325" s="164" t="s">
        <v>6312</v>
      </c>
      <c r="Q325" s="164" t="s">
        <v>4470</v>
      </c>
      <c r="R325" s="164" t="s">
        <v>4420</v>
      </c>
      <c r="S325" s="164" t="s">
        <v>5792</v>
      </c>
      <c r="T325" s="164" t="s">
        <v>4420</v>
      </c>
      <c r="U325" s="164" t="s">
        <v>5792</v>
      </c>
      <c r="V325" s="164" t="s">
        <v>4559</v>
      </c>
      <c r="W325" s="118">
        <v>8</v>
      </c>
      <c r="X325" s="235">
        <v>0</v>
      </c>
      <c r="Y325" s="14">
        <v>0</v>
      </c>
      <c r="Z325" s="143" t="s">
        <v>5488</v>
      </c>
      <c r="AA325" s="23">
        <f>INDEX('[2]Cross-Section Database'!$C$2:$V$2928,MATCH(Z325,'[2]Cross-Section Database'!$B$2:$B$2928,0),3)</f>
        <v>200</v>
      </c>
      <c r="AB325" s="23">
        <f>INDEX('[2]Cross-Section Database'!$C$2:$V$2928,MATCH(Z325,'[2]Cross-Section Database'!$B$2:$B$2928,0),4)</f>
        <v>200</v>
      </c>
      <c r="AC325" s="23">
        <f>INDEX('[2]Cross-Section Database'!$C$2:$V$2928,MATCH(Z325,'[2]Cross-Section Database'!$B$2:$B$2928,0),6)</f>
        <v>10</v>
      </c>
      <c r="AD325" s="23">
        <f>INDEX('[2]Cross-Section Database'!$C$2:$V$2928,MATCH(Z325,'[2]Cross-Section Database'!$B$2:$B$2928,0),5)</f>
        <v>10</v>
      </c>
      <c r="AE325" s="23">
        <v>1800</v>
      </c>
      <c r="AF325" s="143" t="s">
        <v>4225</v>
      </c>
      <c r="AG325" s="23">
        <f>INDEX('[2]Cross-Section Database'!$C$2:$V$2928,MATCH(AF325,'[2]Cross-Section Database'!$B$2:$B$2928,0),3)</f>
        <v>363.4</v>
      </c>
      <c r="AH325" s="23">
        <f>INDEX('[2]Cross-Section Database'!$C$2:$V$2928,MATCH(AF325,'[2]Cross-Section Database'!$B$2:$B$2928,0),4)</f>
        <v>173.2</v>
      </c>
      <c r="AI325" s="23">
        <f>INDEX('[2]Cross-Section Database'!$C$2:$V$2928,MATCH(AF325,'[2]Cross-Section Database'!$B$2:$B$2928,0),6)</f>
        <v>15.7</v>
      </c>
      <c r="AJ325" s="23">
        <f>INDEX('[2]Cross-Section Database'!$C$2:$V$2928,MATCH(AF325,'[2]Cross-Section Database'!$B$2:$B$2928,0),5)</f>
        <v>9.1</v>
      </c>
      <c r="AK325" s="23">
        <v>1000</v>
      </c>
      <c r="AL325" s="21">
        <f>INDEX('[2]Cross-Section Database'!$C$2:$V$3928,MATCH(AF325,'[2]Cross-Section Database'!$B$2:$B$3928,0),11)</f>
        <v>194600000</v>
      </c>
      <c r="AM325" s="24">
        <f>INDEX('[2]Cross-Section Database'!$C$2:$V$3928,MATCH(AF325,'[2]Cross-Section Database'!$B$2:$B$3928,0),12)</f>
        <v>1211000</v>
      </c>
      <c r="AN325" s="23">
        <v>25</v>
      </c>
      <c r="AO325" s="23">
        <v>220</v>
      </c>
      <c r="AP325" s="23">
        <v>404</v>
      </c>
      <c r="AQ325" s="23">
        <f t="shared" si="167"/>
        <v>20.300000000000011</v>
      </c>
      <c r="AR325" s="23">
        <f t="shared" si="162"/>
        <v>20.300000000000011</v>
      </c>
      <c r="AS325" s="143" t="s">
        <v>5653</v>
      </c>
      <c r="AT325" s="34" t="s">
        <v>5658</v>
      </c>
      <c r="AU325" s="35">
        <v>55</v>
      </c>
      <c r="AV325" s="164">
        <v>16</v>
      </c>
      <c r="AW325" s="164">
        <f t="shared" si="160"/>
        <v>157</v>
      </c>
      <c r="AX325" s="23">
        <f t="shared" si="168"/>
        <v>86.000000000000014</v>
      </c>
      <c r="AY325" s="23">
        <f t="shared" si="170"/>
        <v>118</v>
      </c>
      <c r="AZ325" s="23">
        <v>100</v>
      </c>
      <c r="BA325" s="23">
        <v>120</v>
      </c>
      <c r="BB325" s="23">
        <v>0</v>
      </c>
      <c r="BC325" s="19" t="s">
        <v>4470</v>
      </c>
      <c r="BD325" s="164" t="s">
        <v>6209</v>
      </c>
      <c r="BE325" s="164" t="s">
        <v>6209</v>
      </c>
      <c r="BF325" s="164">
        <v>2</v>
      </c>
      <c r="BG325" s="14">
        <v>6</v>
      </c>
      <c r="BH325" s="197" t="s">
        <v>5792</v>
      </c>
      <c r="BI325" s="198" t="s">
        <v>5792</v>
      </c>
      <c r="BJ325" s="198" t="s">
        <v>5792</v>
      </c>
      <c r="BK325" s="198" t="s">
        <v>5792</v>
      </c>
      <c r="BL325" s="198" t="s">
        <v>5792</v>
      </c>
      <c r="BM325" s="198" t="s">
        <v>5792</v>
      </c>
      <c r="BN325" s="198" t="s">
        <v>5792</v>
      </c>
      <c r="BO325" s="198" t="s">
        <v>5792</v>
      </c>
      <c r="BP325" s="197" t="s">
        <v>5792</v>
      </c>
      <c r="BQ325" s="198" t="s">
        <v>5792</v>
      </c>
      <c r="BR325" s="198" t="s">
        <v>5792</v>
      </c>
      <c r="BS325" s="198" t="s">
        <v>5792</v>
      </c>
      <c r="BT325" s="198" t="s">
        <v>5792</v>
      </c>
      <c r="BU325" s="198" t="s">
        <v>5792</v>
      </c>
      <c r="BV325" s="220" t="s">
        <v>5792</v>
      </c>
      <c r="BW325" s="198" t="s">
        <v>5792</v>
      </c>
      <c r="BX325" s="198" t="s">
        <v>5792</v>
      </c>
      <c r="BY325" s="198" t="s">
        <v>5792</v>
      </c>
      <c r="BZ325" s="198" t="s">
        <v>5792</v>
      </c>
      <c r="CA325" s="198" t="s">
        <v>5792</v>
      </c>
      <c r="CB325" s="220" t="s">
        <v>5792</v>
      </c>
      <c r="CC325" s="143" t="s">
        <v>4384</v>
      </c>
      <c r="CD325" s="164">
        <v>355</v>
      </c>
      <c r="CE325" s="23">
        <v>440</v>
      </c>
      <c r="CF325" s="23">
        <v>470</v>
      </c>
      <c r="CG325" s="23">
        <v>517</v>
      </c>
      <c r="CH325" s="83">
        <v>205000</v>
      </c>
      <c r="CI325" s="143" t="s">
        <v>4384</v>
      </c>
      <c r="CJ325" s="164">
        <v>355</v>
      </c>
      <c r="CK325" s="23">
        <v>394</v>
      </c>
      <c r="CL325" s="23">
        <v>470</v>
      </c>
      <c r="CM325" s="23">
        <v>501</v>
      </c>
      <c r="CN325" s="83">
        <v>205000</v>
      </c>
      <c r="CO325" s="34" t="s">
        <v>4384</v>
      </c>
      <c r="CP325" s="164">
        <v>355</v>
      </c>
      <c r="CQ325" s="23">
        <f t="shared" si="169"/>
        <v>390.50000000000006</v>
      </c>
      <c r="CR325" s="23">
        <v>470</v>
      </c>
      <c r="CS325" s="23">
        <f t="shared" si="169"/>
        <v>517</v>
      </c>
      <c r="CT325" s="61">
        <v>200000</v>
      </c>
      <c r="CU325" s="143" t="s">
        <v>5655</v>
      </c>
      <c r="CV325" s="84">
        <v>60</v>
      </c>
      <c r="CW325" s="35">
        <v>2.5</v>
      </c>
      <c r="CX325" s="70">
        <v>35000</v>
      </c>
      <c r="CY325" s="210" t="s">
        <v>5792</v>
      </c>
      <c r="CZ325" s="211" t="s">
        <v>5792</v>
      </c>
      <c r="DA325" s="212" t="s">
        <v>5792</v>
      </c>
      <c r="DB325" s="284" t="s">
        <v>5792</v>
      </c>
      <c r="DC325" s="164">
        <v>8.8000000000000007</v>
      </c>
      <c r="DD325" s="164">
        <v>640</v>
      </c>
      <c r="DE325" s="164">
        <v>752</v>
      </c>
      <c r="DF325" s="164">
        <v>800</v>
      </c>
      <c r="DG325" s="164">
        <v>987</v>
      </c>
      <c r="DH325" s="99">
        <v>205000</v>
      </c>
      <c r="DI325" s="27" t="s">
        <v>5657</v>
      </c>
      <c r="DJ325" s="306" t="s">
        <v>4435</v>
      </c>
      <c r="DK325" s="297" t="s">
        <v>4566</v>
      </c>
    </row>
    <row r="326" spans="1:115">
      <c r="A326" s="305">
        <v>321</v>
      </c>
      <c r="B326" s="325">
        <v>49</v>
      </c>
      <c r="C326" s="325">
        <v>2014</v>
      </c>
      <c r="D326" s="325" t="s">
        <v>5963</v>
      </c>
      <c r="E326" s="325" t="s">
        <v>5973</v>
      </c>
      <c r="F326" s="325">
        <v>2</v>
      </c>
      <c r="G326" s="328" t="s">
        <v>5968</v>
      </c>
      <c r="H326" s="325" t="s">
        <v>5964</v>
      </c>
      <c r="I326" s="325" t="s">
        <v>5679</v>
      </c>
      <c r="J326" s="43" t="s">
        <v>5966</v>
      </c>
      <c r="K326" s="305" t="s">
        <v>4383</v>
      </c>
      <c r="L326" s="162" t="s">
        <v>5792</v>
      </c>
      <c r="M326" s="305" t="s">
        <v>4509</v>
      </c>
      <c r="N326" s="162" t="s">
        <v>4703</v>
      </c>
      <c r="O326" s="17" t="s">
        <v>4507</v>
      </c>
      <c r="P326" s="162" t="s">
        <v>4420</v>
      </c>
      <c r="Q326" s="162" t="s">
        <v>4420</v>
      </c>
      <c r="R326" s="162" t="s">
        <v>4420</v>
      </c>
      <c r="S326" s="162" t="s">
        <v>5792</v>
      </c>
      <c r="T326" s="162" t="s">
        <v>4420</v>
      </c>
      <c r="U326" s="162" t="s">
        <v>5792</v>
      </c>
      <c r="V326" s="302" t="s">
        <v>4560</v>
      </c>
      <c r="W326" s="48">
        <v>0</v>
      </c>
      <c r="X326" s="239">
        <v>0</v>
      </c>
      <c r="Y326" s="17">
        <v>0</v>
      </c>
      <c r="Z326" s="299" t="s">
        <v>3997</v>
      </c>
      <c r="AA326" s="16">
        <f>INDEX('[2]Cross-Section Database'!$C$2:$V$2928,MATCH(Z326,'[2]Cross-Section Database'!$B$2:$B$2928,0),3)</f>
        <v>290</v>
      </c>
      <c r="AB326" s="16">
        <f>INDEX('[2]Cross-Section Database'!$C$2:$V$2928,MATCH(Z326,'[2]Cross-Section Database'!$B$2:$B$2928,0),4)</f>
        <v>300</v>
      </c>
      <c r="AC326" s="16">
        <f>INDEX('[2]Cross-Section Database'!$C$2:$V$2928,MATCH(Z326,'[2]Cross-Section Database'!$B$2:$B$2928,0),6)</f>
        <v>14</v>
      </c>
      <c r="AD326" s="16">
        <f>INDEX('[2]Cross-Section Database'!$C$2:$V$2928,MATCH(Z326,'[2]Cross-Section Database'!$B$2:$B$2928,0),5)</f>
        <v>8.5</v>
      </c>
      <c r="AE326" s="51">
        <v>1200</v>
      </c>
      <c r="AF326" s="299" t="s">
        <v>3998</v>
      </c>
      <c r="AG326" s="16">
        <f>INDEX('[2]Cross-Section Database'!$C$2:$V$23928,MATCH(AF326,'[2]Cross-Section Database'!$B$2:$B$3928,0),3)</f>
        <v>300</v>
      </c>
      <c r="AH326" s="16">
        <f>INDEX('[2]Cross-Section Database'!$C$2:$V$3928,MATCH(AF326,'[2]Cross-Section Database'!$B$2:$B$3928,0),4)</f>
        <v>300</v>
      </c>
      <c r="AI326" s="16">
        <f>INDEX('[2]Cross-Section Database'!$C$2:$V$3928,MATCH(AF326,'[2]Cross-Section Database'!$B$2:$B$3928,0),6)</f>
        <v>19</v>
      </c>
      <c r="AJ326" s="16">
        <f>INDEX('[2]Cross-Section Database'!$C$2:$V$3928,MATCH(AF326,'[2]Cross-Section Database'!$B$2:$B$3928,0),5)</f>
        <v>11</v>
      </c>
      <c r="AK326" s="16">
        <v>1525</v>
      </c>
      <c r="AL326" s="16">
        <f>INDEX('[2]Cross-Section Database'!$C$2:$V$3928,MATCH(AF326,'[2]Cross-Section Database'!$B$2:$B$3928,0),11)</f>
        <v>251700000</v>
      </c>
      <c r="AM326" s="26">
        <f>INDEX('[2]Cross-Section Database'!$C$2:$V$3928,MATCH(AF326,'[2]Cross-Section Database'!$B$2:$B$3928,0),12)</f>
        <v>1869000</v>
      </c>
      <c r="AN326" s="45">
        <v>30</v>
      </c>
      <c r="AO326" s="45">
        <v>320</v>
      </c>
      <c r="AP326" s="45">
        <v>320</v>
      </c>
      <c r="AQ326" s="45">
        <v>10</v>
      </c>
      <c r="AR326" s="45">
        <v>10</v>
      </c>
      <c r="AS326" s="305" t="s">
        <v>5807</v>
      </c>
      <c r="AT326" s="162" t="s">
        <v>5965</v>
      </c>
      <c r="AU326" s="16">
        <f>480/AV326/0.25</f>
        <v>96</v>
      </c>
      <c r="AV326" s="302">
        <v>20</v>
      </c>
      <c r="AW326" s="302">
        <f>IF(AV326=24,353,IF(AV326=22,303,IF(AV326=20,245,IF(AV326=16,157,0))))</f>
        <v>245</v>
      </c>
      <c r="AX326" s="45">
        <v>65</v>
      </c>
      <c r="AY326" s="45">
        <v>65</v>
      </c>
      <c r="AZ326" s="45">
        <v>0</v>
      </c>
      <c r="BA326" s="45">
        <v>110</v>
      </c>
      <c r="BB326" s="45">
        <v>190</v>
      </c>
      <c r="BC326" s="247" t="s">
        <v>4470</v>
      </c>
      <c r="BD326" s="302" t="s">
        <v>6211</v>
      </c>
      <c r="BE326" s="302" t="s">
        <v>6211</v>
      </c>
      <c r="BF326" s="302">
        <v>4</v>
      </c>
      <c r="BG326" s="302">
        <v>8</v>
      </c>
      <c r="BH326" s="200" t="s">
        <v>5792</v>
      </c>
      <c r="BI326" s="201" t="s">
        <v>5792</v>
      </c>
      <c r="BJ326" s="201" t="s">
        <v>5792</v>
      </c>
      <c r="BK326" s="201" t="s">
        <v>5792</v>
      </c>
      <c r="BL326" s="201" t="s">
        <v>5792</v>
      </c>
      <c r="BM326" s="201" t="s">
        <v>5792</v>
      </c>
      <c r="BN326" s="201" t="s">
        <v>5792</v>
      </c>
      <c r="BO326" s="201" t="s">
        <v>5792</v>
      </c>
      <c r="BP326" s="200" t="s">
        <v>5792</v>
      </c>
      <c r="BQ326" s="201" t="s">
        <v>5792</v>
      </c>
      <c r="BR326" s="201" t="s">
        <v>5792</v>
      </c>
      <c r="BS326" s="201" t="s">
        <v>5792</v>
      </c>
      <c r="BT326" s="201" t="s">
        <v>5792</v>
      </c>
      <c r="BU326" s="201" t="s">
        <v>5792</v>
      </c>
      <c r="BV326" s="219" t="s">
        <v>5792</v>
      </c>
      <c r="BW326" s="201" t="s">
        <v>5792</v>
      </c>
      <c r="BX326" s="201" t="s">
        <v>5792</v>
      </c>
      <c r="BY326" s="201" t="s">
        <v>5792</v>
      </c>
      <c r="BZ326" s="201" t="s">
        <v>5792</v>
      </c>
      <c r="CA326" s="201" t="s">
        <v>5792</v>
      </c>
      <c r="CB326" s="219" t="s">
        <v>5792</v>
      </c>
      <c r="CC326" s="305" t="s">
        <v>5969</v>
      </c>
      <c r="CD326" s="162">
        <v>235</v>
      </c>
      <c r="CE326" s="16">
        <v>353</v>
      </c>
      <c r="CF326" s="162">
        <v>360</v>
      </c>
      <c r="CG326" s="16">
        <v>433</v>
      </c>
      <c r="CH326" s="66">
        <v>200000</v>
      </c>
      <c r="CI326" s="305" t="s">
        <v>5969</v>
      </c>
      <c r="CJ326" s="162">
        <v>235</v>
      </c>
      <c r="CK326" s="16">
        <v>346</v>
      </c>
      <c r="CL326" s="162">
        <v>360</v>
      </c>
      <c r="CM326" s="16">
        <v>433</v>
      </c>
      <c r="CN326" s="66">
        <v>200000</v>
      </c>
      <c r="CO326" s="305" t="s">
        <v>5970</v>
      </c>
      <c r="CP326" s="162">
        <v>355</v>
      </c>
      <c r="CQ326" s="16">
        <v>366</v>
      </c>
      <c r="CR326" s="162">
        <v>470</v>
      </c>
      <c r="CS326" s="16">
        <v>538</v>
      </c>
      <c r="CT326" s="66">
        <v>200000</v>
      </c>
      <c r="CU326" s="204" t="s">
        <v>5792</v>
      </c>
      <c r="CV326" s="205" t="s">
        <v>5792</v>
      </c>
      <c r="CW326" s="205" t="s">
        <v>5792</v>
      </c>
      <c r="CX326" s="206" t="s">
        <v>5792</v>
      </c>
      <c r="CY326" s="204" t="s">
        <v>5792</v>
      </c>
      <c r="CZ326" s="205" t="s">
        <v>5792</v>
      </c>
      <c r="DA326" s="206" t="s">
        <v>5792</v>
      </c>
      <c r="DB326" s="282" t="s">
        <v>5792</v>
      </c>
      <c r="DC326" s="162">
        <v>10.9</v>
      </c>
      <c r="DD326" s="162">
        <v>900</v>
      </c>
      <c r="DE326" s="30">
        <v>990</v>
      </c>
      <c r="DF326" s="162">
        <v>1000</v>
      </c>
      <c r="DG326" s="30">
        <v>1100</v>
      </c>
      <c r="DH326" s="76">
        <v>200000</v>
      </c>
      <c r="DI326" s="248" t="s">
        <v>5971</v>
      </c>
      <c r="DJ326" s="302" t="s">
        <v>4435</v>
      </c>
      <c r="DK326" s="296" t="s">
        <v>4566</v>
      </c>
    </row>
    <row r="327" spans="1:115" ht="16.2" thickBot="1">
      <c r="A327" s="301">
        <v>322</v>
      </c>
      <c r="B327" s="327"/>
      <c r="C327" s="327"/>
      <c r="D327" s="327"/>
      <c r="E327" s="327"/>
      <c r="F327" s="327"/>
      <c r="G327" s="330"/>
      <c r="H327" s="327"/>
      <c r="I327" s="327"/>
      <c r="J327" s="246" t="s">
        <v>5967</v>
      </c>
      <c r="K327" s="301" t="s">
        <v>4383</v>
      </c>
      <c r="L327" s="304" t="s">
        <v>5792</v>
      </c>
      <c r="M327" s="301" t="s">
        <v>4509</v>
      </c>
      <c r="N327" s="304" t="s">
        <v>4703</v>
      </c>
      <c r="O327" s="50" t="s">
        <v>4507</v>
      </c>
      <c r="P327" s="304" t="s">
        <v>4420</v>
      </c>
      <c r="Q327" s="304" t="s">
        <v>4420</v>
      </c>
      <c r="R327" s="304" t="s">
        <v>4420</v>
      </c>
      <c r="S327" s="304" t="s">
        <v>5792</v>
      </c>
      <c r="T327" s="304" t="s">
        <v>4420</v>
      </c>
      <c r="U327" s="304" t="s">
        <v>5792</v>
      </c>
      <c r="V327" s="304" t="s">
        <v>4560</v>
      </c>
      <c r="W327" s="50">
        <v>0</v>
      </c>
      <c r="X327" s="235">
        <v>0</v>
      </c>
      <c r="Y327" s="14">
        <v>0</v>
      </c>
      <c r="Z327" s="301" t="s">
        <v>3998</v>
      </c>
      <c r="AA327" s="23">
        <f>INDEX('[2]Cross-Section Database'!$C$2:$V$2928,MATCH(Z327,'[2]Cross-Section Database'!$B$2:$B$2928,0),3)</f>
        <v>300</v>
      </c>
      <c r="AB327" s="23">
        <f>INDEX('[2]Cross-Section Database'!$C$2:$V$2928,MATCH(Z327,'[2]Cross-Section Database'!$B$2:$B$2928,0),4)</f>
        <v>300</v>
      </c>
      <c r="AC327" s="23">
        <f>INDEX('[2]Cross-Section Database'!$C$2:$V$2928,MATCH(Z327,'[2]Cross-Section Database'!$B$2:$B$2928,0),6)</f>
        <v>19</v>
      </c>
      <c r="AD327" s="23">
        <f>INDEX('[2]Cross-Section Database'!$C$2:$V$2928,MATCH(Z327,'[2]Cross-Section Database'!$B$2:$B$2928,0),5)</f>
        <v>11</v>
      </c>
      <c r="AE327" s="57">
        <v>1200</v>
      </c>
      <c r="AF327" s="301" t="s">
        <v>3998</v>
      </c>
      <c r="AG327" s="23">
        <f>INDEX('[2]Cross-Section Database'!$C$2:$V$23928,MATCH(AF327,'[2]Cross-Section Database'!$B$2:$B$3928,0),3)</f>
        <v>300</v>
      </c>
      <c r="AH327" s="23">
        <f>INDEX('[2]Cross-Section Database'!$C$2:$V$3928,MATCH(AF327,'[2]Cross-Section Database'!$B$2:$B$3928,0),4)</f>
        <v>300</v>
      </c>
      <c r="AI327" s="23">
        <f>INDEX('[2]Cross-Section Database'!$C$2:$V$3928,MATCH(AF327,'[2]Cross-Section Database'!$B$2:$B$3928,0),6)</f>
        <v>19</v>
      </c>
      <c r="AJ327" s="23">
        <f>INDEX('[2]Cross-Section Database'!$C$2:$V$3928,MATCH(AF327,'[2]Cross-Section Database'!$B$2:$B$3928,0),5)</f>
        <v>11</v>
      </c>
      <c r="AK327" s="23">
        <v>1525</v>
      </c>
      <c r="AL327" s="23">
        <f>INDEX('[2]Cross-Section Database'!$C$2:$V$3928,MATCH(AF327,'[2]Cross-Section Database'!$B$2:$B$3928,0),11)</f>
        <v>251700000</v>
      </c>
      <c r="AM327" s="25">
        <f>INDEX('[2]Cross-Section Database'!$C$2:$V$3928,MATCH(AF327,'[2]Cross-Section Database'!$B$2:$B$3928,0),12)</f>
        <v>1869000</v>
      </c>
      <c r="AN327" s="56">
        <v>30</v>
      </c>
      <c r="AO327" s="56">
        <v>320</v>
      </c>
      <c r="AP327" s="56">
        <v>320</v>
      </c>
      <c r="AQ327" s="56">
        <v>10</v>
      </c>
      <c r="AR327" s="56">
        <v>10</v>
      </c>
      <c r="AS327" s="143" t="s">
        <v>5807</v>
      </c>
      <c r="AT327" s="164" t="s">
        <v>5965</v>
      </c>
      <c r="AU327" s="23">
        <f>480/AV327/0.25</f>
        <v>96</v>
      </c>
      <c r="AV327" s="304">
        <v>20</v>
      </c>
      <c r="AW327" s="304">
        <f>IF(AV327=24,353,IF(AV327=22,303,IF(AV327=20,245,IF(AV327=16,157,0))))</f>
        <v>245</v>
      </c>
      <c r="AX327" s="56">
        <v>65</v>
      </c>
      <c r="AY327" s="56">
        <v>65</v>
      </c>
      <c r="AZ327" s="56">
        <v>0</v>
      </c>
      <c r="BA327" s="56">
        <v>110</v>
      </c>
      <c r="BB327" s="56">
        <v>190</v>
      </c>
      <c r="BC327" s="242" t="s">
        <v>4470</v>
      </c>
      <c r="BD327" s="304" t="s">
        <v>6211</v>
      </c>
      <c r="BE327" s="304" t="s">
        <v>6211</v>
      </c>
      <c r="BF327" s="304">
        <v>4</v>
      </c>
      <c r="BG327" s="304">
        <v>8</v>
      </c>
      <c r="BH327" s="197" t="s">
        <v>5792</v>
      </c>
      <c r="BI327" s="198" t="s">
        <v>5792</v>
      </c>
      <c r="BJ327" s="198" t="s">
        <v>5792</v>
      </c>
      <c r="BK327" s="198" t="s">
        <v>5792</v>
      </c>
      <c r="BL327" s="198" t="s">
        <v>5792</v>
      </c>
      <c r="BM327" s="198" t="s">
        <v>5792</v>
      </c>
      <c r="BN327" s="198" t="s">
        <v>5792</v>
      </c>
      <c r="BO327" s="198" t="s">
        <v>5792</v>
      </c>
      <c r="BP327" s="197" t="s">
        <v>5792</v>
      </c>
      <c r="BQ327" s="198" t="s">
        <v>5792</v>
      </c>
      <c r="BR327" s="198" t="s">
        <v>5792</v>
      </c>
      <c r="BS327" s="198" t="s">
        <v>5792</v>
      </c>
      <c r="BT327" s="198" t="s">
        <v>5792</v>
      </c>
      <c r="BU327" s="198" t="s">
        <v>5792</v>
      </c>
      <c r="BV327" s="220" t="s">
        <v>5792</v>
      </c>
      <c r="BW327" s="198" t="s">
        <v>5792</v>
      </c>
      <c r="BX327" s="198" t="s">
        <v>5792</v>
      </c>
      <c r="BY327" s="198" t="s">
        <v>5792</v>
      </c>
      <c r="BZ327" s="198" t="s">
        <v>5792</v>
      </c>
      <c r="CA327" s="198" t="s">
        <v>5792</v>
      </c>
      <c r="CB327" s="220" t="s">
        <v>5792</v>
      </c>
      <c r="CC327" s="143" t="s">
        <v>5969</v>
      </c>
      <c r="CD327" s="164">
        <v>235</v>
      </c>
      <c r="CE327" s="23">
        <v>346</v>
      </c>
      <c r="CF327" s="164">
        <v>360</v>
      </c>
      <c r="CG327" s="23">
        <v>433</v>
      </c>
      <c r="CH327" s="70">
        <v>200000</v>
      </c>
      <c r="CI327" s="143" t="s">
        <v>5969</v>
      </c>
      <c r="CJ327" s="164">
        <v>235</v>
      </c>
      <c r="CK327" s="23">
        <v>346</v>
      </c>
      <c r="CL327" s="164">
        <v>360</v>
      </c>
      <c r="CM327" s="23">
        <v>433</v>
      </c>
      <c r="CN327" s="70">
        <v>200000</v>
      </c>
      <c r="CO327" s="143" t="s">
        <v>5970</v>
      </c>
      <c r="CP327" s="164">
        <v>355</v>
      </c>
      <c r="CQ327" s="23">
        <v>366</v>
      </c>
      <c r="CR327" s="164">
        <v>470</v>
      </c>
      <c r="CS327" s="23">
        <v>538</v>
      </c>
      <c r="CT327" s="70">
        <v>200000</v>
      </c>
      <c r="CU327" s="210" t="s">
        <v>5792</v>
      </c>
      <c r="CV327" s="211" t="s">
        <v>5792</v>
      </c>
      <c r="CW327" s="211" t="s">
        <v>5792</v>
      </c>
      <c r="CX327" s="212" t="s">
        <v>5792</v>
      </c>
      <c r="CY327" s="210" t="s">
        <v>5792</v>
      </c>
      <c r="CZ327" s="211" t="s">
        <v>5792</v>
      </c>
      <c r="DA327" s="212" t="s">
        <v>5792</v>
      </c>
      <c r="DB327" s="284" t="s">
        <v>5792</v>
      </c>
      <c r="DC327" s="164">
        <v>10.9</v>
      </c>
      <c r="DD327" s="164">
        <v>900</v>
      </c>
      <c r="DE327" s="34">
        <v>990</v>
      </c>
      <c r="DF327" s="13">
        <v>1000</v>
      </c>
      <c r="DG327" s="34">
        <v>1100</v>
      </c>
      <c r="DH327" s="77">
        <v>200000</v>
      </c>
      <c r="DI327" s="249" t="s">
        <v>5971</v>
      </c>
      <c r="DJ327" s="304" t="s">
        <v>4435</v>
      </c>
      <c r="DK327" s="298" t="s">
        <v>4566</v>
      </c>
    </row>
    <row r="328" spans="1:115">
      <c r="A328" s="305">
        <v>323</v>
      </c>
      <c r="B328" s="325">
        <v>50</v>
      </c>
      <c r="C328" s="325">
        <v>2016</v>
      </c>
      <c r="D328" s="339" t="s">
        <v>4684</v>
      </c>
      <c r="E328" s="339" t="s">
        <v>4844</v>
      </c>
      <c r="F328" s="325">
        <v>10</v>
      </c>
      <c r="G328" s="336" t="s">
        <v>5932</v>
      </c>
      <c r="H328" s="336" t="s">
        <v>5923</v>
      </c>
      <c r="I328" s="336" t="s">
        <v>6257</v>
      </c>
      <c r="J328" s="43" t="s">
        <v>4732</v>
      </c>
      <c r="K328" s="305" t="s">
        <v>4383</v>
      </c>
      <c r="L328" s="162" t="s">
        <v>5792</v>
      </c>
      <c r="M328" s="305" t="s">
        <v>4508</v>
      </c>
      <c r="N328" s="162" t="s">
        <v>4701</v>
      </c>
      <c r="O328" s="17" t="s">
        <v>4507</v>
      </c>
      <c r="P328" s="162" t="s">
        <v>4420</v>
      </c>
      <c r="Q328" s="162" t="s">
        <v>4420</v>
      </c>
      <c r="R328" s="162" t="s">
        <v>6169</v>
      </c>
      <c r="S328" s="162">
        <v>16</v>
      </c>
      <c r="T328" s="162" t="s">
        <v>4420</v>
      </c>
      <c r="U328" s="162" t="s">
        <v>5792</v>
      </c>
      <c r="V328" s="162" t="s">
        <v>4559</v>
      </c>
      <c r="W328" s="17">
        <v>8</v>
      </c>
      <c r="X328" s="230">
        <v>0</v>
      </c>
      <c r="Y328" s="18">
        <v>0</v>
      </c>
      <c r="Z328" s="306" t="s">
        <v>6340</v>
      </c>
      <c r="AA328" s="21">
        <f>INDEX('[2]Cross-Section Database'!$C$2:$V$2928,MATCH(Z328,'[2]Cross-Section Database'!$B$2:$B$2928,0),3)</f>
        <v>260</v>
      </c>
      <c r="AB328" s="21">
        <f>INDEX('[2]Cross-Section Database'!$C$2:$V$2928,MATCH(Z328,'[2]Cross-Section Database'!$B$2:$B$2928,0),4)</f>
        <v>256</v>
      </c>
      <c r="AC328" s="21">
        <f>INDEX('[2]Cross-Section Database'!$C$2:$V$2928,MATCH(Z328,'[2]Cross-Section Database'!$B$2:$B$2928,0),6)</f>
        <v>17.3</v>
      </c>
      <c r="AD328" s="21">
        <f>INDEX('[2]Cross-Section Database'!$C$2:$V$2928,MATCH(Z328,'[2]Cross-Section Database'!$B$2:$B$2928,0),5)</f>
        <v>10.5</v>
      </c>
      <c r="AE328" s="21">
        <v>830</v>
      </c>
      <c r="AF328" s="306" t="s">
        <v>6341</v>
      </c>
      <c r="AG328" s="16">
        <f>INDEX('[2]Cross-Section Database'!$C$2:$V$2928,MATCH(AF328,'[2]Cross-Section Database'!$B$2:$B$2928,0),3)</f>
        <v>460</v>
      </c>
      <c r="AH328" s="16">
        <f>INDEX('[2]Cross-Section Database'!$C$2:$V$2928,MATCH(AF328,'[2]Cross-Section Database'!$B$2:$B$2928,0),4)</f>
        <v>191</v>
      </c>
      <c r="AI328" s="16">
        <f>INDEX('[2]Cross-Section Database'!$C$2:$V$2928,MATCH(AF328,'[2]Cross-Section Database'!$B$2:$B$2928,0),6)</f>
        <v>16</v>
      </c>
      <c r="AJ328" s="16">
        <f>INDEX('[2]Cross-Section Database'!$C$2:$V$2928,MATCH(AF328,'[2]Cross-Section Database'!$B$2:$B$2928,0),5)</f>
        <v>9.9</v>
      </c>
      <c r="AK328" s="16">
        <v>1250</v>
      </c>
      <c r="AL328" s="16">
        <f>INDEX('[2]Cross-Section Database'!$C$2:$V$3928,MATCH(AF328,'[2]Cross-Section Database'!$B$2:$B$3928,0),11)</f>
        <v>372000000</v>
      </c>
      <c r="AM328" s="26">
        <f>INDEX('[2]Cross-Section Database'!$C$2:$V$3928,MATCH(AF328,'[2]Cross-Section Database'!$B$2:$B$3928,0),12)</f>
        <v>1840000</v>
      </c>
      <c r="AN328" s="21">
        <v>12</v>
      </c>
      <c r="AO328" s="21">
        <v>220</v>
      </c>
      <c r="AP328" s="21">
        <v>510</v>
      </c>
      <c r="AQ328" s="21">
        <f t="shared" si="167"/>
        <v>25</v>
      </c>
      <c r="AR328" s="21">
        <f t="shared" si="162"/>
        <v>25</v>
      </c>
      <c r="AS328" s="305" t="s">
        <v>5807</v>
      </c>
      <c r="AT328" s="163" t="s">
        <v>4605</v>
      </c>
      <c r="AU328" s="21">
        <f t="shared" ref="AU328:AU333" si="171">300/AV328/0.25</f>
        <v>50</v>
      </c>
      <c r="AV328" s="163">
        <v>24</v>
      </c>
      <c r="AW328" s="163">
        <f t="shared" si="160"/>
        <v>353</v>
      </c>
      <c r="AX328" s="21">
        <v>85</v>
      </c>
      <c r="AY328" s="21">
        <f t="shared" si="165"/>
        <v>85</v>
      </c>
      <c r="AZ328" s="21">
        <v>0</v>
      </c>
      <c r="BA328" s="21">
        <v>100</v>
      </c>
      <c r="BB328" s="21">
        <v>340</v>
      </c>
      <c r="BC328" s="15" t="s">
        <v>4470</v>
      </c>
      <c r="BD328" s="163" t="s">
        <v>6209</v>
      </c>
      <c r="BE328" s="163" t="s">
        <v>6209</v>
      </c>
      <c r="BF328" s="163">
        <v>2</v>
      </c>
      <c r="BG328" s="163">
        <v>4</v>
      </c>
      <c r="BH328" s="202" t="s">
        <v>5792</v>
      </c>
      <c r="BI328" s="203" t="s">
        <v>5792</v>
      </c>
      <c r="BJ328" s="203" t="s">
        <v>5792</v>
      </c>
      <c r="BK328" s="203" t="s">
        <v>5792</v>
      </c>
      <c r="BL328" s="203" t="s">
        <v>5792</v>
      </c>
      <c r="BM328" s="203" t="s">
        <v>5792</v>
      </c>
      <c r="BN328" s="203" t="s">
        <v>5792</v>
      </c>
      <c r="BO328" s="203" t="s">
        <v>5792</v>
      </c>
      <c r="BP328" s="202" t="s">
        <v>5792</v>
      </c>
      <c r="BQ328" s="203" t="s">
        <v>5792</v>
      </c>
      <c r="BR328" s="203" t="s">
        <v>5792</v>
      </c>
      <c r="BS328" s="203" t="s">
        <v>5792</v>
      </c>
      <c r="BT328" s="203" t="s">
        <v>5792</v>
      </c>
      <c r="BU328" s="203" t="s">
        <v>5792</v>
      </c>
      <c r="BV328" s="218" t="s">
        <v>5792</v>
      </c>
      <c r="BW328" s="203" t="s">
        <v>5792</v>
      </c>
      <c r="BX328" s="203" t="s">
        <v>5792</v>
      </c>
      <c r="BY328" s="203" t="s">
        <v>5792</v>
      </c>
      <c r="BZ328" s="203" t="s">
        <v>5792</v>
      </c>
      <c r="CA328" s="203" t="s">
        <v>5792</v>
      </c>
      <c r="CB328" s="218" t="s">
        <v>5792</v>
      </c>
      <c r="CC328" s="60" t="s">
        <v>5664</v>
      </c>
      <c r="CD328" s="60">
        <v>300</v>
      </c>
      <c r="CE328" s="47">
        <f t="shared" ref="CE328:CE333" si="172">(328.8+351.7)/2</f>
        <v>340.25</v>
      </c>
      <c r="CF328" s="21">
        <v>505</v>
      </c>
      <c r="CG328" s="21">
        <f t="shared" ref="CG328:CG333" si="173">(524.7+522.8)/2</f>
        <v>523.75</v>
      </c>
      <c r="CH328" s="69">
        <f t="shared" ref="CH328:CH333" si="174">(191700+202100)/2</f>
        <v>196900</v>
      </c>
      <c r="CI328" s="136" t="s">
        <v>5664</v>
      </c>
      <c r="CJ328" s="60">
        <v>300</v>
      </c>
      <c r="CK328" s="47">
        <f t="shared" ref="CK328:CK333" si="175">(352.2+398.8)/2</f>
        <v>375.5</v>
      </c>
      <c r="CL328" s="47">
        <v>505</v>
      </c>
      <c r="CM328" s="21">
        <f t="shared" ref="CM328:CM333" si="176">(530.6+551.4)/2</f>
        <v>541</v>
      </c>
      <c r="CN328" s="69">
        <f t="shared" ref="CN328:CN333" si="177">(200300+219300)/2</f>
        <v>209800</v>
      </c>
      <c r="CO328" s="32" t="s">
        <v>4450</v>
      </c>
      <c r="CP328" s="60">
        <v>275</v>
      </c>
      <c r="CQ328" s="21">
        <v>324.5</v>
      </c>
      <c r="CR328" s="47">
        <v>410</v>
      </c>
      <c r="CS328" s="21">
        <v>495.1</v>
      </c>
      <c r="CT328" s="61">
        <v>200000</v>
      </c>
      <c r="CU328" s="204" t="s">
        <v>5792</v>
      </c>
      <c r="CV328" s="205" t="s">
        <v>5792</v>
      </c>
      <c r="CW328" s="205" t="s">
        <v>5792</v>
      </c>
      <c r="CX328" s="206" t="s">
        <v>5792</v>
      </c>
      <c r="CY328" s="207" t="s">
        <v>5792</v>
      </c>
      <c r="CZ328" s="208" t="s">
        <v>5792</v>
      </c>
      <c r="DA328" s="209" t="s">
        <v>5792</v>
      </c>
      <c r="DB328" s="283" t="s">
        <v>5792</v>
      </c>
      <c r="DC328" s="163">
        <v>8.8000000000000007</v>
      </c>
      <c r="DD328" s="163">
        <v>640</v>
      </c>
      <c r="DE328" s="16">
        <v>890.2</v>
      </c>
      <c r="DF328" s="16">
        <v>800</v>
      </c>
      <c r="DG328" s="16">
        <v>980.6</v>
      </c>
      <c r="DH328" s="97">
        <v>199400</v>
      </c>
      <c r="DI328" s="29" t="s">
        <v>5838</v>
      </c>
      <c r="DJ328" s="162" t="s">
        <v>4435</v>
      </c>
      <c r="DK328" s="296" t="s">
        <v>4566</v>
      </c>
    </row>
    <row r="329" spans="1:115">
      <c r="A329" s="306">
        <v>324</v>
      </c>
      <c r="B329" s="326"/>
      <c r="C329" s="326"/>
      <c r="D329" s="340"/>
      <c r="E329" s="340"/>
      <c r="F329" s="326"/>
      <c r="G329" s="337"/>
      <c r="H329" s="337"/>
      <c r="I329" s="337"/>
      <c r="J329" s="309" t="s">
        <v>4733</v>
      </c>
      <c r="K329" s="306" t="s">
        <v>4383</v>
      </c>
      <c r="L329" s="163" t="s">
        <v>5792</v>
      </c>
      <c r="M329" s="306" t="s">
        <v>4508</v>
      </c>
      <c r="N329" s="163" t="s">
        <v>4701</v>
      </c>
      <c r="O329" s="18" t="s">
        <v>4507</v>
      </c>
      <c r="P329" s="163" t="s">
        <v>4470</v>
      </c>
      <c r="Q329" s="163" t="s">
        <v>4420</v>
      </c>
      <c r="R329" s="163" t="s">
        <v>6169</v>
      </c>
      <c r="S329" s="163">
        <v>16</v>
      </c>
      <c r="T329" s="163" t="s">
        <v>4420</v>
      </c>
      <c r="U329" s="163" t="s">
        <v>5792</v>
      </c>
      <c r="V329" s="163" t="s">
        <v>4559</v>
      </c>
      <c r="W329" s="18">
        <v>8</v>
      </c>
      <c r="X329" s="230">
        <v>0</v>
      </c>
      <c r="Y329" s="18">
        <v>0</v>
      </c>
      <c r="Z329" s="306" t="s">
        <v>6340</v>
      </c>
      <c r="AA329" s="21">
        <f>INDEX('[2]Cross-Section Database'!$C$2:$V$2928,MATCH(Z329,'[2]Cross-Section Database'!$B$2:$B$2928,0),3)</f>
        <v>260</v>
      </c>
      <c r="AB329" s="21">
        <f>INDEX('[2]Cross-Section Database'!$C$2:$V$2928,MATCH(Z329,'[2]Cross-Section Database'!$B$2:$B$2928,0),4)</f>
        <v>256</v>
      </c>
      <c r="AC329" s="21">
        <f>INDEX('[2]Cross-Section Database'!$C$2:$V$2928,MATCH(Z329,'[2]Cross-Section Database'!$B$2:$B$2928,0),6)</f>
        <v>17.3</v>
      </c>
      <c r="AD329" s="21">
        <f>INDEX('[2]Cross-Section Database'!$C$2:$V$2928,MATCH(Z329,'[2]Cross-Section Database'!$B$2:$B$2928,0),5)</f>
        <v>10.5</v>
      </c>
      <c r="AE329" s="21">
        <v>830</v>
      </c>
      <c r="AF329" s="306" t="s">
        <v>6341</v>
      </c>
      <c r="AG329" s="21">
        <f>INDEX('[2]Cross-Section Database'!$C$2:$V$2928,MATCH(AF329,'[2]Cross-Section Database'!$B$2:$B$2928,0),3)</f>
        <v>460</v>
      </c>
      <c r="AH329" s="21">
        <f>INDEX('[2]Cross-Section Database'!$C$2:$V$2928,MATCH(AF329,'[2]Cross-Section Database'!$B$2:$B$2928,0),4)</f>
        <v>191</v>
      </c>
      <c r="AI329" s="21">
        <f>INDEX('[2]Cross-Section Database'!$C$2:$V$2928,MATCH(AF329,'[2]Cross-Section Database'!$B$2:$B$2928,0),6)</f>
        <v>16</v>
      </c>
      <c r="AJ329" s="21">
        <f>INDEX('[2]Cross-Section Database'!$C$2:$V$2928,MATCH(AF329,'[2]Cross-Section Database'!$B$2:$B$2928,0),5)</f>
        <v>9.9</v>
      </c>
      <c r="AK329" s="21">
        <v>1250</v>
      </c>
      <c r="AL329" s="21">
        <f>INDEX('[2]Cross-Section Database'!$C$2:$V$3928,MATCH(AF329,'[2]Cross-Section Database'!$B$2:$B$3928,0),11)</f>
        <v>372000000</v>
      </c>
      <c r="AM329" s="24">
        <f>INDEX('[2]Cross-Section Database'!$C$2:$V$3928,MATCH(AF329,'[2]Cross-Section Database'!$B$2:$B$3928,0),12)</f>
        <v>1840000</v>
      </c>
      <c r="AN329" s="21">
        <v>12</v>
      </c>
      <c r="AO329" s="21">
        <v>220</v>
      </c>
      <c r="AP329" s="21">
        <v>510</v>
      </c>
      <c r="AQ329" s="21">
        <f t="shared" si="167"/>
        <v>25</v>
      </c>
      <c r="AR329" s="21">
        <f t="shared" si="162"/>
        <v>25</v>
      </c>
      <c r="AS329" s="306" t="s">
        <v>5807</v>
      </c>
      <c r="AT329" s="163" t="s">
        <v>4605</v>
      </c>
      <c r="AU329" s="21">
        <f t="shared" si="171"/>
        <v>50</v>
      </c>
      <c r="AV329" s="163">
        <v>24</v>
      </c>
      <c r="AW329" s="163">
        <f t="shared" si="160"/>
        <v>353</v>
      </c>
      <c r="AX329" s="21">
        <v>85</v>
      </c>
      <c r="AY329" s="21">
        <f t="shared" si="165"/>
        <v>85</v>
      </c>
      <c r="AZ329" s="21">
        <v>0</v>
      </c>
      <c r="BA329" s="21">
        <v>100</v>
      </c>
      <c r="BB329" s="21">
        <v>340</v>
      </c>
      <c r="BC329" s="15" t="s">
        <v>4470</v>
      </c>
      <c r="BD329" s="163" t="s">
        <v>6209</v>
      </c>
      <c r="BE329" s="163" t="s">
        <v>6209</v>
      </c>
      <c r="BF329" s="163">
        <v>2</v>
      </c>
      <c r="BG329" s="163">
        <v>4</v>
      </c>
      <c r="BH329" s="306">
        <v>120</v>
      </c>
      <c r="BI329" s="163">
        <v>1100</v>
      </c>
      <c r="BJ329" s="203" t="s">
        <v>5792</v>
      </c>
      <c r="BK329" s="203" t="s">
        <v>5792</v>
      </c>
      <c r="BL329" s="203" t="s">
        <v>5792</v>
      </c>
      <c r="BM329" s="203" t="s">
        <v>5792</v>
      </c>
      <c r="BN329" s="203" t="s">
        <v>5792</v>
      </c>
      <c r="BO329" s="203" t="s">
        <v>5792</v>
      </c>
      <c r="BP329" s="306" t="s">
        <v>5857</v>
      </c>
      <c r="BQ329" s="163">
        <v>6</v>
      </c>
      <c r="BR329" s="163">
        <v>2</v>
      </c>
      <c r="BS329" s="163">
        <v>20</v>
      </c>
      <c r="BT329" s="163">
        <v>120</v>
      </c>
      <c r="BU329" s="163">
        <v>120</v>
      </c>
      <c r="BV329" s="18">
        <v>525</v>
      </c>
      <c r="BW329" s="163" t="s">
        <v>4586</v>
      </c>
      <c r="BX329" s="163" t="s">
        <v>4602</v>
      </c>
      <c r="BY329" s="21">
        <f t="shared" ref="BY329:BY330" si="178">((BI329/150)+1)*PI()*10^2/4</f>
        <v>654.49846949787343</v>
      </c>
      <c r="BZ329" s="21">
        <f>6*PI()*16^2/4</f>
        <v>1206.3715789784806</v>
      </c>
      <c r="CA329" s="163">
        <v>30</v>
      </c>
      <c r="CB329" s="121">
        <f>BZ329/BH329/BI329</f>
        <v>9.1391786286248531E-3</v>
      </c>
      <c r="CC329" s="60" t="s">
        <v>5664</v>
      </c>
      <c r="CD329" s="60">
        <v>300</v>
      </c>
      <c r="CE329" s="47">
        <f t="shared" si="172"/>
        <v>340.25</v>
      </c>
      <c r="CF329" s="21">
        <v>505</v>
      </c>
      <c r="CG329" s="21">
        <f t="shared" si="173"/>
        <v>523.75</v>
      </c>
      <c r="CH329" s="69">
        <f t="shared" si="174"/>
        <v>196900</v>
      </c>
      <c r="CI329" s="136" t="s">
        <v>5664</v>
      </c>
      <c r="CJ329" s="60">
        <v>300</v>
      </c>
      <c r="CK329" s="47">
        <f t="shared" si="175"/>
        <v>375.5</v>
      </c>
      <c r="CL329" s="47">
        <v>505</v>
      </c>
      <c r="CM329" s="21">
        <f t="shared" si="176"/>
        <v>541</v>
      </c>
      <c r="CN329" s="69">
        <f t="shared" si="177"/>
        <v>209800</v>
      </c>
      <c r="CO329" s="32" t="s">
        <v>4450</v>
      </c>
      <c r="CP329" s="60">
        <v>275</v>
      </c>
      <c r="CQ329" s="21">
        <v>324.5</v>
      </c>
      <c r="CR329" s="47">
        <v>410</v>
      </c>
      <c r="CS329" s="21">
        <v>495.1</v>
      </c>
      <c r="CT329" s="61">
        <v>200000</v>
      </c>
      <c r="CU329" s="92" t="s">
        <v>5860</v>
      </c>
      <c r="CV329" s="64">
        <v>56.8</v>
      </c>
      <c r="CW329" s="64">
        <v>5.6</v>
      </c>
      <c r="CX329" s="69">
        <v>33889</v>
      </c>
      <c r="CY329" s="92">
        <v>543.1</v>
      </c>
      <c r="CZ329" s="64">
        <v>639.70000000000005</v>
      </c>
      <c r="DA329" s="69">
        <v>200700</v>
      </c>
      <c r="DB329" s="283" t="s">
        <v>5792</v>
      </c>
      <c r="DC329" s="163">
        <v>8.8000000000000007</v>
      </c>
      <c r="DD329" s="163">
        <v>640</v>
      </c>
      <c r="DE329" s="21">
        <v>890.2</v>
      </c>
      <c r="DF329" s="21">
        <v>800</v>
      </c>
      <c r="DG329" s="21">
        <v>980.6</v>
      </c>
      <c r="DH329" s="97">
        <v>199400</v>
      </c>
      <c r="DI329" s="29" t="s">
        <v>5854</v>
      </c>
      <c r="DJ329" s="163" t="s">
        <v>4435</v>
      </c>
      <c r="DK329" s="297" t="s">
        <v>4566</v>
      </c>
    </row>
    <row r="330" spans="1:115">
      <c r="A330" s="306">
        <v>325</v>
      </c>
      <c r="B330" s="326"/>
      <c r="C330" s="326"/>
      <c r="D330" s="340"/>
      <c r="E330" s="340"/>
      <c r="F330" s="326"/>
      <c r="G330" s="337"/>
      <c r="H330" s="337"/>
      <c r="I330" s="337"/>
      <c r="J330" s="309" t="s">
        <v>4734</v>
      </c>
      <c r="K330" s="306" t="s">
        <v>4383</v>
      </c>
      <c r="L330" s="163" t="s">
        <v>5792</v>
      </c>
      <c r="M330" s="306" t="s">
        <v>4508</v>
      </c>
      <c r="N330" s="163" t="s">
        <v>4701</v>
      </c>
      <c r="O330" s="18" t="s">
        <v>4507</v>
      </c>
      <c r="P330" s="163" t="s">
        <v>4470</v>
      </c>
      <c r="Q330" s="163" t="s">
        <v>4420</v>
      </c>
      <c r="R330" s="163" t="s">
        <v>6169</v>
      </c>
      <c r="S330" s="163">
        <v>16</v>
      </c>
      <c r="T330" s="163" t="s">
        <v>4420</v>
      </c>
      <c r="U330" s="163" t="s">
        <v>5792</v>
      </c>
      <c r="V330" s="163" t="s">
        <v>4559</v>
      </c>
      <c r="W330" s="18">
        <v>8</v>
      </c>
      <c r="X330" s="230">
        <v>0</v>
      </c>
      <c r="Y330" s="18">
        <v>0</v>
      </c>
      <c r="Z330" s="306" t="s">
        <v>6340</v>
      </c>
      <c r="AA330" s="21">
        <f>INDEX('[2]Cross-Section Database'!$C$2:$V$2928,MATCH(Z330,'[2]Cross-Section Database'!$B$2:$B$2928,0),3)</f>
        <v>260</v>
      </c>
      <c r="AB330" s="21">
        <f>INDEX('[2]Cross-Section Database'!$C$2:$V$2928,MATCH(Z330,'[2]Cross-Section Database'!$B$2:$B$2928,0),4)</f>
        <v>256</v>
      </c>
      <c r="AC330" s="21">
        <f>INDEX('[2]Cross-Section Database'!$C$2:$V$2928,MATCH(Z330,'[2]Cross-Section Database'!$B$2:$B$2928,0),6)</f>
        <v>17.3</v>
      </c>
      <c r="AD330" s="21">
        <f>INDEX('[2]Cross-Section Database'!$C$2:$V$2928,MATCH(Z330,'[2]Cross-Section Database'!$B$2:$B$2928,0),5)</f>
        <v>10.5</v>
      </c>
      <c r="AE330" s="21">
        <v>830</v>
      </c>
      <c r="AF330" s="306" t="s">
        <v>6341</v>
      </c>
      <c r="AG330" s="21">
        <f>INDEX('[2]Cross-Section Database'!$C$2:$V$2928,MATCH(AF330,'[2]Cross-Section Database'!$B$2:$B$2928,0),3)</f>
        <v>460</v>
      </c>
      <c r="AH330" s="21">
        <f>INDEX('[2]Cross-Section Database'!$C$2:$V$2928,MATCH(AF330,'[2]Cross-Section Database'!$B$2:$B$2928,0),4)</f>
        <v>191</v>
      </c>
      <c r="AI330" s="21">
        <f>INDEX('[2]Cross-Section Database'!$C$2:$V$2928,MATCH(AF330,'[2]Cross-Section Database'!$B$2:$B$2928,0),6)</f>
        <v>16</v>
      </c>
      <c r="AJ330" s="21">
        <f>INDEX('[2]Cross-Section Database'!$C$2:$V$2928,MATCH(AF330,'[2]Cross-Section Database'!$B$2:$B$2928,0),5)</f>
        <v>9.9</v>
      </c>
      <c r="AK330" s="21">
        <v>1250</v>
      </c>
      <c r="AL330" s="21">
        <f>INDEX('[2]Cross-Section Database'!$C$2:$V$3928,MATCH(AF330,'[2]Cross-Section Database'!$B$2:$B$3928,0),11)</f>
        <v>372000000</v>
      </c>
      <c r="AM330" s="24">
        <f>INDEX('[2]Cross-Section Database'!$C$2:$V$3928,MATCH(AF330,'[2]Cross-Section Database'!$B$2:$B$3928,0),12)</f>
        <v>1840000</v>
      </c>
      <c r="AN330" s="21">
        <v>10</v>
      </c>
      <c r="AO330" s="21">
        <v>220</v>
      </c>
      <c r="AP330" s="21">
        <v>510</v>
      </c>
      <c r="AQ330" s="21">
        <f t="shared" si="167"/>
        <v>25</v>
      </c>
      <c r="AR330" s="21">
        <f t="shared" si="162"/>
        <v>25</v>
      </c>
      <c r="AS330" s="306" t="s">
        <v>5807</v>
      </c>
      <c r="AT330" s="163" t="s">
        <v>4605</v>
      </c>
      <c r="AU330" s="21">
        <f t="shared" si="171"/>
        <v>50</v>
      </c>
      <c r="AV330" s="163">
        <v>24</v>
      </c>
      <c r="AW330" s="163">
        <f t="shared" si="160"/>
        <v>353</v>
      </c>
      <c r="AX330" s="21">
        <v>85</v>
      </c>
      <c r="AY330" s="21">
        <f t="shared" si="165"/>
        <v>85</v>
      </c>
      <c r="AZ330" s="21">
        <v>0</v>
      </c>
      <c r="BA330" s="21">
        <v>100</v>
      </c>
      <c r="BB330" s="21">
        <v>340</v>
      </c>
      <c r="BC330" s="15" t="s">
        <v>4470</v>
      </c>
      <c r="BD330" s="163" t="s">
        <v>6209</v>
      </c>
      <c r="BE330" s="163" t="s">
        <v>6209</v>
      </c>
      <c r="BF330" s="163">
        <v>2</v>
      </c>
      <c r="BG330" s="163">
        <v>4</v>
      </c>
      <c r="BH330" s="306">
        <v>120</v>
      </c>
      <c r="BI330" s="163">
        <v>1100</v>
      </c>
      <c r="BJ330" s="203" t="s">
        <v>5792</v>
      </c>
      <c r="BK330" s="203" t="s">
        <v>5792</v>
      </c>
      <c r="BL330" s="203" t="s">
        <v>5792</v>
      </c>
      <c r="BM330" s="203" t="s">
        <v>5792</v>
      </c>
      <c r="BN330" s="203" t="s">
        <v>5792</v>
      </c>
      <c r="BO330" s="203" t="s">
        <v>5792</v>
      </c>
      <c r="BP330" s="306" t="s">
        <v>5857</v>
      </c>
      <c r="BQ330" s="163">
        <v>4</v>
      </c>
      <c r="BR330" s="163">
        <v>2</v>
      </c>
      <c r="BS330" s="163">
        <v>16</v>
      </c>
      <c r="BT330" s="163">
        <v>120</v>
      </c>
      <c r="BU330" s="163">
        <v>120</v>
      </c>
      <c r="BV330" s="18">
        <v>1050</v>
      </c>
      <c r="BW330" s="163" t="s">
        <v>4586</v>
      </c>
      <c r="BX330" s="163" t="s">
        <v>4585</v>
      </c>
      <c r="BY330" s="21">
        <f t="shared" si="178"/>
        <v>654.49846949787343</v>
      </c>
      <c r="BZ330" s="21">
        <f>4*PI()*16^2/4+2*PI()*10^2/4</f>
        <v>961.32735199847673</v>
      </c>
      <c r="CA330" s="163">
        <v>30</v>
      </c>
      <c r="CB330" s="121">
        <f t="shared" ref="CB330:CB337" si="179">BZ330/BH330/BI330</f>
        <v>7.2827829696854307E-3</v>
      </c>
      <c r="CC330" s="60" t="s">
        <v>5664</v>
      </c>
      <c r="CD330" s="60">
        <v>300</v>
      </c>
      <c r="CE330" s="47">
        <f t="shared" si="172"/>
        <v>340.25</v>
      </c>
      <c r="CF330" s="21">
        <v>505</v>
      </c>
      <c r="CG330" s="21">
        <f t="shared" si="173"/>
        <v>523.75</v>
      </c>
      <c r="CH330" s="69">
        <f t="shared" si="174"/>
        <v>196900</v>
      </c>
      <c r="CI330" s="136" t="s">
        <v>5664</v>
      </c>
      <c r="CJ330" s="60">
        <v>300</v>
      </c>
      <c r="CK330" s="47">
        <f t="shared" si="175"/>
        <v>375.5</v>
      </c>
      <c r="CL330" s="47">
        <v>505</v>
      </c>
      <c r="CM330" s="21">
        <f t="shared" si="176"/>
        <v>541</v>
      </c>
      <c r="CN330" s="69">
        <f t="shared" si="177"/>
        <v>209800</v>
      </c>
      <c r="CO330" s="32" t="s">
        <v>4450</v>
      </c>
      <c r="CP330" s="60">
        <v>275</v>
      </c>
      <c r="CQ330" s="21">
        <v>324.5</v>
      </c>
      <c r="CR330" s="47">
        <v>410</v>
      </c>
      <c r="CS330" s="21">
        <v>495.1</v>
      </c>
      <c r="CT330" s="61">
        <v>200000</v>
      </c>
      <c r="CU330" s="92" t="s">
        <v>5860</v>
      </c>
      <c r="CV330" s="64">
        <v>49.5</v>
      </c>
      <c r="CW330" s="64">
        <v>4.5999999999999996</v>
      </c>
      <c r="CX330" s="69">
        <v>33889</v>
      </c>
      <c r="CY330" s="92">
        <v>543.1</v>
      </c>
      <c r="CZ330" s="64">
        <v>639.70000000000005</v>
      </c>
      <c r="DA330" s="69">
        <v>200700</v>
      </c>
      <c r="DB330" s="283" t="s">
        <v>5792</v>
      </c>
      <c r="DC330" s="163">
        <v>8.8000000000000007</v>
      </c>
      <c r="DD330" s="163">
        <v>640</v>
      </c>
      <c r="DE330" s="21">
        <v>890.2</v>
      </c>
      <c r="DF330" s="21">
        <v>800</v>
      </c>
      <c r="DG330" s="21">
        <v>980.6</v>
      </c>
      <c r="DH330" s="97">
        <v>199400</v>
      </c>
      <c r="DI330" s="29" t="s">
        <v>5855</v>
      </c>
      <c r="DJ330" s="306" t="s">
        <v>4435</v>
      </c>
      <c r="DK330" s="297" t="s">
        <v>4566</v>
      </c>
    </row>
    <row r="331" spans="1:115">
      <c r="A331" s="306">
        <v>326</v>
      </c>
      <c r="B331" s="326"/>
      <c r="C331" s="326"/>
      <c r="D331" s="340"/>
      <c r="E331" s="340"/>
      <c r="F331" s="326"/>
      <c r="G331" s="337"/>
      <c r="H331" s="337"/>
      <c r="I331" s="337"/>
      <c r="J331" s="41" t="s">
        <v>4735</v>
      </c>
      <c r="K331" s="306" t="s">
        <v>4383</v>
      </c>
      <c r="L331" s="163" t="s">
        <v>5792</v>
      </c>
      <c r="M331" s="306" t="s">
        <v>4508</v>
      </c>
      <c r="N331" s="163" t="s">
        <v>4702</v>
      </c>
      <c r="O331" s="18" t="s">
        <v>4507</v>
      </c>
      <c r="P331" s="163" t="s">
        <v>4420</v>
      </c>
      <c r="Q331" s="163" t="s">
        <v>4470</v>
      </c>
      <c r="R331" s="163" t="s">
        <v>4420</v>
      </c>
      <c r="S331" s="163" t="s">
        <v>5792</v>
      </c>
      <c r="T331" s="163" t="s">
        <v>4420</v>
      </c>
      <c r="U331" s="163" t="s">
        <v>5792</v>
      </c>
      <c r="V331" s="163" t="s">
        <v>4559</v>
      </c>
      <c r="W331" s="18">
        <v>8</v>
      </c>
      <c r="X331" s="230">
        <v>0</v>
      </c>
      <c r="Y331" s="18">
        <v>0</v>
      </c>
      <c r="Z331" s="306" t="s">
        <v>6298</v>
      </c>
      <c r="AA331" s="21">
        <f>INDEX('[2]Cross-Section Database'!$C$2:$V$2928,MATCH(Z331,'[2]Cross-Section Database'!$B$2:$B$2928,0),3)</f>
        <v>250</v>
      </c>
      <c r="AB331" s="21">
        <f>INDEX('[2]Cross-Section Database'!$C$2:$V$2928,MATCH(Z331,'[2]Cross-Section Database'!$B$2:$B$2928,0),4)</f>
        <v>250</v>
      </c>
      <c r="AC331" s="21">
        <f>INDEX('[2]Cross-Section Database'!$C$2:$V$2928,MATCH(Z331,'[2]Cross-Section Database'!$B$2:$B$2928,0),6)</f>
        <v>12.5</v>
      </c>
      <c r="AD331" s="21">
        <f>INDEX('[2]Cross-Section Database'!$C$2:$V$2928,MATCH(Z331,'[2]Cross-Section Database'!$B$2:$B$2928,0),5)</f>
        <v>12.5</v>
      </c>
      <c r="AE331" s="21">
        <v>980</v>
      </c>
      <c r="AF331" s="306" t="s">
        <v>6341</v>
      </c>
      <c r="AG331" s="21">
        <f>INDEX('[2]Cross-Section Database'!$C$2:$V$2928,MATCH(AF331,'[2]Cross-Section Database'!$B$2:$B$2928,0),3)</f>
        <v>460</v>
      </c>
      <c r="AH331" s="21">
        <f>INDEX('[2]Cross-Section Database'!$C$2:$V$2928,MATCH(AF331,'[2]Cross-Section Database'!$B$2:$B$2928,0),4)</f>
        <v>191</v>
      </c>
      <c r="AI331" s="21">
        <f>INDEX('[2]Cross-Section Database'!$C$2:$V$2928,MATCH(AF331,'[2]Cross-Section Database'!$B$2:$B$2928,0),6)</f>
        <v>16</v>
      </c>
      <c r="AJ331" s="21">
        <f>INDEX('[2]Cross-Section Database'!$C$2:$V$2928,MATCH(AF331,'[2]Cross-Section Database'!$B$2:$B$2928,0),5)</f>
        <v>9.9</v>
      </c>
      <c r="AK331" s="21">
        <v>1400</v>
      </c>
      <c r="AL331" s="21">
        <f>INDEX('[2]Cross-Section Database'!$C$2:$V$3928,MATCH(AF331,'[2]Cross-Section Database'!$B$2:$B$3928,0),11)</f>
        <v>372000000</v>
      </c>
      <c r="AM331" s="24">
        <f>INDEX('[2]Cross-Section Database'!$C$2:$V$3928,MATCH(AF331,'[2]Cross-Section Database'!$B$2:$B$3928,0),12)</f>
        <v>1840000</v>
      </c>
      <c r="AN331" s="21">
        <v>10</v>
      </c>
      <c r="AO331" s="21">
        <v>230</v>
      </c>
      <c r="AP331" s="21">
        <v>510</v>
      </c>
      <c r="AQ331" s="21">
        <f t="shared" si="167"/>
        <v>25</v>
      </c>
      <c r="AR331" s="21">
        <f t="shared" si="162"/>
        <v>25</v>
      </c>
      <c r="AS331" s="306" t="s">
        <v>5659</v>
      </c>
      <c r="AT331" s="163" t="s">
        <v>4605</v>
      </c>
      <c r="AU331" s="21">
        <f t="shared" si="171"/>
        <v>60</v>
      </c>
      <c r="AV331" s="163">
        <v>20</v>
      </c>
      <c r="AW331" s="163">
        <f t="shared" si="160"/>
        <v>245</v>
      </c>
      <c r="AX331" s="21">
        <v>95</v>
      </c>
      <c r="AY331" s="21">
        <f t="shared" si="165"/>
        <v>95</v>
      </c>
      <c r="AZ331" s="21">
        <v>160</v>
      </c>
      <c r="BA331" s="21">
        <v>120</v>
      </c>
      <c r="BB331" s="21">
        <v>0</v>
      </c>
      <c r="BC331" s="15" t="s">
        <v>4470</v>
      </c>
      <c r="BD331" s="163" t="s">
        <v>6209</v>
      </c>
      <c r="BE331" s="163" t="s">
        <v>6209</v>
      </c>
      <c r="BF331" s="163">
        <v>2</v>
      </c>
      <c r="BG331" s="163">
        <v>6</v>
      </c>
      <c r="BH331" s="202" t="s">
        <v>5792</v>
      </c>
      <c r="BI331" s="203" t="s">
        <v>5792</v>
      </c>
      <c r="BJ331" s="203" t="s">
        <v>5792</v>
      </c>
      <c r="BK331" s="203" t="s">
        <v>5792</v>
      </c>
      <c r="BL331" s="203" t="s">
        <v>5792</v>
      </c>
      <c r="BM331" s="203" t="s">
        <v>5792</v>
      </c>
      <c r="BN331" s="203" t="s">
        <v>5792</v>
      </c>
      <c r="BO331" s="203" t="s">
        <v>5792</v>
      </c>
      <c r="BP331" s="202" t="s">
        <v>5792</v>
      </c>
      <c r="BQ331" s="203" t="s">
        <v>5792</v>
      </c>
      <c r="BR331" s="203" t="s">
        <v>5792</v>
      </c>
      <c r="BS331" s="203" t="s">
        <v>5792</v>
      </c>
      <c r="BT331" s="203" t="s">
        <v>5792</v>
      </c>
      <c r="BU331" s="203" t="s">
        <v>5792</v>
      </c>
      <c r="BV331" s="218" t="s">
        <v>5792</v>
      </c>
      <c r="BW331" s="203" t="s">
        <v>5792</v>
      </c>
      <c r="BX331" s="203" t="s">
        <v>5792</v>
      </c>
      <c r="BY331" s="203" t="s">
        <v>5792</v>
      </c>
      <c r="BZ331" s="203" t="s">
        <v>5792</v>
      </c>
      <c r="CA331" s="203" t="s">
        <v>5792</v>
      </c>
      <c r="CB331" s="218"/>
      <c r="CC331" s="60" t="s">
        <v>5664</v>
      </c>
      <c r="CD331" s="60">
        <v>300</v>
      </c>
      <c r="CE331" s="47">
        <f t="shared" si="172"/>
        <v>340.25</v>
      </c>
      <c r="CF331" s="21">
        <v>505</v>
      </c>
      <c r="CG331" s="21">
        <f t="shared" si="173"/>
        <v>523.75</v>
      </c>
      <c r="CH331" s="69">
        <f t="shared" si="174"/>
        <v>196900</v>
      </c>
      <c r="CI331" s="136" t="s">
        <v>5664</v>
      </c>
      <c r="CJ331" s="60">
        <v>300</v>
      </c>
      <c r="CK331" s="47">
        <f t="shared" si="175"/>
        <v>375.5</v>
      </c>
      <c r="CL331" s="47">
        <v>505</v>
      </c>
      <c r="CM331" s="21">
        <f t="shared" si="176"/>
        <v>541</v>
      </c>
      <c r="CN331" s="69">
        <f t="shared" si="177"/>
        <v>209800</v>
      </c>
      <c r="CO331" s="32" t="s">
        <v>4450</v>
      </c>
      <c r="CP331" s="60">
        <v>275</v>
      </c>
      <c r="CQ331" s="21">
        <v>324.5</v>
      </c>
      <c r="CR331" s="47">
        <v>410</v>
      </c>
      <c r="CS331" s="21">
        <v>495.1</v>
      </c>
      <c r="CT331" s="61">
        <v>200000</v>
      </c>
      <c r="CU331" s="207" t="s">
        <v>5792</v>
      </c>
      <c r="CV331" s="208" t="s">
        <v>5792</v>
      </c>
      <c r="CW331" s="208" t="s">
        <v>5792</v>
      </c>
      <c r="CX331" s="209" t="s">
        <v>5792</v>
      </c>
      <c r="CY331" s="207" t="s">
        <v>5792</v>
      </c>
      <c r="CZ331" s="208" t="s">
        <v>5792</v>
      </c>
      <c r="DA331" s="209" t="s">
        <v>5792</v>
      </c>
      <c r="DB331" s="283" t="s">
        <v>5792</v>
      </c>
      <c r="DC331" s="163">
        <v>8.8000000000000007</v>
      </c>
      <c r="DD331" s="163">
        <v>640</v>
      </c>
      <c r="DE331" s="21">
        <v>890.2</v>
      </c>
      <c r="DF331" s="21">
        <v>800</v>
      </c>
      <c r="DG331" s="21">
        <v>980.6</v>
      </c>
      <c r="DH331" s="97">
        <v>199400</v>
      </c>
      <c r="DI331" s="29" t="s">
        <v>5838</v>
      </c>
      <c r="DJ331" s="306" t="s">
        <v>4435</v>
      </c>
      <c r="DK331" s="297" t="s">
        <v>4566</v>
      </c>
    </row>
    <row r="332" spans="1:115" ht="15.6" customHeight="1">
      <c r="A332" s="306">
        <v>327</v>
      </c>
      <c r="B332" s="326"/>
      <c r="C332" s="326"/>
      <c r="D332" s="340"/>
      <c r="E332" s="340"/>
      <c r="F332" s="326"/>
      <c r="G332" s="337"/>
      <c r="H332" s="337"/>
      <c r="I332" s="337"/>
      <c r="J332" s="309" t="s">
        <v>4736</v>
      </c>
      <c r="K332" s="306" t="s">
        <v>4383</v>
      </c>
      <c r="L332" s="163" t="s">
        <v>5792</v>
      </c>
      <c r="M332" s="306" t="s">
        <v>4508</v>
      </c>
      <c r="N332" s="163" t="s">
        <v>4702</v>
      </c>
      <c r="O332" s="18" t="s">
        <v>4507</v>
      </c>
      <c r="P332" s="163" t="s">
        <v>6313</v>
      </c>
      <c r="Q332" s="163" t="s">
        <v>4470</v>
      </c>
      <c r="R332" s="163" t="s">
        <v>4420</v>
      </c>
      <c r="S332" s="163" t="s">
        <v>5792</v>
      </c>
      <c r="T332" s="163" t="s">
        <v>4420</v>
      </c>
      <c r="U332" s="163" t="s">
        <v>5792</v>
      </c>
      <c r="V332" s="163" t="s">
        <v>4559</v>
      </c>
      <c r="W332" s="18">
        <v>8</v>
      </c>
      <c r="X332" s="230">
        <v>0</v>
      </c>
      <c r="Y332" s="18">
        <v>0</v>
      </c>
      <c r="Z332" s="306" t="s">
        <v>6298</v>
      </c>
      <c r="AA332" s="21">
        <f>INDEX('[2]Cross-Section Database'!$C$2:$V$2928,MATCH(Z332,'[2]Cross-Section Database'!$B$2:$B$2928,0),3)</f>
        <v>250</v>
      </c>
      <c r="AB332" s="21">
        <f>INDEX('[2]Cross-Section Database'!$C$2:$V$2928,MATCH(Z332,'[2]Cross-Section Database'!$B$2:$B$2928,0),4)</f>
        <v>250</v>
      </c>
      <c r="AC332" s="21">
        <f>INDEX('[2]Cross-Section Database'!$C$2:$V$2928,MATCH(Z332,'[2]Cross-Section Database'!$B$2:$B$2928,0),6)</f>
        <v>12.5</v>
      </c>
      <c r="AD332" s="21">
        <f>INDEX('[2]Cross-Section Database'!$C$2:$V$2928,MATCH(Z332,'[2]Cross-Section Database'!$B$2:$B$2928,0),5)</f>
        <v>12.5</v>
      </c>
      <c r="AE332" s="21">
        <v>980</v>
      </c>
      <c r="AF332" s="306" t="s">
        <v>6341</v>
      </c>
      <c r="AG332" s="21">
        <f>INDEX('[2]Cross-Section Database'!$C$2:$V$2928,MATCH(AF332,'[2]Cross-Section Database'!$B$2:$B$2928,0),3)</f>
        <v>460</v>
      </c>
      <c r="AH332" s="21">
        <f>INDEX('[2]Cross-Section Database'!$C$2:$V$2928,MATCH(AF332,'[2]Cross-Section Database'!$B$2:$B$2928,0),4)</f>
        <v>191</v>
      </c>
      <c r="AI332" s="21">
        <f>INDEX('[2]Cross-Section Database'!$C$2:$V$2928,MATCH(AF332,'[2]Cross-Section Database'!$B$2:$B$2928,0),6)</f>
        <v>16</v>
      </c>
      <c r="AJ332" s="21">
        <f>INDEX('[2]Cross-Section Database'!$C$2:$V$2928,MATCH(AF332,'[2]Cross-Section Database'!$B$2:$B$2928,0),5)</f>
        <v>9.9</v>
      </c>
      <c r="AK332" s="21">
        <v>1400</v>
      </c>
      <c r="AL332" s="21">
        <f>INDEX('[2]Cross-Section Database'!$C$2:$V$3928,MATCH(AF332,'[2]Cross-Section Database'!$B$2:$B$3928,0),11)</f>
        <v>372000000</v>
      </c>
      <c r="AM332" s="24">
        <f>INDEX('[2]Cross-Section Database'!$C$2:$V$3928,MATCH(AF332,'[2]Cross-Section Database'!$B$2:$B$3928,0),12)</f>
        <v>1840000</v>
      </c>
      <c r="AN332" s="21">
        <v>10</v>
      </c>
      <c r="AO332" s="21">
        <v>230</v>
      </c>
      <c r="AP332" s="21">
        <v>510</v>
      </c>
      <c r="AQ332" s="21">
        <f t="shared" si="167"/>
        <v>25</v>
      </c>
      <c r="AR332" s="21">
        <f t="shared" si="162"/>
        <v>25</v>
      </c>
      <c r="AS332" s="306" t="s">
        <v>5659</v>
      </c>
      <c r="AT332" s="163" t="s">
        <v>4605</v>
      </c>
      <c r="AU332" s="21">
        <f t="shared" si="171"/>
        <v>60</v>
      </c>
      <c r="AV332" s="163">
        <v>20</v>
      </c>
      <c r="AW332" s="163">
        <f t="shared" si="160"/>
        <v>245</v>
      </c>
      <c r="AX332" s="21">
        <v>95</v>
      </c>
      <c r="AY332" s="21">
        <f t="shared" si="165"/>
        <v>95</v>
      </c>
      <c r="AZ332" s="21">
        <v>160</v>
      </c>
      <c r="BA332" s="21">
        <v>120</v>
      </c>
      <c r="BB332" s="21">
        <v>0</v>
      </c>
      <c r="BC332" s="15" t="s">
        <v>4470</v>
      </c>
      <c r="BD332" s="163" t="s">
        <v>6209</v>
      </c>
      <c r="BE332" s="163" t="s">
        <v>6209</v>
      </c>
      <c r="BF332" s="163">
        <v>2</v>
      </c>
      <c r="BG332" s="163">
        <v>6</v>
      </c>
      <c r="BH332" s="306">
        <v>120</v>
      </c>
      <c r="BI332" s="163">
        <v>1100</v>
      </c>
      <c r="BJ332" s="203" t="s">
        <v>5792</v>
      </c>
      <c r="BK332" s="203" t="s">
        <v>5792</v>
      </c>
      <c r="BL332" s="203" t="s">
        <v>5792</v>
      </c>
      <c r="BM332" s="203" t="s">
        <v>5792</v>
      </c>
      <c r="BN332" s="203" t="s">
        <v>5792</v>
      </c>
      <c r="BO332" s="203" t="s">
        <v>5792</v>
      </c>
      <c r="BP332" s="306" t="s">
        <v>5857</v>
      </c>
      <c r="BQ332" s="163">
        <v>6</v>
      </c>
      <c r="BR332" s="163">
        <v>2</v>
      </c>
      <c r="BS332" s="163">
        <v>20</v>
      </c>
      <c r="BT332" s="163">
        <v>120</v>
      </c>
      <c r="BU332" s="163">
        <v>120</v>
      </c>
      <c r="BV332" s="18">
        <v>550</v>
      </c>
      <c r="BW332" s="163" t="s">
        <v>4586</v>
      </c>
      <c r="BX332" s="163" t="s">
        <v>4585</v>
      </c>
      <c r="BY332" s="21">
        <f t="shared" ref="BY332:BY336" si="180">((BI332/150)+1)*PI()*10^2/4</f>
        <v>654.49846949787343</v>
      </c>
      <c r="BZ332" s="21">
        <f t="shared" ref="BZ332:BZ337" si="181">4*PI()*16^2/4+2*PI()*10^2/4</f>
        <v>961.32735199847673</v>
      </c>
      <c r="CA332" s="163">
        <v>30</v>
      </c>
      <c r="CB332" s="121">
        <f t="shared" si="179"/>
        <v>7.2827829696854307E-3</v>
      </c>
      <c r="CC332" s="60" t="s">
        <v>5664</v>
      </c>
      <c r="CD332" s="60">
        <v>300</v>
      </c>
      <c r="CE332" s="47">
        <f t="shared" si="172"/>
        <v>340.25</v>
      </c>
      <c r="CF332" s="21">
        <v>505</v>
      </c>
      <c r="CG332" s="21">
        <f t="shared" si="173"/>
        <v>523.75</v>
      </c>
      <c r="CH332" s="69">
        <f t="shared" si="174"/>
        <v>196900</v>
      </c>
      <c r="CI332" s="136" t="s">
        <v>5664</v>
      </c>
      <c r="CJ332" s="60">
        <v>300</v>
      </c>
      <c r="CK332" s="47">
        <f t="shared" si="175"/>
        <v>375.5</v>
      </c>
      <c r="CL332" s="47">
        <v>505</v>
      </c>
      <c r="CM332" s="21">
        <f t="shared" si="176"/>
        <v>541</v>
      </c>
      <c r="CN332" s="69">
        <f t="shared" si="177"/>
        <v>209800</v>
      </c>
      <c r="CO332" s="32" t="s">
        <v>4450</v>
      </c>
      <c r="CP332" s="60">
        <v>275</v>
      </c>
      <c r="CQ332" s="21">
        <v>324.5</v>
      </c>
      <c r="CR332" s="47">
        <v>410</v>
      </c>
      <c r="CS332" s="21">
        <v>495.1</v>
      </c>
      <c r="CT332" s="61">
        <v>200000</v>
      </c>
      <c r="CU332" s="92" t="s">
        <v>5860</v>
      </c>
      <c r="CV332" s="64">
        <v>45</v>
      </c>
      <c r="CW332" s="64">
        <v>4.47</v>
      </c>
      <c r="CX332" s="69">
        <v>31680</v>
      </c>
      <c r="CY332" s="92">
        <v>543.1</v>
      </c>
      <c r="CZ332" s="64">
        <v>639.70000000000005</v>
      </c>
      <c r="DA332" s="69">
        <v>200700</v>
      </c>
      <c r="DB332" s="283" t="s">
        <v>5792</v>
      </c>
      <c r="DC332" s="163">
        <v>8.8000000000000007</v>
      </c>
      <c r="DD332" s="163">
        <v>640</v>
      </c>
      <c r="DE332" s="21">
        <v>890.2</v>
      </c>
      <c r="DF332" s="21">
        <v>800</v>
      </c>
      <c r="DG332" s="21">
        <v>980.6</v>
      </c>
      <c r="DH332" s="97">
        <v>199400</v>
      </c>
      <c r="DI332" s="29" t="s">
        <v>5855</v>
      </c>
      <c r="DJ332" s="306" t="s">
        <v>4435</v>
      </c>
      <c r="DK332" s="297" t="s">
        <v>4566</v>
      </c>
    </row>
    <row r="333" spans="1:115" ht="15.6" customHeight="1">
      <c r="A333" s="306">
        <v>328</v>
      </c>
      <c r="B333" s="326"/>
      <c r="C333" s="326"/>
      <c r="D333" s="340"/>
      <c r="E333" s="340"/>
      <c r="F333" s="326"/>
      <c r="G333" s="337"/>
      <c r="H333" s="337"/>
      <c r="I333" s="337"/>
      <c r="J333" s="309" t="s">
        <v>4737</v>
      </c>
      <c r="K333" s="306" t="s">
        <v>4383</v>
      </c>
      <c r="L333" s="163" t="s">
        <v>5792</v>
      </c>
      <c r="M333" s="306" t="s">
        <v>4508</v>
      </c>
      <c r="N333" s="163" t="s">
        <v>4702</v>
      </c>
      <c r="O333" s="18" t="s">
        <v>4507</v>
      </c>
      <c r="P333" s="163" t="s">
        <v>6313</v>
      </c>
      <c r="Q333" s="163" t="s">
        <v>4470</v>
      </c>
      <c r="R333" s="163" t="s">
        <v>4420</v>
      </c>
      <c r="S333" s="163" t="s">
        <v>5792</v>
      </c>
      <c r="T333" s="163" t="s">
        <v>4420</v>
      </c>
      <c r="U333" s="163" t="s">
        <v>5792</v>
      </c>
      <c r="V333" s="163" t="s">
        <v>4559</v>
      </c>
      <c r="W333" s="18">
        <v>8</v>
      </c>
      <c r="X333" s="230">
        <v>0</v>
      </c>
      <c r="Y333" s="18">
        <v>0</v>
      </c>
      <c r="Z333" s="306" t="s">
        <v>6298</v>
      </c>
      <c r="AA333" s="21">
        <f>INDEX('[2]Cross-Section Database'!$C$2:$V$2928,MATCH(Z333,'[2]Cross-Section Database'!$B$2:$B$2928,0),3)</f>
        <v>250</v>
      </c>
      <c r="AB333" s="21">
        <f>INDEX('[2]Cross-Section Database'!$C$2:$V$2928,MATCH(Z333,'[2]Cross-Section Database'!$B$2:$B$2928,0),4)</f>
        <v>250</v>
      </c>
      <c r="AC333" s="21">
        <f>INDEX('[2]Cross-Section Database'!$C$2:$V$2928,MATCH(Z333,'[2]Cross-Section Database'!$B$2:$B$2928,0),6)</f>
        <v>12.5</v>
      </c>
      <c r="AD333" s="21">
        <f>INDEX('[2]Cross-Section Database'!$C$2:$V$2928,MATCH(Z333,'[2]Cross-Section Database'!$B$2:$B$2928,0),5)</f>
        <v>12.5</v>
      </c>
      <c r="AE333" s="21">
        <v>980</v>
      </c>
      <c r="AF333" s="306" t="s">
        <v>6341</v>
      </c>
      <c r="AG333" s="21">
        <f>INDEX('[2]Cross-Section Database'!$C$2:$V$2928,MATCH(AF333,'[2]Cross-Section Database'!$B$2:$B$2928,0),3)</f>
        <v>460</v>
      </c>
      <c r="AH333" s="21">
        <f>INDEX('[2]Cross-Section Database'!$C$2:$V$2928,MATCH(AF333,'[2]Cross-Section Database'!$B$2:$B$2928,0),4)</f>
        <v>191</v>
      </c>
      <c r="AI333" s="21">
        <f>INDEX('[2]Cross-Section Database'!$C$2:$V$2928,MATCH(AF333,'[2]Cross-Section Database'!$B$2:$B$2928,0),6)</f>
        <v>16</v>
      </c>
      <c r="AJ333" s="21">
        <f>INDEX('[2]Cross-Section Database'!$C$2:$V$2928,MATCH(AF333,'[2]Cross-Section Database'!$B$2:$B$2928,0),5)</f>
        <v>9.9</v>
      </c>
      <c r="AK333" s="21">
        <v>1400</v>
      </c>
      <c r="AL333" s="21">
        <f>INDEX('[2]Cross-Section Database'!$C$2:$V$3928,MATCH(AF333,'[2]Cross-Section Database'!$B$2:$B$3928,0),11)</f>
        <v>372000000</v>
      </c>
      <c r="AM333" s="24">
        <f>INDEX('[2]Cross-Section Database'!$C$2:$V$3928,MATCH(AF333,'[2]Cross-Section Database'!$B$2:$B$3928,0),12)</f>
        <v>1840000</v>
      </c>
      <c r="AN333" s="21">
        <v>10</v>
      </c>
      <c r="AO333" s="21">
        <v>230</v>
      </c>
      <c r="AP333" s="21">
        <v>510</v>
      </c>
      <c r="AQ333" s="21">
        <f t="shared" si="167"/>
        <v>25</v>
      </c>
      <c r="AR333" s="21">
        <f t="shared" si="162"/>
        <v>25</v>
      </c>
      <c r="AS333" s="306" t="s">
        <v>5659</v>
      </c>
      <c r="AT333" s="163" t="s">
        <v>4605</v>
      </c>
      <c r="AU333" s="21">
        <f t="shared" si="171"/>
        <v>60</v>
      </c>
      <c r="AV333" s="163">
        <v>20</v>
      </c>
      <c r="AW333" s="163">
        <f t="shared" si="160"/>
        <v>245</v>
      </c>
      <c r="AX333" s="21">
        <v>95</v>
      </c>
      <c r="AY333" s="21">
        <f t="shared" si="165"/>
        <v>95</v>
      </c>
      <c r="AZ333" s="21">
        <v>160</v>
      </c>
      <c r="BA333" s="21">
        <v>120</v>
      </c>
      <c r="BB333" s="21">
        <v>0</v>
      </c>
      <c r="BC333" s="15" t="s">
        <v>4470</v>
      </c>
      <c r="BD333" s="163" t="s">
        <v>6209</v>
      </c>
      <c r="BE333" s="163" t="s">
        <v>6209</v>
      </c>
      <c r="BF333" s="163">
        <v>2</v>
      </c>
      <c r="BG333" s="163">
        <v>6</v>
      </c>
      <c r="BH333" s="306">
        <v>120</v>
      </c>
      <c r="BI333" s="163">
        <v>1100</v>
      </c>
      <c r="BJ333" s="203" t="s">
        <v>5792</v>
      </c>
      <c r="BK333" s="203" t="s">
        <v>5792</v>
      </c>
      <c r="BL333" s="203" t="s">
        <v>5792</v>
      </c>
      <c r="BM333" s="203" t="s">
        <v>5792</v>
      </c>
      <c r="BN333" s="203" t="s">
        <v>5792</v>
      </c>
      <c r="BO333" s="203" t="s">
        <v>5792</v>
      </c>
      <c r="BP333" s="306" t="s">
        <v>5857</v>
      </c>
      <c r="BQ333" s="163">
        <v>6</v>
      </c>
      <c r="BR333" s="163">
        <v>2</v>
      </c>
      <c r="BS333" s="163">
        <v>16</v>
      </c>
      <c r="BT333" s="163">
        <v>120</v>
      </c>
      <c r="BU333" s="163">
        <v>120</v>
      </c>
      <c r="BV333" s="18">
        <v>550</v>
      </c>
      <c r="BW333" s="163" t="s">
        <v>4586</v>
      </c>
      <c r="BX333" s="163" t="s">
        <v>4585</v>
      </c>
      <c r="BY333" s="21">
        <f t="shared" si="180"/>
        <v>654.49846949787343</v>
      </c>
      <c r="BZ333" s="21">
        <f t="shared" si="181"/>
        <v>961.32735199847673</v>
      </c>
      <c r="CA333" s="163">
        <v>30</v>
      </c>
      <c r="CB333" s="121">
        <f t="shared" si="179"/>
        <v>7.2827829696854307E-3</v>
      </c>
      <c r="CC333" s="60" t="s">
        <v>5664</v>
      </c>
      <c r="CD333" s="60">
        <v>300</v>
      </c>
      <c r="CE333" s="47">
        <f t="shared" si="172"/>
        <v>340.25</v>
      </c>
      <c r="CF333" s="21">
        <v>505</v>
      </c>
      <c r="CG333" s="21">
        <f t="shared" si="173"/>
        <v>523.75</v>
      </c>
      <c r="CH333" s="69">
        <f t="shared" si="174"/>
        <v>196900</v>
      </c>
      <c r="CI333" s="136" t="s">
        <v>5664</v>
      </c>
      <c r="CJ333" s="60">
        <v>300</v>
      </c>
      <c r="CK333" s="47">
        <f t="shared" si="175"/>
        <v>375.5</v>
      </c>
      <c r="CL333" s="47">
        <v>505</v>
      </c>
      <c r="CM333" s="21">
        <f t="shared" si="176"/>
        <v>541</v>
      </c>
      <c r="CN333" s="69">
        <f t="shared" si="177"/>
        <v>209800</v>
      </c>
      <c r="CO333" s="32" t="s">
        <v>4450</v>
      </c>
      <c r="CP333" s="60">
        <v>275</v>
      </c>
      <c r="CQ333" s="21">
        <v>324.5</v>
      </c>
      <c r="CR333" s="47">
        <v>410</v>
      </c>
      <c r="CS333" s="21">
        <v>495.1</v>
      </c>
      <c r="CT333" s="61">
        <v>200000</v>
      </c>
      <c r="CU333" s="92" t="s">
        <v>5860</v>
      </c>
      <c r="CV333" s="64">
        <v>48.8</v>
      </c>
      <c r="CW333" s="64">
        <v>4.75</v>
      </c>
      <c r="CX333" s="69">
        <v>31680</v>
      </c>
      <c r="CY333" s="92">
        <v>543.1</v>
      </c>
      <c r="CZ333" s="64">
        <v>639.70000000000005</v>
      </c>
      <c r="DA333" s="69">
        <v>200700</v>
      </c>
      <c r="DB333" s="283" t="s">
        <v>5792</v>
      </c>
      <c r="DC333" s="163">
        <v>8.8000000000000007</v>
      </c>
      <c r="DD333" s="163">
        <v>640</v>
      </c>
      <c r="DE333" s="21">
        <v>890.2</v>
      </c>
      <c r="DF333" s="21">
        <v>800</v>
      </c>
      <c r="DG333" s="21">
        <v>980.6</v>
      </c>
      <c r="DH333" s="97">
        <v>199400</v>
      </c>
      <c r="DI333" s="29" t="s">
        <v>5855</v>
      </c>
      <c r="DJ333" s="306" t="s">
        <v>4435</v>
      </c>
      <c r="DK333" s="297" t="s">
        <v>4566</v>
      </c>
    </row>
    <row r="334" spans="1:115">
      <c r="A334" s="306">
        <v>329</v>
      </c>
      <c r="B334" s="326"/>
      <c r="C334" s="326"/>
      <c r="D334" s="340"/>
      <c r="E334" s="340"/>
      <c r="F334" s="326"/>
      <c r="G334" s="337"/>
      <c r="H334" s="337"/>
      <c r="I334" s="337"/>
      <c r="J334" s="309" t="s">
        <v>4738</v>
      </c>
      <c r="K334" s="306" t="s">
        <v>4383</v>
      </c>
      <c r="L334" s="163" t="s">
        <v>5792</v>
      </c>
      <c r="M334" s="306" t="s">
        <v>4508</v>
      </c>
      <c r="N334" s="163" t="s">
        <v>4702</v>
      </c>
      <c r="O334" s="18" t="s">
        <v>4507</v>
      </c>
      <c r="P334" s="163" t="s">
        <v>6313</v>
      </c>
      <c r="Q334" s="163" t="s">
        <v>4470</v>
      </c>
      <c r="R334" s="163" t="s">
        <v>4420</v>
      </c>
      <c r="S334" s="163" t="s">
        <v>5792</v>
      </c>
      <c r="T334" s="163" t="s">
        <v>4420</v>
      </c>
      <c r="U334" s="163" t="s">
        <v>5792</v>
      </c>
      <c r="V334" s="163" t="s">
        <v>4559</v>
      </c>
      <c r="W334" s="18">
        <v>8</v>
      </c>
      <c r="X334" s="230">
        <v>0</v>
      </c>
      <c r="Y334" s="18">
        <v>0</v>
      </c>
      <c r="Z334" s="306" t="s">
        <v>6298</v>
      </c>
      <c r="AA334" s="21">
        <f>INDEX('[2]Cross-Section Database'!$C$2:$V$2928,MATCH(Z334,'[2]Cross-Section Database'!$B$2:$B$2928,0),3)</f>
        <v>250</v>
      </c>
      <c r="AB334" s="21">
        <f>INDEX('[2]Cross-Section Database'!$C$2:$V$2928,MATCH(Z334,'[2]Cross-Section Database'!$B$2:$B$2928,0),4)</f>
        <v>250</v>
      </c>
      <c r="AC334" s="21">
        <f>INDEX('[2]Cross-Section Database'!$C$2:$V$2928,MATCH(Z334,'[2]Cross-Section Database'!$B$2:$B$2928,0),6)</f>
        <v>12.5</v>
      </c>
      <c r="AD334" s="21">
        <f>INDEX('[2]Cross-Section Database'!$C$2:$V$2928,MATCH(Z334,'[2]Cross-Section Database'!$B$2:$B$2928,0),5)</f>
        <v>12.5</v>
      </c>
      <c r="AE334" s="21">
        <v>980</v>
      </c>
      <c r="AF334" s="306" t="s">
        <v>6341</v>
      </c>
      <c r="AG334" s="21">
        <f>INDEX('[2]Cross-Section Database'!$C$2:$V$2928,MATCH(AF334,'[2]Cross-Section Database'!$B$2:$B$2928,0),3)</f>
        <v>460</v>
      </c>
      <c r="AH334" s="21">
        <f>INDEX('[2]Cross-Section Database'!$C$2:$V$2928,MATCH(AF334,'[2]Cross-Section Database'!$B$2:$B$2928,0),4)</f>
        <v>191</v>
      </c>
      <c r="AI334" s="21">
        <f>INDEX('[2]Cross-Section Database'!$C$2:$V$2928,MATCH(AF334,'[2]Cross-Section Database'!$B$2:$B$2928,0),6)</f>
        <v>16</v>
      </c>
      <c r="AJ334" s="21">
        <f>INDEX('[2]Cross-Section Database'!$C$2:$V$2928,MATCH(AF334,'[2]Cross-Section Database'!$B$2:$B$2928,0),5)</f>
        <v>9.9</v>
      </c>
      <c r="AK334" s="21">
        <v>1400</v>
      </c>
      <c r="AL334" s="21">
        <f>INDEX('[2]Cross-Section Database'!$C$2:$V$3928,MATCH(AF334,'[2]Cross-Section Database'!$B$2:$B$3928,0),11)</f>
        <v>372000000</v>
      </c>
      <c r="AM334" s="24">
        <f>INDEX('[2]Cross-Section Database'!$C$2:$V$3928,MATCH(AF334,'[2]Cross-Section Database'!$B$2:$B$3928,0),12)</f>
        <v>1840000</v>
      </c>
      <c r="AN334" s="21">
        <v>8</v>
      </c>
      <c r="AO334" s="21">
        <v>230</v>
      </c>
      <c r="AP334" s="21">
        <v>510</v>
      </c>
      <c r="AQ334" s="21">
        <f t="shared" si="167"/>
        <v>25</v>
      </c>
      <c r="AR334" s="21">
        <f t="shared" si="162"/>
        <v>25</v>
      </c>
      <c r="AS334" s="306" t="s">
        <v>5659</v>
      </c>
      <c r="AT334" s="163" t="s">
        <v>4501</v>
      </c>
      <c r="AU334" s="21">
        <v>145</v>
      </c>
      <c r="AV334" s="163">
        <v>20</v>
      </c>
      <c r="AW334" s="163">
        <f t="shared" si="160"/>
        <v>245</v>
      </c>
      <c r="AX334" s="21">
        <v>95</v>
      </c>
      <c r="AY334" s="21">
        <f t="shared" si="165"/>
        <v>95</v>
      </c>
      <c r="AZ334" s="21">
        <v>160</v>
      </c>
      <c r="BA334" s="21">
        <v>120</v>
      </c>
      <c r="BB334" s="21">
        <v>0</v>
      </c>
      <c r="BC334" s="15" t="s">
        <v>4470</v>
      </c>
      <c r="BD334" s="163" t="s">
        <v>6209</v>
      </c>
      <c r="BE334" s="163" t="s">
        <v>6209</v>
      </c>
      <c r="BF334" s="163">
        <v>2</v>
      </c>
      <c r="BG334" s="163">
        <v>6</v>
      </c>
      <c r="BH334" s="306">
        <v>120</v>
      </c>
      <c r="BI334" s="163">
        <v>1100</v>
      </c>
      <c r="BJ334" s="203" t="s">
        <v>5792</v>
      </c>
      <c r="BK334" s="203" t="s">
        <v>5792</v>
      </c>
      <c r="BL334" s="203" t="s">
        <v>5792</v>
      </c>
      <c r="BM334" s="203" t="s">
        <v>5792</v>
      </c>
      <c r="BN334" s="203" t="s">
        <v>5792</v>
      </c>
      <c r="BO334" s="203" t="s">
        <v>5792</v>
      </c>
      <c r="BP334" s="306" t="s">
        <v>5857</v>
      </c>
      <c r="BQ334" s="163">
        <v>6</v>
      </c>
      <c r="BR334" s="163">
        <v>2</v>
      </c>
      <c r="BS334" s="163">
        <v>20</v>
      </c>
      <c r="BT334" s="163">
        <v>120</v>
      </c>
      <c r="BU334" s="163">
        <v>120</v>
      </c>
      <c r="BV334" s="18">
        <v>550</v>
      </c>
      <c r="BW334" s="163" t="s">
        <v>4586</v>
      </c>
      <c r="BX334" s="163" t="s">
        <v>4585</v>
      </c>
      <c r="BY334" s="21">
        <f t="shared" si="180"/>
        <v>654.49846949787343</v>
      </c>
      <c r="BZ334" s="21">
        <f t="shared" si="181"/>
        <v>961.32735199847673</v>
      </c>
      <c r="CA334" s="163">
        <v>30</v>
      </c>
      <c r="CB334" s="121">
        <f t="shared" si="179"/>
        <v>7.2827829696854307E-3</v>
      </c>
      <c r="CC334" s="32" t="s">
        <v>4450</v>
      </c>
      <c r="CD334" s="47">
        <v>275</v>
      </c>
      <c r="CE334" s="47">
        <v>295.10000000000002</v>
      </c>
      <c r="CF334" s="21">
        <v>410</v>
      </c>
      <c r="CG334" s="21">
        <v>425.2</v>
      </c>
      <c r="CH334" s="69">
        <v>200000</v>
      </c>
      <c r="CI334" s="136" t="s">
        <v>5664</v>
      </c>
      <c r="CJ334" s="60">
        <v>300</v>
      </c>
      <c r="CK334" s="47">
        <v>368.5</v>
      </c>
      <c r="CL334" s="47">
        <v>505</v>
      </c>
      <c r="CM334" s="21">
        <v>538.9</v>
      </c>
      <c r="CN334" s="69">
        <v>208500</v>
      </c>
      <c r="CO334" s="163" t="s">
        <v>4385</v>
      </c>
      <c r="CP334" s="47">
        <v>690</v>
      </c>
      <c r="CQ334" s="21">
        <v>817.7</v>
      </c>
      <c r="CR334" s="47">
        <v>770</v>
      </c>
      <c r="CS334" s="21">
        <v>832.1</v>
      </c>
      <c r="CT334" s="62">
        <v>202000</v>
      </c>
      <c r="CU334" s="92" t="s">
        <v>5860</v>
      </c>
      <c r="CV334" s="64">
        <v>48.8</v>
      </c>
      <c r="CW334" s="64">
        <v>4.75</v>
      </c>
      <c r="CX334" s="69">
        <v>32470</v>
      </c>
      <c r="CY334" s="92">
        <v>580</v>
      </c>
      <c r="CZ334" s="64">
        <v>710</v>
      </c>
      <c r="DA334" s="69">
        <v>200000</v>
      </c>
      <c r="DB334" s="283" t="s">
        <v>5792</v>
      </c>
      <c r="DC334" s="163">
        <v>8.8000000000000007</v>
      </c>
      <c r="DD334" s="163">
        <v>640</v>
      </c>
      <c r="DE334" s="21">
        <v>890</v>
      </c>
      <c r="DF334" s="21">
        <v>800</v>
      </c>
      <c r="DG334" s="21">
        <v>980</v>
      </c>
      <c r="DH334" s="62">
        <v>199000</v>
      </c>
      <c r="DI334" s="29" t="s">
        <v>5855</v>
      </c>
      <c r="DJ334" s="306" t="s">
        <v>4435</v>
      </c>
      <c r="DK334" s="297" t="s">
        <v>4566</v>
      </c>
    </row>
    <row r="335" spans="1:115">
      <c r="A335" s="306">
        <v>330</v>
      </c>
      <c r="B335" s="326"/>
      <c r="C335" s="326"/>
      <c r="D335" s="340"/>
      <c r="E335" s="340"/>
      <c r="F335" s="326"/>
      <c r="G335" s="337"/>
      <c r="H335" s="337"/>
      <c r="I335" s="337"/>
      <c r="J335" s="309" t="s">
        <v>4739</v>
      </c>
      <c r="K335" s="306" t="s">
        <v>4383</v>
      </c>
      <c r="L335" s="163" t="s">
        <v>5792</v>
      </c>
      <c r="M335" s="306" t="s">
        <v>4508</v>
      </c>
      <c r="N335" s="163" t="s">
        <v>4702</v>
      </c>
      <c r="O335" s="18" t="s">
        <v>4507</v>
      </c>
      <c r="P335" s="163" t="s">
        <v>6313</v>
      </c>
      <c r="Q335" s="163" t="s">
        <v>4470</v>
      </c>
      <c r="R335" s="163" t="s">
        <v>4420</v>
      </c>
      <c r="S335" s="163" t="s">
        <v>5792</v>
      </c>
      <c r="T335" s="163" t="s">
        <v>4420</v>
      </c>
      <c r="U335" s="163" t="s">
        <v>5792</v>
      </c>
      <c r="V335" s="163" t="s">
        <v>4559</v>
      </c>
      <c r="W335" s="18">
        <v>8</v>
      </c>
      <c r="X335" s="230">
        <v>0</v>
      </c>
      <c r="Y335" s="18">
        <v>0</v>
      </c>
      <c r="Z335" s="306" t="s">
        <v>6298</v>
      </c>
      <c r="AA335" s="21">
        <f>INDEX('[2]Cross-Section Database'!$C$2:$V$2928,MATCH(Z335,'[2]Cross-Section Database'!$B$2:$B$2928,0),3)</f>
        <v>250</v>
      </c>
      <c r="AB335" s="21">
        <f>INDEX('[2]Cross-Section Database'!$C$2:$V$2928,MATCH(Z335,'[2]Cross-Section Database'!$B$2:$B$2928,0),4)</f>
        <v>250</v>
      </c>
      <c r="AC335" s="21">
        <f>INDEX('[2]Cross-Section Database'!$C$2:$V$2928,MATCH(Z335,'[2]Cross-Section Database'!$B$2:$B$2928,0),6)</f>
        <v>12.5</v>
      </c>
      <c r="AD335" s="21">
        <f>INDEX('[2]Cross-Section Database'!$C$2:$V$2928,MATCH(Z335,'[2]Cross-Section Database'!$B$2:$B$2928,0),5)</f>
        <v>12.5</v>
      </c>
      <c r="AE335" s="21">
        <v>980</v>
      </c>
      <c r="AF335" s="306" t="s">
        <v>6341</v>
      </c>
      <c r="AG335" s="21">
        <f>INDEX('[2]Cross-Section Database'!$C$2:$V$2928,MATCH(AF335,'[2]Cross-Section Database'!$B$2:$B$2928,0),3)</f>
        <v>460</v>
      </c>
      <c r="AH335" s="21">
        <f>INDEX('[2]Cross-Section Database'!$C$2:$V$2928,MATCH(AF335,'[2]Cross-Section Database'!$B$2:$B$2928,0),4)</f>
        <v>191</v>
      </c>
      <c r="AI335" s="21">
        <f>INDEX('[2]Cross-Section Database'!$C$2:$V$2928,MATCH(AF335,'[2]Cross-Section Database'!$B$2:$B$2928,0),6)</f>
        <v>16</v>
      </c>
      <c r="AJ335" s="21">
        <f>INDEX('[2]Cross-Section Database'!$C$2:$V$2928,MATCH(AF335,'[2]Cross-Section Database'!$B$2:$B$2928,0),5)</f>
        <v>9.9</v>
      </c>
      <c r="AK335" s="21">
        <v>1400</v>
      </c>
      <c r="AL335" s="21">
        <f>INDEX('[2]Cross-Section Database'!$C$2:$V$3928,MATCH(AF335,'[2]Cross-Section Database'!$B$2:$B$3928,0),11)</f>
        <v>372000000</v>
      </c>
      <c r="AM335" s="24">
        <f>INDEX('[2]Cross-Section Database'!$C$2:$V$3928,MATCH(AF335,'[2]Cross-Section Database'!$B$2:$B$3928,0),12)</f>
        <v>1840000</v>
      </c>
      <c r="AN335" s="21">
        <v>8</v>
      </c>
      <c r="AO335" s="21">
        <v>230</v>
      </c>
      <c r="AP335" s="21">
        <v>510</v>
      </c>
      <c r="AQ335" s="21">
        <f t="shared" si="167"/>
        <v>25</v>
      </c>
      <c r="AR335" s="21">
        <f t="shared" si="162"/>
        <v>25</v>
      </c>
      <c r="AS335" s="306" t="s">
        <v>5659</v>
      </c>
      <c r="AT335" s="163" t="s">
        <v>4501</v>
      </c>
      <c r="AU335" s="21">
        <v>95</v>
      </c>
      <c r="AV335" s="163">
        <v>20</v>
      </c>
      <c r="AW335" s="163">
        <f t="shared" si="160"/>
        <v>245</v>
      </c>
      <c r="AX335" s="21">
        <v>95</v>
      </c>
      <c r="AY335" s="21">
        <f t="shared" si="165"/>
        <v>95</v>
      </c>
      <c r="AZ335" s="21">
        <v>160</v>
      </c>
      <c r="BA335" s="21">
        <v>120</v>
      </c>
      <c r="BB335" s="21">
        <v>0</v>
      </c>
      <c r="BC335" s="15" t="s">
        <v>4470</v>
      </c>
      <c r="BD335" s="163" t="s">
        <v>6209</v>
      </c>
      <c r="BE335" s="163" t="s">
        <v>6209</v>
      </c>
      <c r="BF335" s="163">
        <v>2</v>
      </c>
      <c r="BG335" s="163">
        <v>6</v>
      </c>
      <c r="BH335" s="306">
        <v>120</v>
      </c>
      <c r="BI335" s="163">
        <v>1100</v>
      </c>
      <c r="BJ335" s="203" t="s">
        <v>5792</v>
      </c>
      <c r="BK335" s="203" t="s">
        <v>5792</v>
      </c>
      <c r="BL335" s="203" t="s">
        <v>5792</v>
      </c>
      <c r="BM335" s="203" t="s">
        <v>5792</v>
      </c>
      <c r="BN335" s="203" t="s">
        <v>5792</v>
      </c>
      <c r="BO335" s="203" t="s">
        <v>5792</v>
      </c>
      <c r="BP335" s="306" t="s">
        <v>5857</v>
      </c>
      <c r="BQ335" s="163">
        <v>6</v>
      </c>
      <c r="BR335" s="163">
        <v>2</v>
      </c>
      <c r="BS335" s="163">
        <v>16</v>
      </c>
      <c r="BT335" s="163">
        <v>120</v>
      </c>
      <c r="BU335" s="163">
        <v>120</v>
      </c>
      <c r="BV335" s="18">
        <v>550</v>
      </c>
      <c r="BW335" s="163" t="s">
        <v>4586</v>
      </c>
      <c r="BX335" s="163" t="s">
        <v>4585</v>
      </c>
      <c r="BY335" s="21">
        <f t="shared" si="180"/>
        <v>654.49846949787343</v>
      </c>
      <c r="BZ335" s="21">
        <f t="shared" si="181"/>
        <v>961.32735199847673</v>
      </c>
      <c r="CA335" s="163">
        <v>30</v>
      </c>
      <c r="CB335" s="121">
        <f t="shared" si="179"/>
        <v>7.2827829696854307E-3</v>
      </c>
      <c r="CC335" s="32" t="s">
        <v>4450</v>
      </c>
      <c r="CD335" s="60">
        <v>275</v>
      </c>
      <c r="CE335" s="21">
        <v>295.10000000000002</v>
      </c>
      <c r="CF335" s="21">
        <v>410</v>
      </c>
      <c r="CG335" s="21">
        <v>425.2</v>
      </c>
      <c r="CH335" s="69">
        <v>200000</v>
      </c>
      <c r="CI335" s="136" t="s">
        <v>5664</v>
      </c>
      <c r="CJ335" s="60">
        <v>300</v>
      </c>
      <c r="CK335" s="47">
        <v>368.5</v>
      </c>
      <c r="CL335" s="47">
        <v>505</v>
      </c>
      <c r="CM335" s="21">
        <v>538.9</v>
      </c>
      <c r="CN335" s="69">
        <v>208500</v>
      </c>
      <c r="CO335" s="163" t="s">
        <v>4385</v>
      </c>
      <c r="CP335" s="47">
        <v>690</v>
      </c>
      <c r="CQ335" s="21">
        <v>817.7</v>
      </c>
      <c r="CR335" s="47">
        <v>770</v>
      </c>
      <c r="CS335" s="21">
        <v>832.1</v>
      </c>
      <c r="CT335" s="62">
        <v>202000</v>
      </c>
      <c r="CU335" s="92" t="s">
        <v>5860</v>
      </c>
      <c r="CV335" s="64">
        <v>48.1</v>
      </c>
      <c r="CW335" s="64">
        <v>4.5999999999999996</v>
      </c>
      <c r="CX335" s="69">
        <v>32470</v>
      </c>
      <c r="CY335" s="92">
        <v>580</v>
      </c>
      <c r="CZ335" s="64">
        <v>710</v>
      </c>
      <c r="DA335" s="69">
        <v>200000</v>
      </c>
      <c r="DB335" s="283" t="s">
        <v>5792</v>
      </c>
      <c r="DC335" s="163">
        <v>8.8000000000000007</v>
      </c>
      <c r="DD335" s="163">
        <v>640</v>
      </c>
      <c r="DE335" s="21">
        <v>890</v>
      </c>
      <c r="DF335" s="21">
        <v>800</v>
      </c>
      <c r="DG335" s="21">
        <v>980</v>
      </c>
      <c r="DH335" s="62">
        <v>199000</v>
      </c>
      <c r="DI335" s="29" t="s">
        <v>5855</v>
      </c>
      <c r="DJ335" s="306" t="s">
        <v>4435</v>
      </c>
      <c r="DK335" s="297" t="s">
        <v>4566</v>
      </c>
    </row>
    <row r="336" spans="1:115">
      <c r="A336" s="306">
        <v>331</v>
      </c>
      <c r="B336" s="326"/>
      <c r="C336" s="326"/>
      <c r="D336" s="340"/>
      <c r="E336" s="340"/>
      <c r="F336" s="326"/>
      <c r="G336" s="337"/>
      <c r="H336" s="337"/>
      <c r="I336" s="337"/>
      <c r="J336" s="309" t="s">
        <v>4740</v>
      </c>
      <c r="K336" s="306" t="s">
        <v>4383</v>
      </c>
      <c r="L336" s="163" t="s">
        <v>5792</v>
      </c>
      <c r="M336" s="306" t="s">
        <v>4508</v>
      </c>
      <c r="N336" s="163" t="s">
        <v>4702</v>
      </c>
      <c r="O336" s="18" t="s">
        <v>4507</v>
      </c>
      <c r="P336" s="163" t="s">
        <v>6313</v>
      </c>
      <c r="Q336" s="163" t="s">
        <v>4420</v>
      </c>
      <c r="R336" s="163" t="s">
        <v>4420</v>
      </c>
      <c r="S336" s="163" t="s">
        <v>5792</v>
      </c>
      <c r="T336" s="163" t="s">
        <v>4420</v>
      </c>
      <c r="U336" s="163" t="s">
        <v>5792</v>
      </c>
      <c r="V336" s="163" t="s">
        <v>4559</v>
      </c>
      <c r="W336" s="18">
        <v>8</v>
      </c>
      <c r="X336" s="230">
        <v>0</v>
      </c>
      <c r="Y336" s="18">
        <v>0</v>
      </c>
      <c r="Z336" s="306" t="s">
        <v>6340</v>
      </c>
      <c r="AA336" s="21">
        <f>INDEX('[2]Cross-Section Database'!$C$2:$V$2928,MATCH(Z336,'[2]Cross-Section Database'!$B$2:$B$2928,0),3)</f>
        <v>260</v>
      </c>
      <c r="AB336" s="21">
        <f>INDEX('[2]Cross-Section Database'!$C$2:$V$2928,MATCH(Z336,'[2]Cross-Section Database'!$B$2:$B$2928,0),4)</f>
        <v>256</v>
      </c>
      <c r="AC336" s="21">
        <f>INDEX('[2]Cross-Section Database'!$C$2:$V$2928,MATCH(Z336,'[2]Cross-Section Database'!$B$2:$B$2928,0),6)</f>
        <v>17.3</v>
      </c>
      <c r="AD336" s="21">
        <f>INDEX('[2]Cross-Section Database'!$C$2:$V$2928,MATCH(Z336,'[2]Cross-Section Database'!$B$2:$B$2928,0),5)</f>
        <v>10.5</v>
      </c>
      <c r="AE336" s="21">
        <v>980</v>
      </c>
      <c r="AF336" s="306" t="s">
        <v>6341</v>
      </c>
      <c r="AG336" s="21">
        <f>INDEX('[2]Cross-Section Database'!$C$2:$V$2928,MATCH(AF336,'[2]Cross-Section Database'!$B$2:$B$2928,0),3)</f>
        <v>460</v>
      </c>
      <c r="AH336" s="21">
        <f>INDEX('[2]Cross-Section Database'!$C$2:$V$2928,MATCH(AF336,'[2]Cross-Section Database'!$B$2:$B$2928,0),4)</f>
        <v>191</v>
      </c>
      <c r="AI336" s="21">
        <f>INDEX('[2]Cross-Section Database'!$C$2:$V$2928,MATCH(AF336,'[2]Cross-Section Database'!$B$2:$B$2928,0),6)</f>
        <v>16</v>
      </c>
      <c r="AJ336" s="21">
        <f>INDEX('[2]Cross-Section Database'!$C$2:$V$2928,MATCH(AF336,'[2]Cross-Section Database'!$B$2:$B$2928,0),5)</f>
        <v>9.9</v>
      </c>
      <c r="AK336" s="21">
        <v>1400</v>
      </c>
      <c r="AL336" s="21">
        <f>INDEX('[2]Cross-Section Database'!$C$2:$V$3928,MATCH(AF336,'[2]Cross-Section Database'!$B$2:$B$3928,0),11)</f>
        <v>372000000</v>
      </c>
      <c r="AM336" s="24">
        <f>INDEX('[2]Cross-Section Database'!$C$2:$V$3928,MATCH(AF336,'[2]Cross-Section Database'!$B$2:$B$3928,0),12)</f>
        <v>1840000</v>
      </c>
      <c r="AN336" s="21">
        <v>8</v>
      </c>
      <c r="AO336" s="21">
        <v>230</v>
      </c>
      <c r="AP336" s="21">
        <v>510</v>
      </c>
      <c r="AQ336" s="21">
        <f t="shared" si="167"/>
        <v>25</v>
      </c>
      <c r="AR336" s="21">
        <f t="shared" si="162"/>
        <v>25</v>
      </c>
      <c r="AS336" s="306" t="s">
        <v>5807</v>
      </c>
      <c r="AT336" s="163" t="s">
        <v>4501</v>
      </c>
      <c r="AU336" s="21">
        <v>95</v>
      </c>
      <c r="AV336" s="163">
        <v>24</v>
      </c>
      <c r="AW336" s="163">
        <f t="shared" si="160"/>
        <v>353</v>
      </c>
      <c r="AX336" s="21">
        <v>95</v>
      </c>
      <c r="AY336" s="21">
        <f t="shared" si="165"/>
        <v>95</v>
      </c>
      <c r="AZ336" s="21">
        <v>0</v>
      </c>
      <c r="BA336" s="21">
        <v>120</v>
      </c>
      <c r="BB336" s="21">
        <f>AP336-AX336-AY336-AZ336</f>
        <v>320</v>
      </c>
      <c r="BC336" s="15" t="s">
        <v>6313</v>
      </c>
      <c r="BD336" s="163" t="s">
        <v>6209</v>
      </c>
      <c r="BE336" s="163" t="s">
        <v>6209</v>
      </c>
      <c r="BF336" s="163">
        <v>2</v>
      </c>
      <c r="BG336" s="163">
        <v>4</v>
      </c>
      <c r="BH336" s="306">
        <v>120</v>
      </c>
      <c r="BI336" s="163">
        <v>1100</v>
      </c>
      <c r="BJ336" s="203" t="s">
        <v>5792</v>
      </c>
      <c r="BK336" s="203" t="s">
        <v>5792</v>
      </c>
      <c r="BL336" s="203" t="s">
        <v>5792</v>
      </c>
      <c r="BM336" s="203" t="s">
        <v>5792</v>
      </c>
      <c r="BN336" s="203" t="s">
        <v>5792</v>
      </c>
      <c r="BO336" s="203" t="s">
        <v>5792</v>
      </c>
      <c r="BP336" s="306" t="s">
        <v>5857</v>
      </c>
      <c r="BQ336" s="163">
        <v>4</v>
      </c>
      <c r="BR336" s="163">
        <v>2</v>
      </c>
      <c r="BS336" s="163">
        <v>16</v>
      </c>
      <c r="BT336" s="163">
        <v>120</v>
      </c>
      <c r="BU336" s="163">
        <v>120</v>
      </c>
      <c r="BV336" s="18">
        <v>550</v>
      </c>
      <c r="BW336" s="163" t="s">
        <v>4586</v>
      </c>
      <c r="BX336" s="163" t="s">
        <v>4585</v>
      </c>
      <c r="BY336" s="21">
        <f t="shared" si="180"/>
        <v>654.49846949787343</v>
      </c>
      <c r="BZ336" s="21">
        <f t="shared" si="181"/>
        <v>961.32735199847673</v>
      </c>
      <c r="CA336" s="163">
        <v>30</v>
      </c>
      <c r="CB336" s="121">
        <f t="shared" si="179"/>
        <v>7.2827829696854307E-3</v>
      </c>
      <c r="CC336" s="32" t="s">
        <v>4450</v>
      </c>
      <c r="CD336" s="60">
        <v>275</v>
      </c>
      <c r="CE336" s="21">
        <v>340.5</v>
      </c>
      <c r="CF336" s="21">
        <v>410</v>
      </c>
      <c r="CG336" s="21">
        <v>523.75</v>
      </c>
      <c r="CH336" s="69">
        <v>197000</v>
      </c>
      <c r="CI336" s="136" t="s">
        <v>5664</v>
      </c>
      <c r="CJ336" s="60">
        <v>300</v>
      </c>
      <c r="CK336" s="47">
        <v>368.5</v>
      </c>
      <c r="CL336" s="47">
        <v>505</v>
      </c>
      <c r="CM336" s="21">
        <v>538.9</v>
      </c>
      <c r="CN336" s="69">
        <v>208500</v>
      </c>
      <c r="CO336" s="163" t="s">
        <v>4385</v>
      </c>
      <c r="CP336" s="47">
        <v>690</v>
      </c>
      <c r="CQ336" s="21">
        <v>817.7</v>
      </c>
      <c r="CR336" s="47">
        <v>770</v>
      </c>
      <c r="CS336" s="21">
        <v>832.1</v>
      </c>
      <c r="CT336" s="62">
        <v>202000</v>
      </c>
      <c r="CU336" s="92" t="s">
        <v>5860</v>
      </c>
      <c r="CV336" s="64">
        <v>48.9</v>
      </c>
      <c r="CW336" s="64">
        <v>4.78</v>
      </c>
      <c r="CX336" s="69">
        <v>32470</v>
      </c>
      <c r="CY336" s="92">
        <v>580</v>
      </c>
      <c r="CZ336" s="64">
        <v>710</v>
      </c>
      <c r="DA336" s="69">
        <v>200000</v>
      </c>
      <c r="DB336" s="283" t="s">
        <v>5792</v>
      </c>
      <c r="DC336" s="163">
        <v>10.9</v>
      </c>
      <c r="DD336" s="163">
        <v>900</v>
      </c>
      <c r="DE336" s="32">
        <v>990</v>
      </c>
      <c r="DF336" s="163">
        <v>1000</v>
      </c>
      <c r="DG336" s="32">
        <v>1100</v>
      </c>
      <c r="DH336" s="61">
        <v>200000</v>
      </c>
      <c r="DI336" s="29" t="s">
        <v>5855</v>
      </c>
      <c r="DJ336" s="306" t="s">
        <v>4435</v>
      </c>
      <c r="DK336" s="297" t="s">
        <v>4566</v>
      </c>
    </row>
    <row r="337" spans="1:115" ht="16.2" thickBot="1">
      <c r="A337" s="143">
        <v>332</v>
      </c>
      <c r="B337" s="327"/>
      <c r="C337" s="327"/>
      <c r="D337" s="341"/>
      <c r="E337" s="341"/>
      <c r="F337" s="327"/>
      <c r="G337" s="338"/>
      <c r="H337" s="338"/>
      <c r="I337" s="338"/>
      <c r="J337" s="310" t="s">
        <v>4741</v>
      </c>
      <c r="K337" s="143" t="s">
        <v>4383</v>
      </c>
      <c r="L337" s="164" t="s">
        <v>5792</v>
      </c>
      <c r="M337" s="143" t="s">
        <v>4508</v>
      </c>
      <c r="N337" s="164" t="s">
        <v>4702</v>
      </c>
      <c r="O337" s="14" t="s">
        <v>4507</v>
      </c>
      <c r="P337" s="164" t="s">
        <v>6313</v>
      </c>
      <c r="Q337" s="164" t="s">
        <v>4420</v>
      </c>
      <c r="R337" s="164" t="s">
        <v>4420</v>
      </c>
      <c r="S337" s="164" t="s">
        <v>5792</v>
      </c>
      <c r="T337" s="164" t="s">
        <v>4420</v>
      </c>
      <c r="U337" s="164" t="s">
        <v>5792</v>
      </c>
      <c r="V337" s="164" t="s">
        <v>4559</v>
      </c>
      <c r="W337" s="14">
        <v>8</v>
      </c>
      <c r="X337" s="235">
        <v>0</v>
      </c>
      <c r="Y337" s="14">
        <v>0</v>
      </c>
      <c r="Z337" s="306" t="s">
        <v>6340</v>
      </c>
      <c r="AA337" s="21">
        <f>INDEX('[2]Cross-Section Database'!$C$2:$V$2928,MATCH(Z337,'[2]Cross-Section Database'!$B$2:$B$2928,0),3)</f>
        <v>260</v>
      </c>
      <c r="AB337" s="21">
        <f>INDEX('[2]Cross-Section Database'!$C$2:$V$2928,MATCH(Z337,'[2]Cross-Section Database'!$B$2:$B$2928,0),4)</f>
        <v>256</v>
      </c>
      <c r="AC337" s="21">
        <f>INDEX('[2]Cross-Section Database'!$C$2:$V$2928,MATCH(Z337,'[2]Cross-Section Database'!$B$2:$B$2928,0),6)</f>
        <v>17.3</v>
      </c>
      <c r="AD337" s="21">
        <f>INDEX('[2]Cross-Section Database'!$C$2:$V$2928,MATCH(Z337,'[2]Cross-Section Database'!$B$2:$B$2928,0),5)</f>
        <v>10.5</v>
      </c>
      <c r="AE337" s="21">
        <v>980</v>
      </c>
      <c r="AF337" s="143" t="s">
        <v>6341</v>
      </c>
      <c r="AG337" s="23">
        <f>INDEX('[2]Cross-Section Database'!$C$2:$V$2928,MATCH(AF337,'[2]Cross-Section Database'!$B$2:$B$2928,0),3)</f>
        <v>460</v>
      </c>
      <c r="AH337" s="23">
        <f>INDEX('[2]Cross-Section Database'!$C$2:$V$2928,MATCH(AF337,'[2]Cross-Section Database'!$B$2:$B$2928,0),4)</f>
        <v>191</v>
      </c>
      <c r="AI337" s="23">
        <f>INDEX('[2]Cross-Section Database'!$C$2:$V$2928,MATCH(AF337,'[2]Cross-Section Database'!$B$2:$B$2928,0),6)</f>
        <v>16</v>
      </c>
      <c r="AJ337" s="23">
        <f>INDEX('[2]Cross-Section Database'!$C$2:$V$2928,MATCH(AF337,'[2]Cross-Section Database'!$B$2:$B$2928,0),5)</f>
        <v>9.9</v>
      </c>
      <c r="AK337" s="23">
        <v>1400</v>
      </c>
      <c r="AL337" s="23">
        <f>INDEX('[2]Cross-Section Database'!$C$2:$V$3928,MATCH(AF337,'[2]Cross-Section Database'!$B$2:$B$3928,0),11)</f>
        <v>372000000</v>
      </c>
      <c r="AM337" s="25">
        <f>INDEX('[2]Cross-Section Database'!$C$2:$V$3928,MATCH(AF337,'[2]Cross-Section Database'!$B$2:$B$3928,0),12)</f>
        <v>1840000</v>
      </c>
      <c r="AN337" s="23">
        <v>8</v>
      </c>
      <c r="AO337" s="23">
        <v>230</v>
      </c>
      <c r="AP337" s="23">
        <v>510</v>
      </c>
      <c r="AQ337" s="23">
        <f t="shared" si="167"/>
        <v>25</v>
      </c>
      <c r="AR337" s="23">
        <f t="shared" si="162"/>
        <v>25</v>
      </c>
      <c r="AS337" s="306" t="s">
        <v>5807</v>
      </c>
      <c r="AT337" s="163" t="s">
        <v>4501</v>
      </c>
      <c r="AU337" s="21">
        <v>145</v>
      </c>
      <c r="AV337" s="163">
        <v>24</v>
      </c>
      <c r="AW337" s="163">
        <f t="shared" si="160"/>
        <v>353</v>
      </c>
      <c r="AX337" s="21">
        <v>95</v>
      </c>
      <c r="AY337" s="21">
        <f t="shared" si="165"/>
        <v>95</v>
      </c>
      <c r="AZ337" s="21">
        <v>0</v>
      </c>
      <c r="BA337" s="21">
        <v>120</v>
      </c>
      <c r="BB337" s="21">
        <f>AP337-AX337-AY337-AZ337</f>
        <v>320</v>
      </c>
      <c r="BC337" s="15" t="s">
        <v>6313</v>
      </c>
      <c r="BD337" s="163" t="s">
        <v>6209</v>
      </c>
      <c r="BE337" s="163" t="s">
        <v>6209</v>
      </c>
      <c r="BF337" s="163">
        <v>2</v>
      </c>
      <c r="BG337" s="163">
        <v>4</v>
      </c>
      <c r="BH337" s="306">
        <v>120</v>
      </c>
      <c r="BI337" s="163">
        <v>1100</v>
      </c>
      <c r="BJ337" s="203" t="s">
        <v>5792</v>
      </c>
      <c r="BK337" s="203" t="s">
        <v>5792</v>
      </c>
      <c r="BL337" s="203" t="s">
        <v>5792</v>
      </c>
      <c r="BM337" s="203" t="s">
        <v>5792</v>
      </c>
      <c r="BN337" s="203" t="s">
        <v>5792</v>
      </c>
      <c r="BO337" s="203" t="s">
        <v>5792</v>
      </c>
      <c r="BP337" s="306" t="s">
        <v>5857</v>
      </c>
      <c r="BQ337" s="163">
        <v>4</v>
      </c>
      <c r="BR337" s="163">
        <v>2</v>
      </c>
      <c r="BS337" s="163">
        <v>20</v>
      </c>
      <c r="BT337" s="163">
        <v>120</v>
      </c>
      <c r="BU337" s="163">
        <v>120</v>
      </c>
      <c r="BV337" s="18">
        <v>550</v>
      </c>
      <c r="BW337" s="163" t="s">
        <v>4586</v>
      </c>
      <c r="BX337" s="163" t="s">
        <v>4585</v>
      </c>
      <c r="BY337" s="23">
        <f>((BI337/150)+1)*PI()*10^2/4</f>
        <v>654.49846949787343</v>
      </c>
      <c r="BZ337" s="21">
        <f t="shared" si="181"/>
        <v>961.32735199847673</v>
      </c>
      <c r="CA337" s="163">
        <v>30</v>
      </c>
      <c r="CB337" s="121">
        <f t="shared" si="179"/>
        <v>7.2827829696854307E-3</v>
      </c>
      <c r="CC337" s="32" t="s">
        <v>4450</v>
      </c>
      <c r="CD337" s="60">
        <v>275</v>
      </c>
      <c r="CE337" s="23">
        <v>340.5</v>
      </c>
      <c r="CF337" s="23">
        <v>410</v>
      </c>
      <c r="CG337" s="23">
        <v>523.75</v>
      </c>
      <c r="CH337" s="68">
        <v>197000</v>
      </c>
      <c r="CI337" s="136" t="s">
        <v>5664</v>
      </c>
      <c r="CJ337" s="60">
        <v>300</v>
      </c>
      <c r="CK337" s="47">
        <v>368.5</v>
      </c>
      <c r="CL337" s="47">
        <v>505</v>
      </c>
      <c r="CM337" s="38">
        <v>538.9</v>
      </c>
      <c r="CN337" s="68">
        <v>208500</v>
      </c>
      <c r="CO337" s="163" t="s">
        <v>4385</v>
      </c>
      <c r="CP337" s="47">
        <v>690</v>
      </c>
      <c r="CQ337" s="21">
        <v>817.7</v>
      </c>
      <c r="CR337" s="47">
        <v>770</v>
      </c>
      <c r="CS337" s="21">
        <v>832.1</v>
      </c>
      <c r="CT337" s="62">
        <v>202000</v>
      </c>
      <c r="CU337" s="92" t="s">
        <v>5860</v>
      </c>
      <c r="CV337" s="84">
        <v>49.1</v>
      </c>
      <c r="CW337" s="84">
        <v>4.8099999999999996</v>
      </c>
      <c r="CX337" s="83">
        <v>32470</v>
      </c>
      <c r="CY337" s="93">
        <v>580</v>
      </c>
      <c r="CZ337" s="84">
        <v>710</v>
      </c>
      <c r="DA337" s="83">
        <v>200000</v>
      </c>
      <c r="DB337" s="283" t="s">
        <v>5792</v>
      </c>
      <c r="DC337" s="163">
        <v>10.9</v>
      </c>
      <c r="DD337" s="163">
        <v>900</v>
      </c>
      <c r="DE337" s="32">
        <v>990</v>
      </c>
      <c r="DF337" s="163">
        <v>1000</v>
      </c>
      <c r="DG337" s="32">
        <v>1100</v>
      </c>
      <c r="DH337" s="61">
        <v>200000</v>
      </c>
      <c r="DI337" s="29" t="s">
        <v>5855</v>
      </c>
      <c r="DJ337" s="306" t="s">
        <v>4435</v>
      </c>
      <c r="DK337" s="297" t="s">
        <v>4566</v>
      </c>
    </row>
    <row r="338" spans="1:115" ht="15.6" customHeight="1">
      <c r="A338" s="306">
        <v>333</v>
      </c>
      <c r="B338" s="325">
        <v>51</v>
      </c>
      <c r="C338" s="325">
        <v>2016</v>
      </c>
      <c r="D338" s="333" t="s">
        <v>5647</v>
      </c>
      <c r="E338" s="333" t="s">
        <v>4843</v>
      </c>
      <c r="F338" s="325">
        <v>6</v>
      </c>
      <c r="G338" s="336" t="s">
        <v>5930</v>
      </c>
      <c r="H338" s="336" t="s">
        <v>5929</v>
      </c>
      <c r="I338" s="336" t="s">
        <v>6258</v>
      </c>
      <c r="J338" s="319" t="s">
        <v>6299</v>
      </c>
      <c r="K338" s="306" t="s">
        <v>6318</v>
      </c>
      <c r="L338" s="163" t="s">
        <v>6063</v>
      </c>
      <c r="M338" s="306" t="s">
        <v>4509</v>
      </c>
      <c r="N338" s="163" t="s">
        <v>4703</v>
      </c>
      <c r="O338" s="18" t="s">
        <v>4507</v>
      </c>
      <c r="P338" s="163" t="s">
        <v>6312</v>
      </c>
      <c r="Q338" s="163" t="s">
        <v>4420</v>
      </c>
      <c r="R338" s="163" t="s">
        <v>4420</v>
      </c>
      <c r="S338" s="163" t="s">
        <v>5792</v>
      </c>
      <c r="T338" s="163" t="s">
        <v>4420</v>
      </c>
      <c r="U338" s="163" t="s">
        <v>5792</v>
      </c>
      <c r="V338" s="163" t="s">
        <v>4560</v>
      </c>
      <c r="W338" s="89">
        <v>0</v>
      </c>
      <c r="X338" s="239">
        <v>0</v>
      </c>
      <c r="Y338" s="17">
        <v>0</v>
      </c>
      <c r="Z338" s="305" t="s">
        <v>6300</v>
      </c>
      <c r="AA338" s="16">
        <f>INDEX('[2]Cross-Section Database'!$C$2:$V$2928,MATCH(Z338,'[2]Cross-Section Database'!$B$2:$B$2928,0),3)</f>
        <v>133</v>
      </c>
      <c r="AB338" s="16">
        <f>INDEX('[2]Cross-Section Database'!$C$2:$V$2928,MATCH(Z338,'[2]Cross-Section Database'!$B$2:$B$2928,0),4)</f>
        <v>140</v>
      </c>
      <c r="AC338" s="45">
        <f>INDEX('[2]Cross-Section Database'!$C$2:$V$2928,MATCH(Z338,'[2]Cross-Section Database'!$B$2:$B$2928,0),6)</f>
        <v>8.5</v>
      </c>
      <c r="AD338" s="45">
        <f>INDEX('[2]Cross-Section Database'!$C$2:$V$2928,MATCH(Z338,'[2]Cross-Section Database'!$B$2:$B$2928,0),5)</f>
        <v>5.5</v>
      </c>
      <c r="AE338" s="16">
        <v>1100</v>
      </c>
      <c r="AF338" s="305" t="s">
        <v>6342</v>
      </c>
      <c r="AG338" s="16">
        <f>INDEX('[2]Cross-Section Database'!$C$2:$V$2928,MATCH(AF338,'[2]Cross-Section Database'!$B$2:$B$2928,0),3)</f>
        <v>114</v>
      </c>
      <c r="AH338" s="16">
        <f>INDEX('[2]Cross-Section Database'!$C$2:$V$2928,MATCH(AF338,'[2]Cross-Section Database'!$B$2:$B$2928,0),4)</f>
        <v>120</v>
      </c>
      <c r="AI338" s="16">
        <f>INDEX('[2]Cross-Section Database'!$C$2:$V$2928,MATCH(AF338,'[2]Cross-Section Database'!$B$2:$B$2928,0),6)</f>
        <v>8</v>
      </c>
      <c r="AJ338" s="16">
        <f>INDEX('[2]Cross-Section Database'!$C$2:$V$2928,MATCH(AF338,'[2]Cross-Section Database'!$B$2:$B$2928,0),5)</f>
        <v>5</v>
      </c>
      <c r="AK338" s="16">
        <v>1000</v>
      </c>
      <c r="AL338" s="16">
        <f>INDEX('[2]Cross-Section Database'!$C$2:$V$3928,MATCH(AF338,'[2]Cross-Section Database'!$B$2:$B$3928,0),11)</f>
        <v>6062000</v>
      </c>
      <c r="AM338" s="26">
        <f>INDEX('[2]Cross-Section Database'!$C$2:$V$3928,MATCH(AF338,'[2]Cross-Section Database'!$B$2:$B$3928,0),12)</f>
        <v>119500</v>
      </c>
      <c r="AN338" s="21">
        <v>25</v>
      </c>
      <c r="AO338" s="21">
        <v>120</v>
      </c>
      <c r="AP338" s="21">
        <v>142</v>
      </c>
      <c r="AQ338" s="21">
        <v>14.5</v>
      </c>
      <c r="AR338" s="21">
        <v>14.5</v>
      </c>
      <c r="AS338" s="305" t="s">
        <v>5807</v>
      </c>
      <c r="AT338" s="162" t="s">
        <v>6134</v>
      </c>
      <c r="AU338" s="16" t="s">
        <v>6134</v>
      </c>
      <c r="AV338" s="162">
        <v>16</v>
      </c>
      <c r="AW338" s="162">
        <f t="shared" si="160"/>
        <v>157</v>
      </c>
      <c r="AX338" s="16">
        <v>48</v>
      </c>
      <c r="AY338" s="16">
        <f t="shared" si="165"/>
        <v>48</v>
      </c>
      <c r="AZ338" s="16">
        <v>0</v>
      </c>
      <c r="BA338" s="16">
        <v>50</v>
      </c>
      <c r="BB338" s="16">
        <f>AP338-AX338-AY338-AZ338</f>
        <v>46</v>
      </c>
      <c r="BC338" s="22" t="s">
        <v>6313</v>
      </c>
      <c r="BD338" s="162" t="s">
        <v>6209</v>
      </c>
      <c r="BE338" s="162" t="s">
        <v>6209</v>
      </c>
      <c r="BF338" s="162">
        <v>2</v>
      </c>
      <c r="BG338" s="162">
        <v>4</v>
      </c>
      <c r="BH338" s="200" t="s">
        <v>5792</v>
      </c>
      <c r="BI338" s="201" t="s">
        <v>5792</v>
      </c>
      <c r="BJ338" s="201" t="s">
        <v>5792</v>
      </c>
      <c r="BK338" s="201" t="s">
        <v>5792</v>
      </c>
      <c r="BL338" s="201" t="s">
        <v>5792</v>
      </c>
      <c r="BM338" s="201" t="s">
        <v>5792</v>
      </c>
      <c r="BN338" s="201" t="s">
        <v>5792</v>
      </c>
      <c r="BO338" s="201" t="s">
        <v>5792</v>
      </c>
      <c r="BP338" s="200" t="s">
        <v>5792</v>
      </c>
      <c r="BQ338" s="201" t="s">
        <v>5792</v>
      </c>
      <c r="BR338" s="201" t="s">
        <v>5792</v>
      </c>
      <c r="BS338" s="201" t="s">
        <v>5792</v>
      </c>
      <c r="BT338" s="201" t="s">
        <v>5792</v>
      </c>
      <c r="BU338" s="201" t="s">
        <v>5792</v>
      </c>
      <c r="BV338" s="219" t="s">
        <v>5792</v>
      </c>
      <c r="BW338" s="201" t="s">
        <v>5792</v>
      </c>
      <c r="BX338" s="201" t="s">
        <v>5792</v>
      </c>
      <c r="BY338" s="201" t="s">
        <v>5792</v>
      </c>
      <c r="BZ338" s="201" t="s">
        <v>5792</v>
      </c>
      <c r="CA338" s="201" t="s">
        <v>5792</v>
      </c>
      <c r="CB338" s="219" t="s">
        <v>5792</v>
      </c>
      <c r="CC338" s="30" t="s">
        <v>4450</v>
      </c>
      <c r="CD338" s="65">
        <v>275</v>
      </c>
      <c r="CE338" s="30">
        <v>360</v>
      </c>
      <c r="CF338" s="65">
        <v>410</v>
      </c>
      <c r="CG338" s="30">
        <v>530</v>
      </c>
      <c r="CH338" s="66">
        <v>200000</v>
      </c>
      <c r="CI338" s="106" t="s">
        <v>4450</v>
      </c>
      <c r="CJ338" s="65">
        <v>275</v>
      </c>
      <c r="CK338" s="30">
        <v>360</v>
      </c>
      <c r="CL338" s="65">
        <v>410</v>
      </c>
      <c r="CM338" s="30">
        <v>530</v>
      </c>
      <c r="CN338" s="66">
        <v>200000</v>
      </c>
      <c r="CO338" s="30" t="s">
        <v>4450</v>
      </c>
      <c r="CP338" s="65">
        <v>275</v>
      </c>
      <c r="CQ338" s="30">
        <v>360</v>
      </c>
      <c r="CR338" s="65">
        <v>410</v>
      </c>
      <c r="CS338" s="30">
        <v>530</v>
      </c>
      <c r="CT338" s="76">
        <v>200000</v>
      </c>
      <c r="CU338" s="204" t="s">
        <v>5792</v>
      </c>
      <c r="CV338" s="205" t="s">
        <v>5792</v>
      </c>
      <c r="CW338" s="205" t="s">
        <v>5792</v>
      </c>
      <c r="CX338" s="206" t="s">
        <v>5792</v>
      </c>
      <c r="CY338" s="204" t="s">
        <v>5792</v>
      </c>
      <c r="CZ338" s="205" t="s">
        <v>5792</v>
      </c>
      <c r="DA338" s="206" t="s">
        <v>5792</v>
      </c>
      <c r="DB338" s="282" t="s">
        <v>5792</v>
      </c>
      <c r="DC338" s="162">
        <v>10.9</v>
      </c>
      <c r="DD338" s="162">
        <v>900</v>
      </c>
      <c r="DE338" s="30">
        <v>990</v>
      </c>
      <c r="DF338" s="162">
        <v>1000</v>
      </c>
      <c r="DG338" s="30">
        <v>1100</v>
      </c>
      <c r="DH338" s="76">
        <v>200000</v>
      </c>
      <c r="DI338" s="28" t="s">
        <v>15</v>
      </c>
      <c r="DJ338" s="162" t="s">
        <v>4561</v>
      </c>
      <c r="DK338" s="296" t="s">
        <v>4566</v>
      </c>
    </row>
    <row r="339" spans="1:115" ht="15.6" customHeight="1">
      <c r="A339" s="306">
        <v>334</v>
      </c>
      <c r="B339" s="326"/>
      <c r="C339" s="326"/>
      <c r="D339" s="334"/>
      <c r="E339" s="334"/>
      <c r="F339" s="326"/>
      <c r="G339" s="337"/>
      <c r="H339" s="337"/>
      <c r="I339" s="337"/>
      <c r="J339" s="314" t="s">
        <v>4386</v>
      </c>
      <c r="K339" s="306" t="s">
        <v>6318</v>
      </c>
      <c r="L339" s="163" t="s">
        <v>6063</v>
      </c>
      <c r="M339" s="306" t="s">
        <v>4509</v>
      </c>
      <c r="N339" s="163" t="s">
        <v>4703</v>
      </c>
      <c r="O339" s="18" t="s">
        <v>4507</v>
      </c>
      <c r="P339" s="163" t="s">
        <v>6312</v>
      </c>
      <c r="Q339" s="163" t="s">
        <v>4420</v>
      </c>
      <c r="R339" s="163" t="s">
        <v>4420</v>
      </c>
      <c r="S339" s="163" t="s">
        <v>5792</v>
      </c>
      <c r="T339" s="163" t="s">
        <v>4420</v>
      </c>
      <c r="U339" s="163" t="s">
        <v>5792</v>
      </c>
      <c r="V339" s="163" t="s">
        <v>4560</v>
      </c>
      <c r="W339" s="89">
        <v>0</v>
      </c>
      <c r="X339" s="230">
        <v>0</v>
      </c>
      <c r="Y339" s="18">
        <v>0</v>
      </c>
      <c r="Z339" s="306" t="s">
        <v>6342</v>
      </c>
      <c r="AA339" s="21">
        <f>INDEX('[2]Cross-Section Database'!$C$2:$V$2928,MATCH(Z339,'[2]Cross-Section Database'!$B$2:$B$2928,0),3)</f>
        <v>114</v>
      </c>
      <c r="AB339" s="21">
        <f>INDEX('[2]Cross-Section Database'!$C$2:$V$2928,MATCH(Z339,'[2]Cross-Section Database'!$B$2:$B$2928,0),4)</f>
        <v>120</v>
      </c>
      <c r="AC339" s="46">
        <f>INDEX('[2]Cross-Section Database'!$C$2:$V$2928,MATCH(Z339,'[2]Cross-Section Database'!$B$2:$B$2928,0),6)</f>
        <v>8</v>
      </c>
      <c r="AD339" s="46">
        <f>INDEX('[2]Cross-Section Database'!$C$2:$V$2928,MATCH(Z339,'[2]Cross-Section Database'!$B$2:$B$2928,0),5)</f>
        <v>5</v>
      </c>
      <c r="AE339" s="21">
        <v>1100</v>
      </c>
      <c r="AF339" s="306" t="s">
        <v>6343</v>
      </c>
      <c r="AG339" s="21">
        <f>INDEX('[2]Cross-Section Database'!$C$2:$V$2928,MATCH(AF339,'[2]Cross-Section Database'!$B$2:$B$2928,0),3)</f>
        <v>160</v>
      </c>
      <c r="AH339" s="21">
        <f>INDEX('[2]Cross-Section Database'!$C$2:$V$2928,MATCH(AF339,'[2]Cross-Section Database'!$B$2:$B$2928,0),4)</f>
        <v>82</v>
      </c>
      <c r="AI339" s="21">
        <f>INDEX('[2]Cross-Section Database'!$C$2:$V$2928,MATCH(AF339,'[2]Cross-Section Database'!$B$2:$B$2928,0),6)</f>
        <v>7.4</v>
      </c>
      <c r="AJ339" s="21">
        <f>INDEX('[2]Cross-Section Database'!$C$2:$V$2928,MATCH(AF339,'[2]Cross-Section Database'!$B$2:$B$2928,0),5)</f>
        <v>5</v>
      </c>
      <c r="AK339" s="21">
        <v>1000</v>
      </c>
      <c r="AL339" s="21">
        <f>INDEX('[2]Cross-Section Database'!$C$2:$V$3928,MATCH(AF339,'[2]Cross-Section Database'!$B$2:$B$3928,0),11)</f>
        <v>8690000</v>
      </c>
      <c r="AM339" s="24">
        <f>INDEX('[2]Cross-Section Database'!$C$2:$V$3928,MATCH(AF339,'[2]Cross-Section Database'!$B$2:$B$3928,0),12)</f>
        <v>124000</v>
      </c>
      <c r="AN339" s="21">
        <v>25</v>
      </c>
      <c r="AO339" s="21">
        <v>117</v>
      </c>
      <c r="AP339" s="21">
        <v>188</v>
      </c>
      <c r="AQ339" s="21">
        <f t="shared" ref="AQ339:AQ347" si="182">(AP339-AG339)-AR339</f>
        <v>14</v>
      </c>
      <c r="AR339" s="21">
        <f t="shared" ref="AR339:AR357" si="183">(AP339-AG339)/2</f>
        <v>14</v>
      </c>
      <c r="AS339" s="306" t="s">
        <v>5807</v>
      </c>
      <c r="AT339" s="163" t="s">
        <v>6134</v>
      </c>
      <c r="AU339" s="21" t="s">
        <v>6134</v>
      </c>
      <c r="AV339" s="163">
        <v>20</v>
      </c>
      <c r="AW339" s="163">
        <f t="shared" si="160"/>
        <v>245</v>
      </c>
      <c r="AX339" s="21">
        <v>44</v>
      </c>
      <c r="AY339" s="21">
        <f t="shared" si="165"/>
        <v>44</v>
      </c>
      <c r="AZ339" s="21">
        <v>0</v>
      </c>
      <c r="BA339" s="21">
        <v>50</v>
      </c>
      <c r="BB339" s="21">
        <f>AP339-AX339-AY339-AZ339</f>
        <v>100</v>
      </c>
      <c r="BC339" s="15" t="s">
        <v>6313</v>
      </c>
      <c r="BD339" s="163" t="s">
        <v>6209</v>
      </c>
      <c r="BE339" s="163" t="s">
        <v>6209</v>
      </c>
      <c r="BF339" s="163">
        <v>2</v>
      </c>
      <c r="BG339" s="163">
        <v>4</v>
      </c>
      <c r="BH339" s="202" t="s">
        <v>5792</v>
      </c>
      <c r="BI339" s="203" t="s">
        <v>5792</v>
      </c>
      <c r="BJ339" s="203" t="s">
        <v>5792</v>
      </c>
      <c r="BK339" s="203" t="s">
        <v>5792</v>
      </c>
      <c r="BL339" s="203" t="s">
        <v>5792</v>
      </c>
      <c r="BM339" s="203" t="s">
        <v>5792</v>
      </c>
      <c r="BN339" s="203" t="s">
        <v>5792</v>
      </c>
      <c r="BO339" s="203" t="s">
        <v>5792</v>
      </c>
      <c r="BP339" s="202" t="s">
        <v>5792</v>
      </c>
      <c r="BQ339" s="203" t="s">
        <v>5792</v>
      </c>
      <c r="BR339" s="203" t="s">
        <v>5792</v>
      </c>
      <c r="BS339" s="203" t="s">
        <v>5792</v>
      </c>
      <c r="BT339" s="203" t="s">
        <v>5792</v>
      </c>
      <c r="BU339" s="203" t="s">
        <v>5792</v>
      </c>
      <c r="BV339" s="218" t="s">
        <v>5792</v>
      </c>
      <c r="BW339" s="203" t="s">
        <v>5792</v>
      </c>
      <c r="BX339" s="203" t="s">
        <v>5792</v>
      </c>
      <c r="BY339" s="203" t="s">
        <v>5792</v>
      </c>
      <c r="BZ339" s="203" t="s">
        <v>5792</v>
      </c>
      <c r="CA339" s="203" t="s">
        <v>5792</v>
      </c>
      <c r="CB339" s="218" t="s">
        <v>5792</v>
      </c>
      <c r="CC339" s="32" t="s">
        <v>4450</v>
      </c>
      <c r="CD339" s="60">
        <v>275</v>
      </c>
      <c r="CE339" s="32">
        <v>360</v>
      </c>
      <c r="CF339" s="60">
        <v>410</v>
      </c>
      <c r="CG339" s="32">
        <v>530</v>
      </c>
      <c r="CH339" s="67">
        <v>200000</v>
      </c>
      <c r="CI339" s="107" t="s">
        <v>4450</v>
      </c>
      <c r="CJ339" s="60">
        <v>275</v>
      </c>
      <c r="CK339" s="32">
        <v>360</v>
      </c>
      <c r="CL339" s="60">
        <v>410</v>
      </c>
      <c r="CM339" s="32">
        <v>530</v>
      </c>
      <c r="CN339" s="67">
        <v>200000</v>
      </c>
      <c r="CO339" s="32" t="s">
        <v>4450</v>
      </c>
      <c r="CP339" s="60">
        <v>275</v>
      </c>
      <c r="CQ339" s="32">
        <v>360</v>
      </c>
      <c r="CR339" s="60">
        <v>410</v>
      </c>
      <c r="CS339" s="32">
        <v>530</v>
      </c>
      <c r="CT339" s="61">
        <v>200000</v>
      </c>
      <c r="CU339" s="207" t="s">
        <v>5792</v>
      </c>
      <c r="CV339" s="208" t="s">
        <v>5792</v>
      </c>
      <c r="CW339" s="208" t="s">
        <v>5792</v>
      </c>
      <c r="CX339" s="209" t="s">
        <v>5792</v>
      </c>
      <c r="CY339" s="207" t="s">
        <v>5792</v>
      </c>
      <c r="CZ339" s="208" t="s">
        <v>5792</v>
      </c>
      <c r="DA339" s="209" t="s">
        <v>5792</v>
      </c>
      <c r="DB339" s="283" t="s">
        <v>5792</v>
      </c>
      <c r="DC339" s="163">
        <v>10.9</v>
      </c>
      <c r="DD339" s="163">
        <v>900</v>
      </c>
      <c r="DE339" s="32">
        <v>990</v>
      </c>
      <c r="DF339" s="163">
        <v>1000</v>
      </c>
      <c r="DG339" s="32">
        <v>1100</v>
      </c>
      <c r="DH339" s="61">
        <v>200000</v>
      </c>
      <c r="DI339" s="29" t="s">
        <v>15</v>
      </c>
      <c r="DJ339" s="163" t="s">
        <v>4561</v>
      </c>
      <c r="DK339" s="297" t="s">
        <v>4566</v>
      </c>
    </row>
    <row r="340" spans="1:115">
      <c r="A340" s="306">
        <v>335</v>
      </c>
      <c r="B340" s="326"/>
      <c r="C340" s="326"/>
      <c r="D340" s="334"/>
      <c r="E340" s="334"/>
      <c r="F340" s="326"/>
      <c r="G340" s="337"/>
      <c r="H340" s="337"/>
      <c r="I340" s="337"/>
      <c r="J340" s="314" t="s">
        <v>4387</v>
      </c>
      <c r="K340" s="306" t="s">
        <v>6318</v>
      </c>
      <c r="L340" s="163" t="s">
        <v>6063</v>
      </c>
      <c r="M340" s="306" t="s">
        <v>4509</v>
      </c>
      <c r="N340" s="163" t="s">
        <v>4703</v>
      </c>
      <c r="O340" s="18" t="s">
        <v>4507</v>
      </c>
      <c r="P340" s="163" t="s">
        <v>6312</v>
      </c>
      <c r="Q340" s="163" t="s">
        <v>4420</v>
      </c>
      <c r="R340" s="163" t="s">
        <v>4420</v>
      </c>
      <c r="S340" s="163" t="s">
        <v>5792</v>
      </c>
      <c r="T340" s="163" t="s">
        <v>4420</v>
      </c>
      <c r="U340" s="163" t="s">
        <v>5792</v>
      </c>
      <c r="V340" s="163" t="s">
        <v>4560</v>
      </c>
      <c r="W340" s="89">
        <v>0</v>
      </c>
      <c r="X340" s="230">
        <v>0</v>
      </c>
      <c r="Y340" s="18">
        <v>0</v>
      </c>
      <c r="Z340" s="306" t="s">
        <v>6300</v>
      </c>
      <c r="AA340" s="21">
        <f>INDEX('[2]Cross-Section Database'!$C$2:$V$2928,MATCH(Z340,'[2]Cross-Section Database'!$B$2:$B$2928,0),3)</f>
        <v>133</v>
      </c>
      <c r="AB340" s="21">
        <f>INDEX('[2]Cross-Section Database'!$C$2:$V$2928,MATCH(Z340,'[2]Cross-Section Database'!$B$2:$B$2928,0),4)</f>
        <v>140</v>
      </c>
      <c r="AC340" s="46">
        <f>INDEX('[2]Cross-Section Database'!$C$2:$V$2928,MATCH(Z340,'[2]Cross-Section Database'!$B$2:$B$2928,0),6)</f>
        <v>8.5</v>
      </c>
      <c r="AD340" s="46">
        <f>INDEX('[2]Cross-Section Database'!$C$2:$V$2928,MATCH(Z340,'[2]Cross-Section Database'!$B$2:$B$2928,0),5)</f>
        <v>5.5</v>
      </c>
      <c r="AE340" s="21">
        <v>1100</v>
      </c>
      <c r="AF340" s="306" t="s">
        <v>6342</v>
      </c>
      <c r="AG340" s="21">
        <f>INDEX('[2]Cross-Section Database'!$C$2:$V$2928,MATCH(AF340,'[2]Cross-Section Database'!$B$2:$B$2928,0),3)</f>
        <v>114</v>
      </c>
      <c r="AH340" s="21">
        <f>INDEX('[2]Cross-Section Database'!$C$2:$V$2928,MATCH(AF340,'[2]Cross-Section Database'!$B$2:$B$2928,0),4)</f>
        <v>120</v>
      </c>
      <c r="AI340" s="21">
        <f>INDEX('[2]Cross-Section Database'!$C$2:$V$2928,MATCH(AF340,'[2]Cross-Section Database'!$B$2:$B$2928,0),6)</f>
        <v>8</v>
      </c>
      <c r="AJ340" s="21">
        <f>INDEX('[2]Cross-Section Database'!$C$2:$V$2928,MATCH(AF340,'[2]Cross-Section Database'!$B$2:$B$2928,0),5)</f>
        <v>5</v>
      </c>
      <c r="AK340" s="21">
        <v>1000</v>
      </c>
      <c r="AL340" s="21">
        <f>INDEX('[2]Cross-Section Database'!$C$2:$V$3928,MATCH(AF340,'[2]Cross-Section Database'!$B$2:$B$3928,0),11)</f>
        <v>6062000</v>
      </c>
      <c r="AM340" s="24">
        <f>INDEX('[2]Cross-Section Database'!$C$2:$V$3928,MATCH(AF340,'[2]Cross-Section Database'!$B$2:$B$3928,0),12)</f>
        <v>119500</v>
      </c>
      <c r="AN340" s="21">
        <v>33</v>
      </c>
      <c r="AO340" s="21">
        <v>120</v>
      </c>
      <c r="AP340" s="21">
        <v>137</v>
      </c>
      <c r="AQ340" s="21">
        <f t="shared" si="182"/>
        <v>11.5</v>
      </c>
      <c r="AR340" s="21">
        <f t="shared" si="183"/>
        <v>11.5</v>
      </c>
      <c r="AS340" s="306" t="s">
        <v>5807</v>
      </c>
      <c r="AT340" s="163" t="s">
        <v>6134</v>
      </c>
      <c r="AU340" s="21" t="s">
        <v>6134</v>
      </c>
      <c r="AV340" s="163">
        <v>20</v>
      </c>
      <c r="AW340" s="163">
        <f t="shared" si="160"/>
        <v>245</v>
      </c>
      <c r="AX340" s="21">
        <v>38.5</v>
      </c>
      <c r="AY340" s="21">
        <f t="shared" si="165"/>
        <v>38.5</v>
      </c>
      <c r="AZ340" s="21">
        <v>0</v>
      </c>
      <c r="BA340" s="21">
        <v>50</v>
      </c>
      <c r="BB340" s="21">
        <f>AP340-AX340-AY340-AZ340</f>
        <v>60</v>
      </c>
      <c r="BC340" s="15" t="s">
        <v>6313</v>
      </c>
      <c r="BD340" s="163" t="s">
        <v>6209</v>
      </c>
      <c r="BE340" s="163" t="s">
        <v>6209</v>
      </c>
      <c r="BF340" s="163">
        <v>2</v>
      </c>
      <c r="BG340" s="163">
        <v>4</v>
      </c>
      <c r="BH340" s="202" t="s">
        <v>5792</v>
      </c>
      <c r="BI340" s="203" t="s">
        <v>5792</v>
      </c>
      <c r="BJ340" s="203" t="s">
        <v>5792</v>
      </c>
      <c r="BK340" s="203" t="s">
        <v>5792</v>
      </c>
      <c r="BL340" s="203" t="s">
        <v>5792</v>
      </c>
      <c r="BM340" s="203" t="s">
        <v>5792</v>
      </c>
      <c r="BN340" s="203" t="s">
        <v>5792</v>
      </c>
      <c r="BO340" s="203" t="s">
        <v>5792</v>
      </c>
      <c r="BP340" s="202" t="s">
        <v>5792</v>
      </c>
      <c r="BQ340" s="203" t="s">
        <v>5792</v>
      </c>
      <c r="BR340" s="203" t="s">
        <v>5792</v>
      </c>
      <c r="BS340" s="203" t="s">
        <v>5792</v>
      </c>
      <c r="BT340" s="203" t="s">
        <v>5792</v>
      </c>
      <c r="BU340" s="203" t="s">
        <v>5792</v>
      </c>
      <c r="BV340" s="218" t="s">
        <v>5792</v>
      </c>
      <c r="BW340" s="203" t="s">
        <v>5792</v>
      </c>
      <c r="BX340" s="203" t="s">
        <v>5792</v>
      </c>
      <c r="BY340" s="203" t="s">
        <v>5792</v>
      </c>
      <c r="BZ340" s="203" t="s">
        <v>5792</v>
      </c>
      <c r="CA340" s="203" t="s">
        <v>5792</v>
      </c>
      <c r="CB340" s="218" t="s">
        <v>5792</v>
      </c>
      <c r="CC340" s="32" t="s">
        <v>4450</v>
      </c>
      <c r="CD340" s="60">
        <v>275</v>
      </c>
      <c r="CE340" s="32">
        <v>360</v>
      </c>
      <c r="CF340" s="60">
        <v>410</v>
      </c>
      <c r="CG340" s="32">
        <v>530</v>
      </c>
      <c r="CH340" s="67">
        <v>200000</v>
      </c>
      <c r="CI340" s="107" t="s">
        <v>4450</v>
      </c>
      <c r="CJ340" s="60">
        <v>275</v>
      </c>
      <c r="CK340" s="32">
        <v>360</v>
      </c>
      <c r="CL340" s="60">
        <v>410</v>
      </c>
      <c r="CM340" s="32">
        <v>530</v>
      </c>
      <c r="CN340" s="67">
        <v>200000</v>
      </c>
      <c r="CO340" s="32" t="s">
        <v>4450</v>
      </c>
      <c r="CP340" s="60">
        <v>275</v>
      </c>
      <c r="CQ340" s="32">
        <v>360</v>
      </c>
      <c r="CR340" s="60">
        <v>410</v>
      </c>
      <c r="CS340" s="32">
        <v>530</v>
      </c>
      <c r="CT340" s="61">
        <v>200000</v>
      </c>
      <c r="CU340" s="207" t="s">
        <v>5792</v>
      </c>
      <c r="CV340" s="208" t="s">
        <v>5792</v>
      </c>
      <c r="CW340" s="208" t="s">
        <v>5792</v>
      </c>
      <c r="CX340" s="209" t="s">
        <v>5792</v>
      </c>
      <c r="CY340" s="207" t="s">
        <v>5792</v>
      </c>
      <c r="CZ340" s="208" t="s">
        <v>5792</v>
      </c>
      <c r="DA340" s="209" t="s">
        <v>5792</v>
      </c>
      <c r="DB340" s="283" t="s">
        <v>5792</v>
      </c>
      <c r="DC340" s="163">
        <v>8.8000000000000007</v>
      </c>
      <c r="DD340" s="163">
        <v>640</v>
      </c>
      <c r="DE340" s="32">
        <v>730</v>
      </c>
      <c r="DF340" s="163">
        <v>800</v>
      </c>
      <c r="DG340" s="32">
        <v>940</v>
      </c>
      <c r="DH340" s="61">
        <v>200000</v>
      </c>
      <c r="DI340" s="29" t="s">
        <v>15</v>
      </c>
      <c r="DJ340" s="306" t="s">
        <v>4561</v>
      </c>
      <c r="DK340" s="297" t="s">
        <v>4566</v>
      </c>
    </row>
    <row r="341" spans="1:115">
      <c r="A341" s="306">
        <v>336</v>
      </c>
      <c r="B341" s="326"/>
      <c r="C341" s="326"/>
      <c r="D341" s="334"/>
      <c r="E341" s="334"/>
      <c r="F341" s="326"/>
      <c r="G341" s="337"/>
      <c r="H341" s="337"/>
      <c r="I341" s="337"/>
      <c r="J341" s="314" t="s">
        <v>4388</v>
      </c>
      <c r="K341" s="306" t="s">
        <v>6318</v>
      </c>
      <c r="L341" s="163" t="s">
        <v>6063</v>
      </c>
      <c r="M341" s="306" t="s">
        <v>4509</v>
      </c>
      <c r="N341" s="163" t="s">
        <v>4703</v>
      </c>
      <c r="O341" s="18" t="s">
        <v>4507</v>
      </c>
      <c r="P341" s="163" t="s">
        <v>6312</v>
      </c>
      <c r="Q341" s="163" t="s">
        <v>4420</v>
      </c>
      <c r="R341" s="163" t="s">
        <v>4420</v>
      </c>
      <c r="S341" s="163" t="s">
        <v>5792</v>
      </c>
      <c r="T341" s="163" t="s">
        <v>4420</v>
      </c>
      <c r="U341" s="163" t="s">
        <v>5792</v>
      </c>
      <c r="V341" s="163" t="s">
        <v>4560</v>
      </c>
      <c r="W341" s="89">
        <v>0</v>
      </c>
      <c r="X341" s="230">
        <v>0</v>
      </c>
      <c r="Y341" s="18">
        <v>0</v>
      </c>
      <c r="Z341" s="306" t="s">
        <v>6300</v>
      </c>
      <c r="AA341" s="21">
        <f>INDEX('[2]Cross-Section Database'!$C$2:$V$2928,MATCH(Z341,'[2]Cross-Section Database'!$B$2:$B$2928,0),3)</f>
        <v>133</v>
      </c>
      <c r="AB341" s="21">
        <f>INDEX('[2]Cross-Section Database'!$C$2:$V$2928,MATCH(Z341,'[2]Cross-Section Database'!$B$2:$B$2928,0),4)</f>
        <v>140</v>
      </c>
      <c r="AC341" s="46">
        <f>INDEX('[2]Cross-Section Database'!$C$2:$V$2928,MATCH(Z341,'[2]Cross-Section Database'!$B$2:$B$2928,0),6)</f>
        <v>8.5</v>
      </c>
      <c r="AD341" s="46">
        <f>INDEX('[2]Cross-Section Database'!$C$2:$V$2928,MATCH(Z341,'[2]Cross-Section Database'!$B$2:$B$2928,0),5)</f>
        <v>5.5</v>
      </c>
      <c r="AE341" s="21">
        <v>1100</v>
      </c>
      <c r="AF341" s="306" t="s">
        <v>6343</v>
      </c>
      <c r="AG341" s="21">
        <f>INDEX('[2]Cross-Section Database'!$C$2:$V$2928,MATCH(AF341,'[2]Cross-Section Database'!$B$2:$B$2928,0),3)</f>
        <v>160</v>
      </c>
      <c r="AH341" s="21">
        <f>INDEX('[2]Cross-Section Database'!$C$2:$V$2928,MATCH(AF341,'[2]Cross-Section Database'!$B$2:$B$2928,0),4)</f>
        <v>82</v>
      </c>
      <c r="AI341" s="21">
        <f>INDEX('[2]Cross-Section Database'!$C$2:$V$2928,MATCH(AF341,'[2]Cross-Section Database'!$B$2:$B$2928,0),6)</f>
        <v>7.4</v>
      </c>
      <c r="AJ341" s="21">
        <f>INDEX('[2]Cross-Section Database'!$C$2:$V$2928,MATCH(AF341,'[2]Cross-Section Database'!$B$2:$B$2928,0),5)</f>
        <v>5</v>
      </c>
      <c r="AK341" s="21">
        <v>1000</v>
      </c>
      <c r="AL341" s="21">
        <f>INDEX('[2]Cross-Section Database'!$C$2:$V$3928,MATCH(AF341,'[2]Cross-Section Database'!$B$2:$B$3928,0),11)</f>
        <v>8690000</v>
      </c>
      <c r="AM341" s="24">
        <f>INDEX('[2]Cross-Section Database'!$C$2:$V$3928,MATCH(AF341,'[2]Cross-Section Database'!$B$2:$B$3928,0),12)</f>
        <v>124000</v>
      </c>
      <c r="AN341" s="21">
        <v>33</v>
      </c>
      <c r="AO341" s="21">
        <v>117</v>
      </c>
      <c r="AP341" s="21">
        <v>188</v>
      </c>
      <c r="AQ341" s="21">
        <f t="shared" si="182"/>
        <v>14</v>
      </c>
      <c r="AR341" s="21">
        <f t="shared" si="183"/>
        <v>14</v>
      </c>
      <c r="AS341" s="306" t="s">
        <v>5807</v>
      </c>
      <c r="AT341" s="163" t="s">
        <v>6134</v>
      </c>
      <c r="AU341" s="21" t="s">
        <v>6134</v>
      </c>
      <c r="AV341" s="163">
        <v>20</v>
      </c>
      <c r="AW341" s="163">
        <f t="shared" si="160"/>
        <v>245</v>
      </c>
      <c r="AX341" s="21">
        <v>44</v>
      </c>
      <c r="AY341" s="21">
        <f t="shared" si="165"/>
        <v>44</v>
      </c>
      <c r="AZ341" s="21">
        <v>50</v>
      </c>
      <c r="BA341" s="21">
        <v>50</v>
      </c>
      <c r="BB341" s="21">
        <v>0</v>
      </c>
      <c r="BC341" s="15" t="s">
        <v>6313</v>
      </c>
      <c r="BD341" s="163" t="s">
        <v>4465</v>
      </c>
      <c r="BE341" s="163" t="s">
        <v>6209</v>
      </c>
      <c r="BF341" s="163">
        <v>4</v>
      </c>
      <c r="BG341" s="163">
        <v>6</v>
      </c>
      <c r="BH341" s="202" t="s">
        <v>5792</v>
      </c>
      <c r="BI341" s="203" t="s">
        <v>5792</v>
      </c>
      <c r="BJ341" s="203" t="s">
        <v>5792</v>
      </c>
      <c r="BK341" s="203" t="s">
        <v>5792</v>
      </c>
      <c r="BL341" s="203" t="s">
        <v>5792</v>
      </c>
      <c r="BM341" s="203" t="s">
        <v>5792</v>
      </c>
      <c r="BN341" s="203" t="s">
        <v>5792</v>
      </c>
      <c r="BO341" s="203" t="s">
        <v>5792</v>
      </c>
      <c r="BP341" s="202" t="s">
        <v>5792</v>
      </c>
      <c r="BQ341" s="203" t="s">
        <v>5792</v>
      </c>
      <c r="BR341" s="203" t="s">
        <v>5792</v>
      </c>
      <c r="BS341" s="203" t="s">
        <v>5792</v>
      </c>
      <c r="BT341" s="203" t="s">
        <v>5792</v>
      </c>
      <c r="BU341" s="203" t="s">
        <v>5792</v>
      </c>
      <c r="BV341" s="218" t="s">
        <v>5792</v>
      </c>
      <c r="BW341" s="203" t="s">
        <v>5792</v>
      </c>
      <c r="BX341" s="203" t="s">
        <v>5792</v>
      </c>
      <c r="BY341" s="203" t="s">
        <v>5792</v>
      </c>
      <c r="BZ341" s="203" t="s">
        <v>5792</v>
      </c>
      <c r="CA341" s="203" t="s">
        <v>5792</v>
      </c>
      <c r="CB341" s="218" t="s">
        <v>5792</v>
      </c>
      <c r="CC341" s="32" t="s">
        <v>4450</v>
      </c>
      <c r="CD341" s="60">
        <v>275</v>
      </c>
      <c r="CE341" s="32">
        <v>360</v>
      </c>
      <c r="CF341" s="60">
        <v>410</v>
      </c>
      <c r="CG341" s="32">
        <v>530</v>
      </c>
      <c r="CH341" s="67">
        <v>200000</v>
      </c>
      <c r="CI341" s="107" t="s">
        <v>4450</v>
      </c>
      <c r="CJ341" s="60">
        <v>275</v>
      </c>
      <c r="CK341" s="32">
        <v>360</v>
      </c>
      <c r="CL341" s="60">
        <v>410</v>
      </c>
      <c r="CM341" s="32">
        <v>530</v>
      </c>
      <c r="CN341" s="67">
        <v>200000</v>
      </c>
      <c r="CO341" s="32" t="s">
        <v>4450</v>
      </c>
      <c r="CP341" s="60">
        <v>275</v>
      </c>
      <c r="CQ341" s="32">
        <v>360</v>
      </c>
      <c r="CR341" s="60">
        <v>410</v>
      </c>
      <c r="CS341" s="32">
        <v>530</v>
      </c>
      <c r="CT341" s="61">
        <v>200000</v>
      </c>
      <c r="CU341" s="207" t="s">
        <v>5792</v>
      </c>
      <c r="CV341" s="208" t="s">
        <v>5792</v>
      </c>
      <c r="CW341" s="208" t="s">
        <v>5792</v>
      </c>
      <c r="CX341" s="209" t="s">
        <v>5792</v>
      </c>
      <c r="CY341" s="207" t="s">
        <v>5792</v>
      </c>
      <c r="CZ341" s="208" t="s">
        <v>5792</v>
      </c>
      <c r="DA341" s="209" t="s">
        <v>5792</v>
      </c>
      <c r="DB341" s="283" t="s">
        <v>5792</v>
      </c>
      <c r="DC341" s="163">
        <v>10.9</v>
      </c>
      <c r="DD341" s="163">
        <v>900</v>
      </c>
      <c r="DE341" s="32">
        <v>990</v>
      </c>
      <c r="DF341" s="163">
        <v>1000</v>
      </c>
      <c r="DG341" s="32">
        <v>1100</v>
      </c>
      <c r="DH341" s="61">
        <v>200000</v>
      </c>
      <c r="DI341" s="41" t="s">
        <v>15</v>
      </c>
      <c r="DJ341" s="163" t="s">
        <v>4561</v>
      </c>
      <c r="DK341" s="297" t="s">
        <v>4566</v>
      </c>
    </row>
    <row r="342" spans="1:115">
      <c r="A342" s="306">
        <v>337</v>
      </c>
      <c r="B342" s="326"/>
      <c r="C342" s="326"/>
      <c r="D342" s="334"/>
      <c r="E342" s="334"/>
      <c r="F342" s="326"/>
      <c r="G342" s="337"/>
      <c r="H342" s="337"/>
      <c r="I342" s="337"/>
      <c r="J342" s="314" t="s">
        <v>4389</v>
      </c>
      <c r="K342" s="306" t="s">
        <v>6318</v>
      </c>
      <c r="L342" s="163" t="s">
        <v>6063</v>
      </c>
      <c r="M342" s="306" t="s">
        <v>4509</v>
      </c>
      <c r="N342" s="163" t="s">
        <v>4703</v>
      </c>
      <c r="O342" s="18" t="s">
        <v>4507</v>
      </c>
      <c r="P342" s="163" t="s">
        <v>6312</v>
      </c>
      <c r="Q342" s="163" t="s">
        <v>4420</v>
      </c>
      <c r="R342" s="163" t="s">
        <v>4420</v>
      </c>
      <c r="S342" s="163" t="s">
        <v>5792</v>
      </c>
      <c r="T342" s="163" t="s">
        <v>4420</v>
      </c>
      <c r="U342" s="163" t="s">
        <v>5792</v>
      </c>
      <c r="V342" s="163" t="s">
        <v>4560</v>
      </c>
      <c r="W342" s="89">
        <v>0</v>
      </c>
      <c r="X342" s="230">
        <v>0</v>
      </c>
      <c r="Y342" s="18">
        <v>0</v>
      </c>
      <c r="Z342" s="306" t="s">
        <v>6300</v>
      </c>
      <c r="AA342" s="21">
        <f>INDEX('[2]Cross-Section Database'!$C$2:$V$2928,MATCH(Z342,'[2]Cross-Section Database'!$B$2:$B$2928,0),3)</f>
        <v>133</v>
      </c>
      <c r="AB342" s="21">
        <f>INDEX('[2]Cross-Section Database'!$C$2:$V$2928,MATCH(Z342,'[2]Cross-Section Database'!$B$2:$B$2928,0),4)</f>
        <v>140</v>
      </c>
      <c r="AC342" s="46">
        <f>INDEX('[2]Cross-Section Database'!$C$2:$V$2928,MATCH(Z342,'[2]Cross-Section Database'!$B$2:$B$2928,0),6)</f>
        <v>8.5</v>
      </c>
      <c r="AD342" s="46">
        <f>INDEX('[2]Cross-Section Database'!$C$2:$V$2928,MATCH(Z342,'[2]Cross-Section Database'!$B$2:$B$2928,0),5)</f>
        <v>5.5</v>
      </c>
      <c r="AE342" s="21">
        <v>1100</v>
      </c>
      <c r="AF342" s="306" t="s">
        <v>6343</v>
      </c>
      <c r="AG342" s="21">
        <f>INDEX('[2]Cross-Section Database'!$C$2:$V$2928,MATCH(AF342,'[2]Cross-Section Database'!$B$2:$B$2928,0),3)</f>
        <v>160</v>
      </c>
      <c r="AH342" s="21">
        <f>INDEX('[2]Cross-Section Database'!$C$2:$V$2928,MATCH(AF342,'[2]Cross-Section Database'!$B$2:$B$2928,0),4)</f>
        <v>82</v>
      </c>
      <c r="AI342" s="21">
        <f>INDEX('[2]Cross-Section Database'!$C$2:$V$2928,MATCH(AF342,'[2]Cross-Section Database'!$B$2:$B$2928,0),6)</f>
        <v>7.4</v>
      </c>
      <c r="AJ342" s="21">
        <f>INDEX('[2]Cross-Section Database'!$C$2:$V$2928,MATCH(AF342,'[2]Cross-Section Database'!$B$2:$B$2928,0),5)</f>
        <v>5</v>
      </c>
      <c r="AK342" s="21">
        <v>1000</v>
      </c>
      <c r="AL342" s="21">
        <f>INDEX('[2]Cross-Section Database'!$C$2:$V$3928,MATCH(AF342,'[2]Cross-Section Database'!$B$2:$B$3928,0),11)</f>
        <v>8690000</v>
      </c>
      <c r="AM342" s="24">
        <f>INDEX('[2]Cross-Section Database'!$C$2:$V$3928,MATCH(AF342,'[2]Cross-Section Database'!$B$2:$B$3928,0),12)</f>
        <v>124000</v>
      </c>
      <c r="AN342" s="21">
        <v>22</v>
      </c>
      <c r="AO342" s="21">
        <v>118</v>
      </c>
      <c r="AP342" s="21">
        <v>190</v>
      </c>
      <c r="AQ342" s="21">
        <f t="shared" si="182"/>
        <v>15</v>
      </c>
      <c r="AR342" s="21">
        <f t="shared" si="183"/>
        <v>15</v>
      </c>
      <c r="AS342" s="306" t="s">
        <v>5807</v>
      </c>
      <c r="AT342" s="163" t="s">
        <v>6134</v>
      </c>
      <c r="AU342" s="21" t="s">
        <v>6134</v>
      </c>
      <c r="AV342" s="163">
        <v>16</v>
      </c>
      <c r="AW342" s="163">
        <f t="shared" si="160"/>
        <v>157</v>
      </c>
      <c r="AX342" s="21">
        <v>45</v>
      </c>
      <c r="AY342" s="21">
        <f t="shared" si="165"/>
        <v>45</v>
      </c>
      <c r="AZ342" s="21">
        <v>50</v>
      </c>
      <c r="BA342" s="21">
        <v>50</v>
      </c>
      <c r="BB342" s="21">
        <v>0</v>
      </c>
      <c r="BC342" s="15" t="s">
        <v>6313</v>
      </c>
      <c r="BD342" s="163" t="s">
        <v>4465</v>
      </c>
      <c r="BE342" s="163" t="s">
        <v>6209</v>
      </c>
      <c r="BF342" s="163">
        <v>4</v>
      </c>
      <c r="BG342" s="163">
        <v>6</v>
      </c>
      <c r="BH342" s="202" t="s">
        <v>5792</v>
      </c>
      <c r="BI342" s="203" t="s">
        <v>5792</v>
      </c>
      <c r="BJ342" s="203" t="s">
        <v>5792</v>
      </c>
      <c r="BK342" s="203" t="s">
        <v>5792</v>
      </c>
      <c r="BL342" s="203" t="s">
        <v>5792</v>
      </c>
      <c r="BM342" s="203" t="s">
        <v>5792</v>
      </c>
      <c r="BN342" s="203" t="s">
        <v>5792</v>
      </c>
      <c r="BO342" s="203" t="s">
        <v>5792</v>
      </c>
      <c r="BP342" s="202" t="s">
        <v>5792</v>
      </c>
      <c r="BQ342" s="203" t="s">
        <v>5792</v>
      </c>
      <c r="BR342" s="203" t="s">
        <v>5792</v>
      </c>
      <c r="BS342" s="203" t="s">
        <v>5792</v>
      </c>
      <c r="BT342" s="203" t="s">
        <v>5792</v>
      </c>
      <c r="BU342" s="203" t="s">
        <v>5792</v>
      </c>
      <c r="BV342" s="218" t="s">
        <v>5792</v>
      </c>
      <c r="BW342" s="203" t="s">
        <v>5792</v>
      </c>
      <c r="BX342" s="203" t="s">
        <v>5792</v>
      </c>
      <c r="BY342" s="203" t="s">
        <v>5792</v>
      </c>
      <c r="BZ342" s="203" t="s">
        <v>5792</v>
      </c>
      <c r="CA342" s="203" t="s">
        <v>5792</v>
      </c>
      <c r="CB342" s="218" t="s">
        <v>5792</v>
      </c>
      <c r="CC342" s="32" t="s">
        <v>4450</v>
      </c>
      <c r="CD342" s="60">
        <v>275</v>
      </c>
      <c r="CE342" s="32">
        <v>360</v>
      </c>
      <c r="CF342" s="60">
        <v>410</v>
      </c>
      <c r="CG342" s="32">
        <v>530</v>
      </c>
      <c r="CH342" s="67">
        <v>200000</v>
      </c>
      <c r="CI342" s="107" t="s">
        <v>4450</v>
      </c>
      <c r="CJ342" s="60">
        <v>275</v>
      </c>
      <c r="CK342" s="32">
        <v>360</v>
      </c>
      <c r="CL342" s="60">
        <v>410</v>
      </c>
      <c r="CM342" s="32">
        <v>530</v>
      </c>
      <c r="CN342" s="67">
        <v>200000</v>
      </c>
      <c r="CO342" s="32" t="s">
        <v>4450</v>
      </c>
      <c r="CP342" s="60">
        <v>275</v>
      </c>
      <c r="CQ342" s="32">
        <v>360</v>
      </c>
      <c r="CR342" s="60">
        <v>410</v>
      </c>
      <c r="CS342" s="32">
        <v>530</v>
      </c>
      <c r="CT342" s="61">
        <v>200000</v>
      </c>
      <c r="CU342" s="207" t="s">
        <v>5792</v>
      </c>
      <c r="CV342" s="208" t="s">
        <v>5792</v>
      </c>
      <c r="CW342" s="208" t="s">
        <v>5792</v>
      </c>
      <c r="CX342" s="209" t="s">
        <v>5792</v>
      </c>
      <c r="CY342" s="207" t="s">
        <v>5792</v>
      </c>
      <c r="CZ342" s="208" t="s">
        <v>5792</v>
      </c>
      <c r="DA342" s="209" t="s">
        <v>5792</v>
      </c>
      <c r="DB342" s="283" t="s">
        <v>5792</v>
      </c>
      <c r="DC342" s="163">
        <v>10.9</v>
      </c>
      <c r="DD342" s="163">
        <v>900</v>
      </c>
      <c r="DE342" s="32">
        <v>990</v>
      </c>
      <c r="DF342" s="163">
        <v>1000</v>
      </c>
      <c r="DG342" s="32">
        <v>1100</v>
      </c>
      <c r="DH342" s="61">
        <v>200000</v>
      </c>
      <c r="DI342" s="41" t="s">
        <v>15</v>
      </c>
      <c r="DJ342" s="306" t="s">
        <v>4561</v>
      </c>
      <c r="DK342" s="297" t="s">
        <v>4566</v>
      </c>
    </row>
    <row r="343" spans="1:115" ht="15.6" customHeight="1" thickBot="1">
      <c r="A343" s="306">
        <v>338</v>
      </c>
      <c r="B343" s="327"/>
      <c r="C343" s="327"/>
      <c r="D343" s="335"/>
      <c r="E343" s="335"/>
      <c r="F343" s="327"/>
      <c r="G343" s="338"/>
      <c r="H343" s="338"/>
      <c r="I343" s="338"/>
      <c r="J343" s="315" t="s">
        <v>4390</v>
      </c>
      <c r="K343" s="306" t="s">
        <v>6318</v>
      </c>
      <c r="L343" s="163" t="s">
        <v>6063</v>
      </c>
      <c r="M343" s="306" t="s">
        <v>4509</v>
      </c>
      <c r="N343" s="163" t="s">
        <v>4703</v>
      </c>
      <c r="O343" s="18" t="s">
        <v>4507</v>
      </c>
      <c r="P343" s="163" t="s">
        <v>6312</v>
      </c>
      <c r="Q343" s="163" t="s">
        <v>4420</v>
      </c>
      <c r="R343" s="163" t="s">
        <v>4420</v>
      </c>
      <c r="S343" s="163" t="s">
        <v>5792</v>
      </c>
      <c r="T343" s="163" t="s">
        <v>4420</v>
      </c>
      <c r="U343" s="163" t="s">
        <v>5792</v>
      </c>
      <c r="V343" s="163" t="s">
        <v>4560</v>
      </c>
      <c r="W343" s="89">
        <v>0</v>
      </c>
      <c r="X343" s="235">
        <v>0</v>
      </c>
      <c r="Y343" s="14">
        <v>0</v>
      </c>
      <c r="Z343" s="143" t="s">
        <v>6342</v>
      </c>
      <c r="AA343" s="23">
        <f>INDEX('[2]Cross-Section Database'!$C$2:$V$2928,MATCH(Z343,'[2]Cross-Section Database'!$B$2:$B$2928,0),3)</f>
        <v>114</v>
      </c>
      <c r="AB343" s="23">
        <f>INDEX('[2]Cross-Section Database'!$C$2:$V$2928,MATCH(Z343,'[2]Cross-Section Database'!$B$2:$B$2928,0),4)</f>
        <v>120</v>
      </c>
      <c r="AC343" s="56">
        <f>INDEX('[2]Cross-Section Database'!$C$2:$V$2928,MATCH(Z343,'[2]Cross-Section Database'!$B$2:$B$2928,0),6)</f>
        <v>8</v>
      </c>
      <c r="AD343" s="56">
        <f>INDEX('[2]Cross-Section Database'!$C$2:$V$2928,MATCH(Z343,'[2]Cross-Section Database'!$B$2:$B$2928,0),5)</f>
        <v>5</v>
      </c>
      <c r="AE343" s="23">
        <v>1100</v>
      </c>
      <c r="AF343" s="143" t="s">
        <v>6343</v>
      </c>
      <c r="AG343" s="23">
        <f>INDEX('[2]Cross-Section Database'!$C$2:$V$2928,MATCH(AF343,'[2]Cross-Section Database'!$B$2:$B$2928,0),3)</f>
        <v>160</v>
      </c>
      <c r="AH343" s="23">
        <f>INDEX('[2]Cross-Section Database'!$C$2:$V$2928,MATCH(AF343,'[2]Cross-Section Database'!$B$2:$B$2928,0),4)</f>
        <v>82</v>
      </c>
      <c r="AI343" s="23">
        <f>INDEX('[2]Cross-Section Database'!$C$2:$V$2928,MATCH(AF343,'[2]Cross-Section Database'!$B$2:$B$2928,0),6)</f>
        <v>7.4</v>
      </c>
      <c r="AJ343" s="23">
        <f>INDEX('[2]Cross-Section Database'!$C$2:$V$2928,MATCH(AF343,'[2]Cross-Section Database'!$B$2:$B$2928,0),5)</f>
        <v>5</v>
      </c>
      <c r="AK343" s="23">
        <v>1000</v>
      </c>
      <c r="AL343" s="23">
        <f>INDEX('[2]Cross-Section Database'!$C$2:$V$3928,MATCH(AF343,'[2]Cross-Section Database'!$B$2:$B$3928,0),11)</f>
        <v>8690000</v>
      </c>
      <c r="AM343" s="25">
        <f>INDEX('[2]Cross-Section Database'!$C$2:$V$3928,MATCH(AF343,'[2]Cross-Section Database'!$B$2:$B$3928,0),12)</f>
        <v>124000</v>
      </c>
      <c r="AN343" s="23">
        <v>15</v>
      </c>
      <c r="AO343" s="23">
        <v>118</v>
      </c>
      <c r="AP343" s="23">
        <v>190</v>
      </c>
      <c r="AQ343" s="23">
        <f t="shared" si="182"/>
        <v>15</v>
      </c>
      <c r="AR343" s="23">
        <f t="shared" si="183"/>
        <v>15</v>
      </c>
      <c r="AS343" s="143" t="s">
        <v>5807</v>
      </c>
      <c r="AT343" s="163" t="s">
        <v>6134</v>
      </c>
      <c r="AU343" s="23" t="s">
        <v>6134</v>
      </c>
      <c r="AV343" s="164">
        <v>16</v>
      </c>
      <c r="AW343" s="164">
        <f t="shared" si="160"/>
        <v>157</v>
      </c>
      <c r="AX343" s="23">
        <v>45</v>
      </c>
      <c r="AY343" s="23">
        <f t="shared" si="165"/>
        <v>45</v>
      </c>
      <c r="AZ343" s="23">
        <v>50</v>
      </c>
      <c r="BA343" s="23">
        <v>50</v>
      </c>
      <c r="BB343" s="23">
        <v>0</v>
      </c>
      <c r="BC343" s="19" t="s">
        <v>6313</v>
      </c>
      <c r="BD343" s="164" t="s">
        <v>4465</v>
      </c>
      <c r="BE343" s="164" t="s">
        <v>6209</v>
      </c>
      <c r="BF343" s="164">
        <v>4</v>
      </c>
      <c r="BG343" s="164">
        <v>6</v>
      </c>
      <c r="BH343" s="197" t="s">
        <v>5792</v>
      </c>
      <c r="BI343" s="198" t="s">
        <v>5792</v>
      </c>
      <c r="BJ343" s="198" t="s">
        <v>5792</v>
      </c>
      <c r="BK343" s="198" t="s">
        <v>5792</v>
      </c>
      <c r="BL343" s="198" t="s">
        <v>5792</v>
      </c>
      <c r="BM343" s="198" t="s">
        <v>5792</v>
      </c>
      <c r="BN343" s="198" t="s">
        <v>5792</v>
      </c>
      <c r="BO343" s="198" t="s">
        <v>5792</v>
      </c>
      <c r="BP343" s="197" t="s">
        <v>5792</v>
      </c>
      <c r="BQ343" s="198" t="s">
        <v>5792</v>
      </c>
      <c r="BR343" s="198" t="s">
        <v>5792</v>
      </c>
      <c r="BS343" s="198" t="s">
        <v>5792</v>
      </c>
      <c r="BT343" s="198" t="s">
        <v>5792</v>
      </c>
      <c r="BU343" s="198" t="s">
        <v>5792</v>
      </c>
      <c r="BV343" s="220" t="s">
        <v>5792</v>
      </c>
      <c r="BW343" s="198" t="s">
        <v>5792</v>
      </c>
      <c r="BX343" s="198" t="s">
        <v>5792</v>
      </c>
      <c r="BY343" s="198" t="s">
        <v>5792</v>
      </c>
      <c r="BZ343" s="198" t="s">
        <v>5792</v>
      </c>
      <c r="CA343" s="198" t="s">
        <v>5792</v>
      </c>
      <c r="CB343" s="220" t="s">
        <v>5792</v>
      </c>
      <c r="CC343" s="34" t="s">
        <v>4450</v>
      </c>
      <c r="CD343" s="87">
        <v>275</v>
      </c>
      <c r="CE343" s="34">
        <v>360</v>
      </c>
      <c r="CF343" s="87">
        <v>410</v>
      </c>
      <c r="CG343" s="34">
        <v>530</v>
      </c>
      <c r="CH343" s="70">
        <v>200000</v>
      </c>
      <c r="CI343" s="132" t="s">
        <v>4450</v>
      </c>
      <c r="CJ343" s="87">
        <v>275</v>
      </c>
      <c r="CK343" s="34">
        <v>360</v>
      </c>
      <c r="CL343" s="87">
        <v>410</v>
      </c>
      <c r="CM343" s="34">
        <v>530</v>
      </c>
      <c r="CN343" s="70">
        <v>200000</v>
      </c>
      <c r="CO343" s="34" t="s">
        <v>4450</v>
      </c>
      <c r="CP343" s="87">
        <v>275</v>
      </c>
      <c r="CQ343" s="34">
        <v>360</v>
      </c>
      <c r="CR343" s="87">
        <v>410</v>
      </c>
      <c r="CS343" s="34">
        <v>530</v>
      </c>
      <c r="CT343" s="77">
        <v>200000</v>
      </c>
      <c r="CU343" s="210" t="s">
        <v>5792</v>
      </c>
      <c r="CV343" s="211" t="s">
        <v>5792</v>
      </c>
      <c r="CW343" s="211" t="s">
        <v>5792</v>
      </c>
      <c r="CX343" s="212" t="s">
        <v>5792</v>
      </c>
      <c r="CY343" s="210" t="s">
        <v>5792</v>
      </c>
      <c r="CZ343" s="211" t="s">
        <v>5792</v>
      </c>
      <c r="DA343" s="212" t="s">
        <v>5792</v>
      </c>
      <c r="DB343" s="284" t="s">
        <v>5792</v>
      </c>
      <c r="DC343" s="164">
        <v>8.8000000000000007</v>
      </c>
      <c r="DD343" s="164">
        <v>660</v>
      </c>
      <c r="DE343" s="34">
        <v>730</v>
      </c>
      <c r="DF343" s="164">
        <v>800</v>
      </c>
      <c r="DG343" s="34">
        <v>940</v>
      </c>
      <c r="DH343" s="77">
        <v>200000</v>
      </c>
      <c r="DI343" s="42" t="s">
        <v>15</v>
      </c>
      <c r="DJ343" s="143" t="s">
        <v>4561</v>
      </c>
      <c r="DK343" s="297" t="s">
        <v>4566</v>
      </c>
    </row>
    <row r="344" spans="1:115" ht="15.6" customHeight="1">
      <c r="A344" s="305">
        <v>339</v>
      </c>
      <c r="B344" s="325">
        <v>52</v>
      </c>
      <c r="C344" s="325">
        <v>2016</v>
      </c>
      <c r="D344" s="333" t="s">
        <v>4699</v>
      </c>
      <c r="E344" s="333" t="s">
        <v>4842</v>
      </c>
      <c r="F344" s="325">
        <v>4</v>
      </c>
      <c r="G344" s="328" t="s">
        <v>5928</v>
      </c>
      <c r="H344" s="328" t="s">
        <v>5923</v>
      </c>
      <c r="I344" s="328" t="s">
        <v>6259</v>
      </c>
      <c r="J344" s="43" t="s">
        <v>6344</v>
      </c>
      <c r="K344" s="305" t="s">
        <v>6314</v>
      </c>
      <c r="L344" s="162" t="s">
        <v>5792</v>
      </c>
      <c r="M344" s="305" t="s">
        <v>4508</v>
      </c>
      <c r="N344" s="162" t="s">
        <v>4702</v>
      </c>
      <c r="O344" s="17" t="s">
        <v>4507</v>
      </c>
      <c r="P344" s="162" t="s">
        <v>6312</v>
      </c>
      <c r="Q344" s="162" t="s">
        <v>4470</v>
      </c>
      <c r="R344" s="162" t="s">
        <v>4420</v>
      </c>
      <c r="S344" s="162" t="s">
        <v>5792</v>
      </c>
      <c r="T344" s="162" t="s">
        <v>4420</v>
      </c>
      <c r="U344" s="162" t="s">
        <v>5792</v>
      </c>
      <c r="V344" s="162" t="s">
        <v>4560</v>
      </c>
      <c r="W344" s="90">
        <v>0</v>
      </c>
      <c r="X344" s="239">
        <v>0</v>
      </c>
      <c r="Y344" s="26">
        <v>3822.3</v>
      </c>
      <c r="Z344" s="305" t="s">
        <v>4494</v>
      </c>
      <c r="AA344" s="16">
        <v>360</v>
      </c>
      <c r="AB344" s="16">
        <v>360</v>
      </c>
      <c r="AC344" s="45">
        <v>5.87</v>
      </c>
      <c r="AD344" s="45">
        <v>5.87</v>
      </c>
      <c r="AE344" s="16">
        <v>2200</v>
      </c>
      <c r="AF344" s="306" t="s">
        <v>6345</v>
      </c>
      <c r="AG344" s="16">
        <f>INDEX('[2]Cross-Section Database'!$C$2:$V$2928,MATCH(AF344,'[2]Cross-Section Database'!$B$2:$B$2928,0),3)</f>
        <v>304</v>
      </c>
      <c r="AH344" s="16">
        <f>INDEX('[2]Cross-Section Database'!$C$2:$V$2928,MATCH(AF344,'[2]Cross-Section Database'!$B$2:$B$2928,0),4)</f>
        <v>165</v>
      </c>
      <c r="AI344" s="16">
        <f>INDEX('[2]Cross-Section Database'!$C$2:$V$2928,MATCH(AF344,'[2]Cross-Section Database'!$B$2:$B$2928,0),6)</f>
        <v>10.199999999999999</v>
      </c>
      <c r="AJ344" s="16">
        <f>INDEX('[2]Cross-Section Database'!$C$2:$V$2928,MATCH(AF344,'[2]Cross-Section Database'!$B$2:$B$2928,0),5)</f>
        <v>6.1</v>
      </c>
      <c r="AK344" s="16">
        <v>1320</v>
      </c>
      <c r="AL344" s="16">
        <f>INDEX('[2]Cross-Section Database'!$C$2:$V$3928,MATCH(AF344,'[2]Cross-Section Database'!$B$2:$B$3928,0),11)</f>
        <v>86400000</v>
      </c>
      <c r="AM344" s="26">
        <f>INDEX('[2]Cross-Section Database'!$C$2:$V$3928,MATCH(AF344,'[2]Cross-Section Database'!$B$2:$B$3928,0),12)</f>
        <v>633000</v>
      </c>
      <c r="AN344" s="21">
        <v>9.92</v>
      </c>
      <c r="AO344" s="21">
        <v>230</v>
      </c>
      <c r="AP344" s="21">
        <v>304</v>
      </c>
      <c r="AQ344" s="21">
        <f t="shared" si="182"/>
        <v>0</v>
      </c>
      <c r="AR344" s="21">
        <f t="shared" si="183"/>
        <v>0</v>
      </c>
      <c r="AS344" s="305" t="s">
        <v>5659</v>
      </c>
      <c r="AT344" s="162" t="s">
        <v>6134</v>
      </c>
      <c r="AU344" s="16" t="s">
        <v>6134</v>
      </c>
      <c r="AV344" s="162">
        <v>20</v>
      </c>
      <c r="AW344" s="162">
        <f t="shared" si="160"/>
        <v>245</v>
      </c>
      <c r="AX344" s="16">
        <v>65</v>
      </c>
      <c r="AY344" s="16">
        <f t="shared" si="165"/>
        <v>65</v>
      </c>
      <c r="AZ344" s="16">
        <v>87</v>
      </c>
      <c r="BA344" s="16">
        <v>100</v>
      </c>
      <c r="BB344" s="16">
        <v>0</v>
      </c>
      <c r="BC344" s="22" t="s">
        <v>6312</v>
      </c>
      <c r="BD344" s="162" t="s">
        <v>6209</v>
      </c>
      <c r="BE344" s="162" t="s">
        <v>6209</v>
      </c>
      <c r="BF344" s="162">
        <v>2</v>
      </c>
      <c r="BG344" s="162">
        <v>6</v>
      </c>
      <c r="BH344" s="200" t="s">
        <v>5792</v>
      </c>
      <c r="BI344" s="201" t="s">
        <v>5792</v>
      </c>
      <c r="BJ344" s="201" t="s">
        <v>5792</v>
      </c>
      <c r="BK344" s="201" t="s">
        <v>5792</v>
      </c>
      <c r="BL344" s="201" t="s">
        <v>5792</v>
      </c>
      <c r="BM344" s="201" t="s">
        <v>5792</v>
      </c>
      <c r="BN344" s="201" t="s">
        <v>5792</v>
      </c>
      <c r="BO344" s="201" t="s">
        <v>5792</v>
      </c>
      <c r="BP344" s="200" t="s">
        <v>5792</v>
      </c>
      <c r="BQ344" s="201" t="s">
        <v>5792</v>
      </c>
      <c r="BR344" s="201" t="s">
        <v>5792</v>
      </c>
      <c r="BS344" s="201" t="s">
        <v>5792</v>
      </c>
      <c r="BT344" s="201" t="s">
        <v>5792</v>
      </c>
      <c r="BU344" s="201" t="s">
        <v>5792</v>
      </c>
      <c r="BV344" s="219" t="s">
        <v>5792</v>
      </c>
      <c r="BW344" s="201" t="s">
        <v>5792</v>
      </c>
      <c r="BX344" s="201" t="s">
        <v>5792</v>
      </c>
      <c r="BY344" s="201" t="s">
        <v>5792</v>
      </c>
      <c r="BZ344" s="201" t="s">
        <v>5792</v>
      </c>
      <c r="CA344" s="201" t="s">
        <v>5792</v>
      </c>
      <c r="CB344" s="219" t="s">
        <v>5792</v>
      </c>
      <c r="CC344" s="162" t="s">
        <v>5663</v>
      </c>
      <c r="CD344" s="65">
        <v>230</v>
      </c>
      <c r="CE344" s="162">
        <v>339</v>
      </c>
      <c r="CF344" s="65">
        <v>505</v>
      </c>
      <c r="CG344" s="162">
        <v>714</v>
      </c>
      <c r="CH344" s="81">
        <v>200985</v>
      </c>
      <c r="CI344" s="162" t="s">
        <v>5663</v>
      </c>
      <c r="CJ344" s="65">
        <v>230</v>
      </c>
      <c r="CK344" s="162">
        <v>370</v>
      </c>
      <c r="CL344" s="65">
        <v>505</v>
      </c>
      <c r="CM344" s="162">
        <v>534</v>
      </c>
      <c r="CN344" s="81">
        <v>203765</v>
      </c>
      <c r="CO344" s="162" t="s">
        <v>5663</v>
      </c>
      <c r="CP344" s="65">
        <v>230</v>
      </c>
      <c r="CQ344" s="162">
        <v>388</v>
      </c>
      <c r="CR344" s="65">
        <v>505</v>
      </c>
      <c r="CS344" s="162">
        <v>506</v>
      </c>
      <c r="CT344" s="82">
        <v>206298</v>
      </c>
      <c r="CU344" s="204" t="s">
        <v>5792</v>
      </c>
      <c r="CV344" s="205" t="s">
        <v>5792</v>
      </c>
      <c r="CW344" s="205" t="s">
        <v>5792</v>
      </c>
      <c r="CX344" s="206" t="s">
        <v>5792</v>
      </c>
      <c r="CY344" s="204" t="s">
        <v>5792</v>
      </c>
      <c r="CZ344" s="205" t="s">
        <v>5792</v>
      </c>
      <c r="DA344" s="206" t="s">
        <v>5792</v>
      </c>
      <c r="DB344" s="282" t="s">
        <v>5792</v>
      </c>
      <c r="DC344" s="162">
        <v>8.8000000000000007</v>
      </c>
      <c r="DD344" s="162">
        <v>640</v>
      </c>
      <c r="DE344" s="162">
        <v>890</v>
      </c>
      <c r="DF344" s="162">
        <v>800</v>
      </c>
      <c r="DG344" s="162">
        <v>953</v>
      </c>
      <c r="DH344" s="82">
        <v>218871</v>
      </c>
      <c r="DI344" s="28" t="s">
        <v>6054</v>
      </c>
      <c r="DJ344" s="162" t="s">
        <v>4435</v>
      </c>
      <c r="DK344" s="296" t="s">
        <v>4566</v>
      </c>
    </row>
    <row r="345" spans="1:115">
      <c r="A345" s="306">
        <v>340</v>
      </c>
      <c r="B345" s="326"/>
      <c r="C345" s="326"/>
      <c r="D345" s="334"/>
      <c r="E345" s="334"/>
      <c r="F345" s="326"/>
      <c r="G345" s="329"/>
      <c r="H345" s="329"/>
      <c r="I345" s="329"/>
      <c r="J345" s="309" t="s">
        <v>4391</v>
      </c>
      <c r="K345" s="306" t="s">
        <v>6314</v>
      </c>
      <c r="L345" s="163" t="s">
        <v>5792</v>
      </c>
      <c r="M345" s="306" t="s">
        <v>4508</v>
      </c>
      <c r="N345" s="163" t="s">
        <v>4702</v>
      </c>
      <c r="O345" s="18" t="s">
        <v>4507</v>
      </c>
      <c r="P345" s="163" t="s">
        <v>6313</v>
      </c>
      <c r="Q345" s="163" t="s">
        <v>4470</v>
      </c>
      <c r="R345" s="163" t="s">
        <v>4420</v>
      </c>
      <c r="S345" s="163" t="s">
        <v>5792</v>
      </c>
      <c r="T345" s="163" t="s">
        <v>4420</v>
      </c>
      <c r="U345" s="163" t="s">
        <v>5792</v>
      </c>
      <c r="V345" s="163" t="s">
        <v>4560</v>
      </c>
      <c r="W345" s="89">
        <v>0</v>
      </c>
      <c r="X345" s="230">
        <v>0</v>
      </c>
      <c r="Y345" s="24">
        <v>3873.4</v>
      </c>
      <c r="Z345" s="306" t="s">
        <v>4494</v>
      </c>
      <c r="AA345" s="21">
        <v>360</v>
      </c>
      <c r="AB345" s="21">
        <v>360</v>
      </c>
      <c r="AC345" s="46">
        <v>5.87</v>
      </c>
      <c r="AD345" s="46">
        <v>5.87</v>
      </c>
      <c r="AE345" s="21">
        <v>2200</v>
      </c>
      <c r="AF345" s="306" t="s">
        <v>6345</v>
      </c>
      <c r="AG345" s="21">
        <f>INDEX('[2]Cross-Section Database'!$C$2:$V$2928,MATCH(AF345,'[2]Cross-Section Database'!$B$2:$B$2928,0),3)</f>
        <v>304</v>
      </c>
      <c r="AH345" s="21">
        <f>INDEX('[2]Cross-Section Database'!$C$2:$V$2928,MATCH(AF345,'[2]Cross-Section Database'!$B$2:$B$2928,0),4)</f>
        <v>165</v>
      </c>
      <c r="AI345" s="21">
        <f>INDEX('[2]Cross-Section Database'!$C$2:$V$2928,MATCH(AF345,'[2]Cross-Section Database'!$B$2:$B$2928,0),6)</f>
        <v>10.199999999999999</v>
      </c>
      <c r="AJ345" s="21">
        <f>INDEX('[2]Cross-Section Database'!$C$2:$V$2928,MATCH(AF345,'[2]Cross-Section Database'!$B$2:$B$2928,0),5)</f>
        <v>6.1</v>
      </c>
      <c r="AK345" s="21">
        <v>1320</v>
      </c>
      <c r="AL345" s="21">
        <f>INDEX('[2]Cross-Section Database'!$C$2:$V$3928,MATCH(AF345,'[2]Cross-Section Database'!$B$2:$B$3928,0),11)</f>
        <v>86400000</v>
      </c>
      <c r="AM345" s="24">
        <f>INDEX('[2]Cross-Section Database'!$C$2:$V$3928,MATCH(AF345,'[2]Cross-Section Database'!$B$2:$B$3928,0),12)</f>
        <v>633000</v>
      </c>
      <c r="AN345" s="21">
        <v>9.92</v>
      </c>
      <c r="AO345" s="21">
        <v>230</v>
      </c>
      <c r="AP345" s="21">
        <v>304</v>
      </c>
      <c r="AQ345" s="21">
        <f t="shared" si="182"/>
        <v>0</v>
      </c>
      <c r="AR345" s="21">
        <f t="shared" si="183"/>
        <v>0</v>
      </c>
      <c r="AS345" s="306" t="s">
        <v>5659</v>
      </c>
      <c r="AT345" s="163" t="s">
        <v>6134</v>
      </c>
      <c r="AU345" s="21" t="s">
        <v>6134</v>
      </c>
      <c r="AV345" s="163">
        <v>20</v>
      </c>
      <c r="AW345" s="163">
        <f t="shared" si="160"/>
        <v>245</v>
      </c>
      <c r="AX345" s="21">
        <v>65</v>
      </c>
      <c r="AY345" s="21">
        <f t="shared" si="165"/>
        <v>65</v>
      </c>
      <c r="AZ345" s="21">
        <v>87</v>
      </c>
      <c r="BA345" s="21">
        <v>100</v>
      </c>
      <c r="BB345" s="21">
        <v>0</v>
      </c>
      <c r="BC345" s="15" t="s">
        <v>6312</v>
      </c>
      <c r="BD345" s="163" t="s">
        <v>6209</v>
      </c>
      <c r="BE345" s="163" t="s">
        <v>6209</v>
      </c>
      <c r="BF345" s="163">
        <v>2</v>
      </c>
      <c r="BG345" s="163">
        <v>6</v>
      </c>
      <c r="BH345" s="306">
        <v>120</v>
      </c>
      <c r="BI345" s="163">
        <v>900</v>
      </c>
      <c r="BJ345" s="163" t="s">
        <v>6197</v>
      </c>
      <c r="BK345" s="163">
        <v>1</v>
      </c>
      <c r="BL345" s="163">
        <v>180</v>
      </c>
      <c r="BM345" s="163">
        <v>1678</v>
      </c>
      <c r="BN345" s="163">
        <v>52</v>
      </c>
      <c r="BO345" s="163" t="s">
        <v>4590</v>
      </c>
      <c r="BP345" s="306" t="s">
        <v>5856</v>
      </c>
      <c r="BQ345" s="163">
        <v>16</v>
      </c>
      <c r="BR345" s="163">
        <v>2</v>
      </c>
      <c r="BS345" s="163">
        <v>19</v>
      </c>
      <c r="BT345" s="163">
        <v>100</v>
      </c>
      <c r="BU345" s="163">
        <v>75</v>
      </c>
      <c r="BV345" s="18">
        <v>190</v>
      </c>
      <c r="BW345" s="163" t="s">
        <v>4589</v>
      </c>
      <c r="BX345" s="163" t="s">
        <v>4588</v>
      </c>
      <c r="BY345" s="21">
        <f t="shared" ref="BY345:BY346" si="184">((BI345/200)+1)*PI()*10^2/4</f>
        <v>431.96898986859651</v>
      </c>
      <c r="BZ345" s="21">
        <f>6*PI()*12^2/4</f>
        <v>678.58401317539528</v>
      </c>
      <c r="CA345" s="163">
        <v>20</v>
      </c>
      <c r="CB345" s="121">
        <v>1.1599999999999999E-2</v>
      </c>
      <c r="CC345" s="163" t="s">
        <v>5663</v>
      </c>
      <c r="CD345" s="60">
        <v>230</v>
      </c>
      <c r="CE345" s="163">
        <v>339</v>
      </c>
      <c r="CF345" s="60">
        <v>505</v>
      </c>
      <c r="CG345" s="163">
        <v>714</v>
      </c>
      <c r="CH345" s="69">
        <v>200985</v>
      </c>
      <c r="CI345" s="163" t="s">
        <v>5663</v>
      </c>
      <c r="CJ345" s="60">
        <v>230</v>
      </c>
      <c r="CK345" s="163">
        <v>370</v>
      </c>
      <c r="CL345" s="60">
        <v>505</v>
      </c>
      <c r="CM345" s="163">
        <v>534</v>
      </c>
      <c r="CN345" s="69">
        <v>203765</v>
      </c>
      <c r="CO345" s="163" t="s">
        <v>5663</v>
      </c>
      <c r="CP345" s="60">
        <v>230</v>
      </c>
      <c r="CQ345" s="163">
        <v>388</v>
      </c>
      <c r="CR345" s="60">
        <v>505</v>
      </c>
      <c r="CS345" s="163">
        <v>506</v>
      </c>
      <c r="CT345" s="64">
        <v>206298</v>
      </c>
      <c r="CU345" s="92" t="s">
        <v>5668</v>
      </c>
      <c r="CV345" s="64">
        <v>33.6</v>
      </c>
      <c r="CW345" s="61">
        <v>2.9</v>
      </c>
      <c r="CX345" s="67">
        <v>32000</v>
      </c>
      <c r="CY345" s="92">
        <v>538</v>
      </c>
      <c r="CZ345" s="64">
        <v>653</v>
      </c>
      <c r="DA345" s="69">
        <v>200371</v>
      </c>
      <c r="DB345" s="294">
        <v>550</v>
      </c>
      <c r="DC345" s="163">
        <v>8.8000000000000007</v>
      </c>
      <c r="DD345" s="163">
        <v>640</v>
      </c>
      <c r="DE345" s="163">
        <v>890</v>
      </c>
      <c r="DF345" s="163">
        <v>800</v>
      </c>
      <c r="DG345" s="163">
        <v>953</v>
      </c>
      <c r="DH345" s="64">
        <v>218871</v>
      </c>
      <c r="DI345" s="29" t="s">
        <v>6056</v>
      </c>
      <c r="DJ345" s="163" t="s">
        <v>4435</v>
      </c>
      <c r="DK345" s="297" t="s">
        <v>4566</v>
      </c>
    </row>
    <row r="346" spans="1:115" ht="15.6" customHeight="1">
      <c r="A346" s="306">
        <v>341</v>
      </c>
      <c r="B346" s="326"/>
      <c r="C346" s="326"/>
      <c r="D346" s="334"/>
      <c r="E346" s="334"/>
      <c r="F346" s="326"/>
      <c r="G346" s="329"/>
      <c r="H346" s="329"/>
      <c r="I346" s="329"/>
      <c r="J346" s="309" t="s">
        <v>4392</v>
      </c>
      <c r="K346" s="306" t="s">
        <v>6314</v>
      </c>
      <c r="L346" s="163" t="s">
        <v>5792</v>
      </c>
      <c r="M346" s="306" t="s">
        <v>4508</v>
      </c>
      <c r="N346" s="163" t="s">
        <v>4702</v>
      </c>
      <c r="O346" s="18" t="s">
        <v>4507</v>
      </c>
      <c r="P346" s="163" t="s">
        <v>6313</v>
      </c>
      <c r="Q346" s="163" t="s">
        <v>4470</v>
      </c>
      <c r="R346" s="163" t="s">
        <v>4420</v>
      </c>
      <c r="S346" s="163" t="s">
        <v>5792</v>
      </c>
      <c r="T346" s="163" t="s">
        <v>4420</v>
      </c>
      <c r="U346" s="163" t="s">
        <v>5792</v>
      </c>
      <c r="V346" s="163" t="s">
        <v>4560</v>
      </c>
      <c r="W346" s="89">
        <v>0</v>
      </c>
      <c r="X346" s="230">
        <v>0</v>
      </c>
      <c r="Y346" s="24">
        <v>3811.9</v>
      </c>
      <c r="Z346" s="306" t="s">
        <v>4494</v>
      </c>
      <c r="AA346" s="21">
        <v>360</v>
      </c>
      <c r="AB346" s="21">
        <v>360</v>
      </c>
      <c r="AC346" s="46">
        <v>5.87</v>
      </c>
      <c r="AD346" s="46">
        <v>5.87</v>
      </c>
      <c r="AE346" s="21">
        <v>2200</v>
      </c>
      <c r="AF346" s="306" t="s">
        <v>6345</v>
      </c>
      <c r="AG346" s="21">
        <f>INDEX('[2]Cross-Section Database'!$C$2:$V$2928,MATCH(AF346,'[2]Cross-Section Database'!$B$2:$B$2928,0),3)</f>
        <v>304</v>
      </c>
      <c r="AH346" s="21">
        <f>INDEX('[2]Cross-Section Database'!$C$2:$V$2928,MATCH(AF346,'[2]Cross-Section Database'!$B$2:$B$2928,0),4)</f>
        <v>165</v>
      </c>
      <c r="AI346" s="21">
        <f>INDEX('[2]Cross-Section Database'!$C$2:$V$2928,MATCH(AF346,'[2]Cross-Section Database'!$B$2:$B$2928,0),6)</f>
        <v>10.199999999999999</v>
      </c>
      <c r="AJ346" s="21">
        <f>INDEX('[2]Cross-Section Database'!$C$2:$V$2928,MATCH(AF346,'[2]Cross-Section Database'!$B$2:$B$2928,0),5)</f>
        <v>6.1</v>
      </c>
      <c r="AK346" s="21">
        <v>1320</v>
      </c>
      <c r="AL346" s="21">
        <f>INDEX('[2]Cross-Section Database'!$C$2:$V$3928,MATCH(AF346,'[2]Cross-Section Database'!$B$2:$B$3928,0),11)</f>
        <v>86400000</v>
      </c>
      <c r="AM346" s="24">
        <f>INDEX('[2]Cross-Section Database'!$C$2:$V$3928,MATCH(AF346,'[2]Cross-Section Database'!$B$2:$B$3928,0),12)</f>
        <v>633000</v>
      </c>
      <c r="AN346" s="21">
        <v>9.92</v>
      </c>
      <c r="AO346" s="21">
        <v>230</v>
      </c>
      <c r="AP346" s="21">
        <v>304</v>
      </c>
      <c r="AQ346" s="21">
        <f t="shared" si="182"/>
        <v>0</v>
      </c>
      <c r="AR346" s="21">
        <f t="shared" si="183"/>
        <v>0</v>
      </c>
      <c r="AS346" s="306" t="s">
        <v>5659</v>
      </c>
      <c r="AT346" s="163" t="s">
        <v>6134</v>
      </c>
      <c r="AU346" s="21" t="s">
        <v>6134</v>
      </c>
      <c r="AV346" s="163">
        <v>20</v>
      </c>
      <c r="AW346" s="163">
        <f t="shared" si="160"/>
        <v>245</v>
      </c>
      <c r="AX346" s="21">
        <v>65</v>
      </c>
      <c r="AY346" s="21">
        <f t="shared" si="165"/>
        <v>65</v>
      </c>
      <c r="AZ346" s="21">
        <v>87</v>
      </c>
      <c r="BA346" s="21">
        <v>100</v>
      </c>
      <c r="BB346" s="21">
        <v>0</v>
      </c>
      <c r="BC346" s="15" t="s">
        <v>6312</v>
      </c>
      <c r="BD346" s="163" t="s">
        <v>6209</v>
      </c>
      <c r="BE346" s="163" t="s">
        <v>6209</v>
      </c>
      <c r="BF346" s="163">
        <v>2</v>
      </c>
      <c r="BG346" s="163">
        <v>6</v>
      </c>
      <c r="BH346" s="306">
        <v>120</v>
      </c>
      <c r="BI346" s="163">
        <v>900</v>
      </c>
      <c r="BJ346" s="163" t="s">
        <v>6197</v>
      </c>
      <c r="BK346" s="163">
        <v>1</v>
      </c>
      <c r="BL346" s="163">
        <v>180</v>
      </c>
      <c r="BM346" s="163">
        <v>1678</v>
      </c>
      <c r="BN346" s="163">
        <v>52</v>
      </c>
      <c r="BO346" s="163" t="s">
        <v>4590</v>
      </c>
      <c r="BP346" s="306" t="s">
        <v>5856</v>
      </c>
      <c r="BQ346" s="163">
        <v>16</v>
      </c>
      <c r="BR346" s="163">
        <v>2</v>
      </c>
      <c r="BS346" s="163">
        <v>19</v>
      </c>
      <c r="BT346" s="163">
        <v>100</v>
      </c>
      <c r="BU346" s="163">
        <v>75</v>
      </c>
      <c r="BV346" s="18">
        <v>190</v>
      </c>
      <c r="BW346" s="163" t="s">
        <v>4589</v>
      </c>
      <c r="BX346" s="163" t="s">
        <v>4588</v>
      </c>
      <c r="BY346" s="21">
        <f t="shared" si="184"/>
        <v>431.96898986859651</v>
      </c>
      <c r="BZ346" s="21">
        <f>6*PI()*12^2/4</f>
        <v>678.58401317539528</v>
      </c>
      <c r="CA346" s="163">
        <v>20</v>
      </c>
      <c r="CB346" s="121">
        <v>1.1599999999999999E-2</v>
      </c>
      <c r="CC346" s="163" t="s">
        <v>5663</v>
      </c>
      <c r="CD346" s="60">
        <v>230</v>
      </c>
      <c r="CE346" s="163">
        <v>339</v>
      </c>
      <c r="CF346" s="60">
        <v>505</v>
      </c>
      <c r="CG346" s="163">
        <v>714</v>
      </c>
      <c r="CH346" s="69">
        <v>200985</v>
      </c>
      <c r="CI346" s="163" t="s">
        <v>5663</v>
      </c>
      <c r="CJ346" s="60">
        <v>230</v>
      </c>
      <c r="CK346" s="163">
        <v>370</v>
      </c>
      <c r="CL346" s="60">
        <v>505</v>
      </c>
      <c r="CM346" s="163">
        <v>534</v>
      </c>
      <c r="CN346" s="69">
        <v>203765</v>
      </c>
      <c r="CO346" s="163" t="s">
        <v>5663</v>
      </c>
      <c r="CP346" s="60">
        <v>230</v>
      </c>
      <c r="CQ346" s="163">
        <v>388</v>
      </c>
      <c r="CR346" s="60">
        <v>505</v>
      </c>
      <c r="CS346" s="163">
        <v>506</v>
      </c>
      <c r="CT346" s="64">
        <v>206298</v>
      </c>
      <c r="CU346" s="92" t="s">
        <v>5668</v>
      </c>
      <c r="CV346" s="64">
        <v>35.700000000000003</v>
      </c>
      <c r="CW346" s="61">
        <v>2.9</v>
      </c>
      <c r="CX346" s="67">
        <v>32000</v>
      </c>
      <c r="CY346" s="92">
        <v>538</v>
      </c>
      <c r="CZ346" s="64">
        <v>653</v>
      </c>
      <c r="DA346" s="69">
        <v>200371</v>
      </c>
      <c r="DB346" s="294">
        <v>550</v>
      </c>
      <c r="DC346" s="163">
        <v>8.8000000000000007</v>
      </c>
      <c r="DD346" s="163">
        <v>640</v>
      </c>
      <c r="DE346" s="163">
        <v>890</v>
      </c>
      <c r="DF346" s="163">
        <v>800</v>
      </c>
      <c r="DG346" s="163">
        <v>953</v>
      </c>
      <c r="DH346" s="64">
        <v>218871</v>
      </c>
      <c r="DI346" s="29" t="s">
        <v>6056</v>
      </c>
      <c r="DJ346" s="306" t="s">
        <v>4435</v>
      </c>
      <c r="DK346" s="297" t="s">
        <v>4566</v>
      </c>
    </row>
    <row r="347" spans="1:115" ht="15.6" customHeight="1" thickBot="1">
      <c r="A347" s="143">
        <v>342</v>
      </c>
      <c r="B347" s="326"/>
      <c r="C347" s="326"/>
      <c r="D347" s="334"/>
      <c r="E347" s="334"/>
      <c r="F347" s="326"/>
      <c r="G347" s="330"/>
      <c r="H347" s="330"/>
      <c r="I347" s="330"/>
      <c r="J347" s="318" t="s">
        <v>4393</v>
      </c>
      <c r="K347" s="143" t="s">
        <v>6318</v>
      </c>
      <c r="L347" s="164" t="s">
        <v>6063</v>
      </c>
      <c r="M347" s="143" t="s">
        <v>4508</v>
      </c>
      <c r="N347" s="164" t="s">
        <v>4702</v>
      </c>
      <c r="O347" s="14" t="s">
        <v>4507</v>
      </c>
      <c r="P347" s="164" t="s">
        <v>6313</v>
      </c>
      <c r="Q347" s="164" t="s">
        <v>4470</v>
      </c>
      <c r="R347" s="164" t="s">
        <v>4420</v>
      </c>
      <c r="S347" s="164" t="s">
        <v>5792</v>
      </c>
      <c r="T347" s="164" t="s">
        <v>4420</v>
      </c>
      <c r="U347" s="164" t="s">
        <v>5792</v>
      </c>
      <c r="V347" s="164" t="s">
        <v>4560</v>
      </c>
      <c r="W347" s="91">
        <v>0</v>
      </c>
      <c r="X347" s="235">
        <v>0</v>
      </c>
      <c r="Y347" s="25">
        <v>3938.7</v>
      </c>
      <c r="Z347" s="143" t="s">
        <v>4494</v>
      </c>
      <c r="AA347" s="23">
        <v>360</v>
      </c>
      <c r="AB347" s="23">
        <v>360</v>
      </c>
      <c r="AC347" s="56">
        <v>5.87</v>
      </c>
      <c r="AD347" s="56">
        <v>5.87</v>
      </c>
      <c r="AE347" s="23">
        <v>2200</v>
      </c>
      <c r="AF347" s="306" t="s">
        <v>6345</v>
      </c>
      <c r="AG347" s="21">
        <f>INDEX('[2]Cross-Section Database'!$C$2:$V$2928,MATCH(AF347,'[2]Cross-Section Database'!$B$2:$B$2928,0),3)</f>
        <v>304</v>
      </c>
      <c r="AH347" s="21">
        <f>INDEX('[2]Cross-Section Database'!$C$2:$V$2928,MATCH(AF347,'[2]Cross-Section Database'!$B$2:$B$2928,0),4)</f>
        <v>165</v>
      </c>
      <c r="AI347" s="21">
        <f>INDEX('[2]Cross-Section Database'!$C$2:$V$2928,MATCH(AF347,'[2]Cross-Section Database'!$B$2:$B$2928,0),6)</f>
        <v>10.199999999999999</v>
      </c>
      <c r="AJ347" s="21">
        <f>INDEX('[2]Cross-Section Database'!$C$2:$V$2928,MATCH(AF347,'[2]Cross-Section Database'!$B$2:$B$2928,0),5)</f>
        <v>6.1</v>
      </c>
      <c r="AK347" s="21">
        <v>1320</v>
      </c>
      <c r="AL347" s="21">
        <f>INDEX('[2]Cross-Section Database'!$C$2:$V$3928,MATCH(AF347,'[2]Cross-Section Database'!$B$2:$B$3928,0),11)</f>
        <v>86400000</v>
      </c>
      <c r="AM347" s="24">
        <f>INDEX('[2]Cross-Section Database'!$C$2:$V$3928,MATCH(AF347,'[2]Cross-Section Database'!$B$2:$B$3928,0),12)</f>
        <v>633000</v>
      </c>
      <c r="AN347" s="23">
        <v>9.92</v>
      </c>
      <c r="AO347" s="23">
        <v>230</v>
      </c>
      <c r="AP347" s="23">
        <v>304</v>
      </c>
      <c r="AQ347" s="23">
        <f t="shared" si="182"/>
        <v>0</v>
      </c>
      <c r="AR347" s="23">
        <f t="shared" si="183"/>
        <v>0</v>
      </c>
      <c r="AS347" s="143" t="s">
        <v>5659</v>
      </c>
      <c r="AT347" s="164" t="s">
        <v>6134</v>
      </c>
      <c r="AU347" s="23" t="s">
        <v>6134</v>
      </c>
      <c r="AV347" s="164">
        <v>20</v>
      </c>
      <c r="AW347" s="164">
        <f t="shared" si="160"/>
        <v>245</v>
      </c>
      <c r="AX347" s="23">
        <v>65</v>
      </c>
      <c r="AY347" s="23">
        <f t="shared" si="165"/>
        <v>65</v>
      </c>
      <c r="AZ347" s="23">
        <v>87</v>
      </c>
      <c r="BA347" s="23">
        <v>100</v>
      </c>
      <c r="BB347" s="23">
        <v>0</v>
      </c>
      <c r="BC347" s="19" t="s">
        <v>6312</v>
      </c>
      <c r="BD347" s="164" t="s">
        <v>6209</v>
      </c>
      <c r="BE347" s="164" t="s">
        <v>6209</v>
      </c>
      <c r="BF347" s="164">
        <v>2</v>
      </c>
      <c r="BG347" s="164">
        <v>6</v>
      </c>
      <c r="BH347" s="306">
        <v>120</v>
      </c>
      <c r="BI347" s="163">
        <v>900</v>
      </c>
      <c r="BJ347" s="163" t="s">
        <v>6197</v>
      </c>
      <c r="BK347" s="163">
        <v>1</v>
      </c>
      <c r="BL347" s="163">
        <v>180</v>
      </c>
      <c r="BM347" s="163">
        <v>1678</v>
      </c>
      <c r="BN347" s="163">
        <v>52</v>
      </c>
      <c r="BO347" s="163" t="s">
        <v>4590</v>
      </c>
      <c r="BP347" s="306" t="s">
        <v>5856</v>
      </c>
      <c r="BQ347" s="163">
        <v>16</v>
      </c>
      <c r="BR347" s="163">
        <v>2</v>
      </c>
      <c r="BS347" s="163">
        <v>19</v>
      </c>
      <c r="BT347" s="163">
        <v>100</v>
      </c>
      <c r="BU347" s="163">
        <v>75</v>
      </c>
      <c r="BV347" s="18">
        <v>190</v>
      </c>
      <c r="BW347" s="163" t="s">
        <v>4589</v>
      </c>
      <c r="BX347" s="163" t="s">
        <v>4588</v>
      </c>
      <c r="BY347" s="23">
        <f>((BI347/200)+1)*PI()*10^2/4</f>
        <v>431.96898986859651</v>
      </c>
      <c r="BZ347" s="21">
        <f>6*PI()*12^2/4</f>
        <v>678.58401317539528</v>
      </c>
      <c r="CA347" s="163">
        <v>20</v>
      </c>
      <c r="CB347" s="121">
        <v>1.1599999999999999E-2</v>
      </c>
      <c r="CC347" s="164" t="s">
        <v>5663</v>
      </c>
      <c r="CD347" s="87">
        <v>230</v>
      </c>
      <c r="CE347" s="164">
        <v>339</v>
      </c>
      <c r="CF347" s="87">
        <v>505</v>
      </c>
      <c r="CG347" s="164">
        <v>714</v>
      </c>
      <c r="CH347" s="83">
        <v>200985</v>
      </c>
      <c r="CI347" s="164" t="s">
        <v>5663</v>
      </c>
      <c r="CJ347" s="87">
        <v>230</v>
      </c>
      <c r="CK347" s="164">
        <v>370</v>
      </c>
      <c r="CL347" s="87">
        <v>505</v>
      </c>
      <c r="CM347" s="164">
        <v>534</v>
      </c>
      <c r="CN347" s="83">
        <v>203765</v>
      </c>
      <c r="CO347" s="164" t="s">
        <v>5663</v>
      </c>
      <c r="CP347" s="87">
        <v>230</v>
      </c>
      <c r="CQ347" s="164">
        <v>388</v>
      </c>
      <c r="CR347" s="87">
        <v>505</v>
      </c>
      <c r="CS347" s="164">
        <v>506</v>
      </c>
      <c r="CT347" s="84">
        <v>206298</v>
      </c>
      <c r="CU347" s="93" t="s">
        <v>5668</v>
      </c>
      <c r="CV347" s="84">
        <v>39.799999999999997</v>
      </c>
      <c r="CW347" s="77">
        <v>2.9</v>
      </c>
      <c r="CX347" s="70">
        <v>32000</v>
      </c>
      <c r="CY347" s="93">
        <v>538</v>
      </c>
      <c r="CZ347" s="84">
        <v>653</v>
      </c>
      <c r="DA347" s="83">
        <v>200371</v>
      </c>
      <c r="DB347" s="294">
        <v>550</v>
      </c>
      <c r="DC347" s="164">
        <v>8.8000000000000007</v>
      </c>
      <c r="DD347" s="164">
        <v>640</v>
      </c>
      <c r="DE347" s="164">
        <v>890</v>
      </c>
      <c r="DF347" s="164">
        <v>800</v>
      </c>
      <c r="DG347" s="164">
        <v>953</v>
      </c>
      <c r="DH347" s="84">
        <v>218871</v>
      </c>
      <c r="DI347" s="27" t="s">
        <v>6057</v>
      </c>
      <c r="DJ347" s="143" t="s">
        <v>4435</v>
      </c>
      <c r="DK347" s="297" t="s">
        <v>4566</v>
      </c>
    </row>
    <row r="348" spans="1:115" ht="15.6" customHeight="1" thickBot="1">
      <c r="A348" s="9">
        <v>343</v>
      </c>
      <c r="B348" s="8">
        <v>53</v>
      </c>
      <c r="C348" s="8">
        <v>2017</v>
      </c>
      <c r="D348" s="9" t="s">
        <v>4685</v>
      </c>
      <c r="E348" s="9" t="s">
        <v>4841</v>
      </c>
      <c r="F348" s="8">
        <v>1</v>
      </c>
      <c r="G348" s="8" t="s">
        <v>5932</v>
      </c>
      <c r="H348" s="8" t="s">
        <v>5923</v>
      </c>
      <c r="I348" s="8" t="s">
        <v>6260</v>
      </c>
      <c r="J348" s="324" t="s">
        <v>4635</v>
      </c>
      <c r="K348" s="9" t="s">
        <v>4383</v>
      </c>
      <c r="L348" s="108" t="s">
        <v>5792</v>
      </c>
      <c r="M348" s="9" t="s">
        <v>4508</v>
      </c>
      <c r="N348" s="108" t="s">
        <v>4701</v>
      </c>
      <c r="O348" s="109" t="s">
        <v>4507</v>
      </c>
      <c r="P348" s="108" t="s">
        <v>4470</v>
      </c>
      <c r="Q348" s="108" t="s">
        <v>4470</v>
      </c>
      <c r="R348" s="108" t="s">
        <v>4420</v>
      </c>
      <c r="S348" s="108" t="s">
        <v>5792</v>
      </c>
      <c r="T348" s="108" t="s">
        <v>4420</v>
      </c>
      <c r="U348" s="108" t="s">
        <v>5792</v>
      </c>
      <c r="V348" s="34" t="s">
        <v>4559</v>
      </c>
      <c r="W348" s="109">
        <v>6</v>
      </c>
      <c r="X348" s="230">
        <v>0</v>
      </c>
      <c r="Y348" s="18">
        <v>0</v>
      </c>
      <c r="Z348" s="9" t="s">
        <v>5509</v>
      </c>
      <c r="AA348" s="21">
        <f>INDEX('[2]Cross-Section Database'!$C$2:$V$2928,MATCH(Z348,'[2]Cross-Section Database'!$B$2:$B$2928,0),3)</f>
        <v>250</v>
      </c>
      <c r="AB348" s="21">
        <f>INDEX('[2]Cross-Section Database'!$C$2:$V$2928,MATCH(Z348,'[2]Cross-Section Database'!$B$2:$B$2928,0),4)</f>
        <v>250</v>
      </c>
      <c r="AC348" s="21">
        <f>INDEX('[2]Cross-Section Database'!$C$2:$V$2928,MATCH(Z348,'[2]Cross-Section Database'!$B$2:$B$2928,0),6)</f>
        <v>8.8000000000000007</v>
      </c>
      <c r="AD348" s="21">
        <f>INDEX('[2]Cross-Section Database'!$C$2:$V$2928,MATCH(Z348,'[2]Cross-Section Database'!$B$2:$B$2928,0),5)</f>
        <v>8.8000000000000007</v>
      </c>
      <c r="AE348" s="110">
        <v>1024</v>
      </c>
      <c r="AF348" s="9" t="s">
        <v>4636</v>
      </c>
      <c r="AG348" s="110">
        <f>INDEX('[2]Cross-Section Database'!$C$2:$V$2928,MATCH(AF348,'[2]Cross-Section Database'!$B$2:$B$2928,0),3)</f>
        <v>454</v>
      </c>
      <c r="AH348" s="110">
        <f>INDEX('[2]Cross-Section Database'!$C$2:$V$2928,MATCH(AF348,'[2]Cross-Section Database'!$B$2:$B$2928,0),4)</f>
        <v>190</v>
      </c>
      <c r="AI348" s="110">
        <f>INDEX('[2]Cross-Section Database'!$C$2:$V$2928,MATCH(AF348,'[2]Cross-Section Database'!$B$2:$B$2928,0),6)</f>
        <v>12.7</v>
      </c>
      <c r="AJ348" s="110">
        <f>INDEX('[2]Cross-Section Database'!$C$2:$V$2928,MATCH(AF348,'[2]Cross-Section Database'!$B$2:$B$2928,0),5)</f>
        <v>8.5</v>
      </c>
      <c r="AK348" s="110">
        <v>1400</v>
      </c>
      <c r="AL348" s="110">
        <f>INDEX('[2]Cross-Section Database'!$C$2:$V$3928,MATCH(AF348,'[2]Cross-Section Database'!$B$2:$B$3928,0),11)</f>
        <v>296000000</v>
      </c>
      <c r="AM348" s="111">
        <f>INDEX('[2]Cross-Section Database'!$C$2:$V$3928,MATCH(AF348,'[2]Cross-Section Database'!$B$2:$B$3928,0),12)</f>
        <v>1480000</v>
      </c>
      <c r="AN348" s="110">
        <v>12</v>
      </c>
      <c r="AO348" s="110">
        <v>210</v>
      </c>
      <c r="AP348" s="110">
        <v>474</v>
      </c>
      <c r="AQ348" s="110">
        <v>10</v>
      </c>
      <c r="AR348" s="110">
        <f t="shared" si="183"/>
        <v>10</v>
      </c>
      <c r="AS348" s="9" t="s">
        <v>5672</v>
      </c>
      <c r="AT348" s="108" t="s">
        <v>4637</v>
      </c>
      <c r="AU348" s="110">
        <f>380/AV348/0.25</f>
        <v>76</v>
      </c>
      <c r="AV348" s="108">
        <v>20</v>
      </c>
      <c r="AW348" s="108">
        <f t="shared" si="160"/>
        <v>245</v>
      </c>
      <c r="AX348" s="110">
        <v>63</v>
      </c>
      <c r="AY348" s="110">
        <f>AX348</f>
        <v>63</v>
      </c>
      <c r="AZ348" s="110">
        <v>174</v>
      </c>
      <c r="BA348" s="110">
        <v>90</v>
      </c>
      <c r="BB348" s="110">
        <v>0</v>
      </c>
      <c r="BC348" s="112" t="s">
        <v>4470</v>
      </c>
      <c r="BD348" s="108" t="s">
        <v>6209</v>
      </c>
      <c r="BE348" s="108" t="s">
        <v>6209</v>
      </c>
      <c r="BF348" s="108">
        <v>2</v>
      </c>
      <c r="BG348" s="108">
        <v>6</v>
      </c>
      <c r="BH348" s="9">
        <v>120</v>
      </c>
      <c r="BI348" s="108">
        <v>1000</v>
      </c>
      <c r="BJ348" s="108" t="s">
        <v>6198</v>
      </c>
      <c r="BK348" s="108">
        <v>1</v>
      </c>
      <c r="BL348" s="108">
        <v>300</v>
      </c>
      <c r="BM348" s="108">
        <v>1620</v>
      </c>
      <c r="BN348" s="108">
        <v>55</v>
      </c>
      <c r="BO348" s="108" t="s">
        <v>4591</v>
      </c>
      <c r="BP348" s="9" t="s">
        <v>5856</v>
      </c>
      <c r="BQ348" s="108">
        <v>7</v>
      </c>
      <c r="BR348" s="108">
        <v>1</v>
      </c>
      <c r="BS348" s="108">
        <v>19</v>
      </c>
      <c r="BT348" s="108">
        <v>100</v>
      </c>
      <c r="BU348" s="108">
        <v>175</v>
      </c>
      <c r="BV348" s="109">
        <v>200</v>
      </c>
      <c r="BW348" s="9" t="s">
        <v>4587</v>
      </c>
      <c r="BX348" s="108" t="s">
        <v>4602</v>
      </c>
      <c r="BY348" s="110">
        <f>((BI348/200)+1)*PI()*12^2/4</f>
        <v>678.58401317539528</v>
      </c>
      <c r="BZ348" s="110">
        <f>6*PI()*16^2/4</f>
        <v>1206.3715789784806</v>
      </c>
      <c r="CA348" s="113">
        <v>20</v>
      </c>
      <c r="CB348" s="124">
        <v>1.8599999999999998E-2</v>
      </c>
      <c r="CC348" s="108" t="s">
        <v>5662</v>
      </c>
      <c r="CD348" s="157">
        <v>350</v>
      </c>
      <c r="CE348" s="110">
        <v>460</v>
      </c>
      <c r="CF348" s="157">
        <v>470</v>
      </c>
      <c r="CG348" s="110">
        <v>526</v>
      </c>
      <c r="CH348" s="115">
        <v>200000</v>
      </c>
      <c r="CI348" s="117" t="s">
        <v>5664</v>
      </c>
      <c r="CJ348" s="135">
        <v>300</v>
      </c>
      <c r="CK348" s="110">
        <v>356.5</v>
      </c>
      <c r="CL348" s="135">
        <v>505</v>
      </c>
      <c r="CM348" s="110">
        <v>486.5</v>
      </c>
      <c r="CN348" s="115">
        <v>200000</v>
      </c>
      <c r="CO348" s="108" t="s">
        <v>5662</v>
      </c>
      <c r="CP348" s="157">
        <v>350</v>
      </c>
      <c r="CQ348" s="110">
        <v>358</v>
      </c>
      <c r="CR348" s="135">
        <v>470</v>
      </c>
      <c r="CS348" s="110">
        <v>494</v>
      </c>
      <c r="CT348" s="115">
        <v>200000</v>
      </c>
      <c r="CU348" s="149" t="s">
        <v>5675</v>
      </c>
      <c r="CV348" s="110">
        <v>41.7</v>
      </c>
      <c r="CW348" s="110">
        <v>3.9</v>
      </c>
      <c r="CX348" s="115">
        <v>34000</v>
      </c>
      <c r="CY348" s="9">
        <v>565</v>
      </c>
      <c r="CZ348" s="108">
        <v>660</v>
      </c>
      <c r="DA348" s="115">
        <v>200000</v>
      </c>
      <c r="DB348" s="8">
        <v>550</v>
      </c>
      <c r="DC348" s="108">
        <v>8.8000000000000007</v>
      </c>
      <c r="DD348" s="108">
        <v>640</v>
      </c>
      <c r="DE348" s="108">
        <v>820</v>
      </c>
      <c r="DF348" s="108">
        <v>800</v>
      </c>
      <c r="DG348" s="108">
        <v>966</v>
      </c>
      <c r="DH348" s="116">
        <v>200000</v>
      </c>
      <c r="DI348" s="86" t="s">
        <v>6053</v>
      </c>
      <c r="DJ348" s="162" t="s">
        <v>4561</v>
      </c>
      <c r="DK348" s="296" t="s">
        <v>4566</v>
      </c>
    </row>
    <row r="349" spans="1:115">
      <c r="A349" s="305">
        <v>344</v>
      </c>
      <c r="B349" s="325">
        <v>54</v>
      </c>
      <c r="C349" s="325">
        <v>2017</v>
      </c>
      <c r="D349" s="325" t="s">
        <v>4675</v>
      </c>
      <c r="E349" s="328" t="s">
        <v>4840</v>
      </c>
      <c r="F349" s="325">
        <v>2</v>
      </c>
      <c r="G349" s="325" t="s">
        <v>5937</v>
      </c>
      <c r="H349" s="325" t="s">
        <v>5920</v>
      </c>
      <c r="I349" s="325" t="s">
        <v>6261</v>
      </c>
      <c r="J349" s="317" t="s">
        <v>4694</v>
      </c>
      <c r="K349" s="305" t="s">
        <v>4535</v>
      </c>
      <c r="L349" s="162" t="s">
        <v>6060</v>
      </c>
      <c r="M349" s="305" t="s">
        <v>4509</v>
      </c>
      <c r="N349" s="162" t="s">
        <v>4700</v>
      </c>
      <c r="O349" s="17" t="s">
        <v>4507</v>
      </c>
      <c r="P349" s="162" t="s">
        <v>4470</v>
      </c>
      <c r="Q349" s="162" t="s">
        <v>4470</v>
      </c>
      <c r="R349" s="162" t="s">
        <v>4420</v>
      </c>
      <c r="S349" s="162" t="s">
        <v>5792</v>
      </c>
      <c r="T349" s="162" t="s">
        <v>4420</v>
      </c>
      <c r="U349" s="162" t="s">
        <v>5792</v>
      </c>
      <c r="V349" s="162" t="s">
        <v>4559</v>
      </c>
      <c r="W349" s="17">
        <v>10</v>
      </c>
      <c r="X349" s="239">
        <v>0</v>
      </c>
      <c r="Y349" s="17">
        <v>0</v>
      </c>
      <c r="Z349" s="305" t="s">
        <v>4695</v>
      </c>
      <c r="AA349" s="79">
        <v>200</v>
      </c>
      <c r="AB349" s="79">
        <v>200</v>
      </c>
      <c r="AC349" s="72">
        <v>10</v>
      </c>
      <c r="AD349" s="72">
        <v>10</v>
      </c>
      <c r="AE349" s="138">
        <v>1505</v>
      </c>
      <c r="AF349" s="305" t="s">
        <v>4809</v>
      </c>
      <c r="AG349" s="16">
        <v>300</v>
      </c>
      <c r="AH349" s="16">
        <v>150</v>
      </c>
      <c r="AI349" s="16">
        <v>10</v>
      </c>
      <c r="AJ349" s="16">
        <v>6</v>
      </c>
      <c r="AK349" s="16">
        <v>1300</v>
      </c>
      <c r="AL349" s="16">
        <f>AH349*AG349^3/12-(AH349-AJ349)*(AG349-2*AI349)^3/12</f>
        <v>74076000</v>
      </c>
      <c r="AM349" s="26">
        <v>552600</v>
      </c>
      <c r="AN349" s="16">
        <v>18</v>
      </c>
      <c r="AO349" s="16">
        <v>200</v>
      </c>
      <c r="AP349" s="16">
        <v>340</v>
      </c>
      <c r="AQ349" s="16">
        <v>20</v>
      </c>
      <c r="AR349" s="16">
        <f t="shared" si="183"/>
        <v>20</v>
      </c>
      <c r="AS349" s="305" t="s">
        <v>5659</v>
      </c>
      <c r="AT349" s="162" t="s">
        <v>4696</v>
      </c>
      <c r="AU349" s="16">
        <f>442/AV349/0.25</f>
        <v>88.4</v>
      </c>
      <c r="AV349" s="162">
        <v>20</v>
      </c>
      <c r="AW349" s="162">
        <f t="shared" si="160"/>
        <v>245</v>
      </c>
      <c r="AX349" s="16">
        <v>65</v>
      </c>
      <c r="AY349" s="16">
        <f>AX349</f>
        <v>65</v>
      </c>
      <c r="AZ349" s="16">
        <v>70</v>
      </c>
      <c r="BA349" s="16">
        <v>110</v>
      </c>
      <c r="BB349" s="16">
        <v>70</v>
      </c>
      <c r="BC349" s="22" t="s">
        <v>4420</v>
      </c>
      <c r="BD349" s="162" t="s">
        <v>4465</v>
      </c>
      <c r="BE349" s="162" t="s">
        <v>4465</v>
      </c>
      <c r="BF349" s="162">
        <v>4</v>
      </c>
      <c r="BG349" s="162">
        <v>8</v>
      </c>
      <c r="BH349" s="306">
        <v>150</v>
      </c>
      <c r="BI349" s="163">
        <v>2060</v>
      </c>
      <c r="BJ349" s="201" t="s">
        <v>5792</v>
      </c>
      <c r="BK349" s="201" t="s">
        <v>5792</v>
      </c>
      <c r="BL349" s="201" t="s">
        <v>5792</v>
      </c>
      <c r="BM349" s="201" t="s">
        <v>5792</v>
      </c>
      <c r="BN349" s="201" t="s">
        <v>5792</v>
      </c>
      <c r="BO349" s="201" t="s">
        <v>5792</v>
      </c>
      <c r="BP349" s="305" t="s">
        <v>5856</v>
      </c>
      <c r="BQ349" s="162">
        <v>7</v>
      </c>
      <c r="BR349" s="162">
        <v>1</v>
      </c>
      <c r="BS349" s="162">
        <v>19</v>
      </c>
      <c r="BT349" s="162">
        <v>90</v>
      </c>
      <c r="BU349" s="30">
        <v>150</v>
      </c>
      <c r="BV349" s="17">
        <v>450</v>
      </c>
      <c r="BW349" s="163" t="s">
        <v>4573</v>
      </c>
      <c r="BX349" s="163" t="s">
        <v>4698</v>
      </c>
      <c r="BY349" s="21">
        <v>0</v>
      </c>
      <c r="BZ349" s="21">
        <f>16*PI()*10^2/4+14*PI()*6^2/4</f>
        <v>1652.4777357882313</v>
      </c>
      <c r="CA349" s="32">
        <v>20</v>
      </c>
      <c r="CB349" s="121">
        <v>5.3E-3</v>
      </c>
      <c r="CC349" s="32" t="s">
        <v>5793</v>
      </c>
      <c r="CD349" s="60">
        <v>275</v>
      </c>
      <c r="CE349" s="21">
        <v>349.3</v>
      </c>
      <c r="CF349" s="60">
        <v>410</v>
      </c>
      <c r="CG349" s="21">
        <v>492</v>
      </c>
      <c r="CH349" s="69">
        <v>187000</v>
      </c>
      <c r="CI349" s="32" t="s">
        <v>5793</v>
      </c>
      <c r="CJ349" s="60">
        <v>275</v>
      </c>
      <c r="CK349" s="21">
        <f>(349.3+312.5)/2</f>
        <v>330.9</v>
      </c>
      <c r="CL349" s="60">
        <v>410</v>
      </c>
      <c r="CM349" s="21">
        <f>(492+508.3)/2</f>
        <v>500.15</v>
      </c>
      <c r="CN349" s="68">
        <v>187000</v>
      </c>
      <c r="CO349" s="32" t="s">
        <v>5793</v>
      </c>
      <c r="CP349" s="60">
        <v>275</v>
      </c>
      <c r="CQ349" s="21">
        <v>274.39999999999998</v>
      </c>
      <c r="CR349" s="163">
        <v>410</v>
      </c>
      <c r="CS349" s="21">
        <v>414.4</v>
      </c>
      <c r="CT349" s="69">
        <v>193000</v>
      </c>
      <c r="CU349" s="150" t="s">
        <v>5674</v>
      </c>
      <c r="CV349" s="94">
        <v>32.229999999999997</v>
      </c>
      <c r="CW349" s="76">
        <v>2.6</v>
      </c>
      <c r="CX349" s="96">
        <v>32100</v>
      </c>
      <c r="CY349" s="95">
        <v>348.9</v>
      </c>
      <c r="CZ349" s="94">
        <v>521.29999999999995</v>
      </c>
      <c r="DA349" s="96">
        <v>196000</v>
      </c>
      <c r="DB349" s="282" t="s">
        <v>5792</v>
      </c>
      <c r="DC349" s="162">
        <v>10.9</v>
      </c>
      <c r="DD349" s="162">
        <v>900</v>
      </c>
      <c r="DE349" s="162">
        <v>942</v>
      </c>
      <c r="DF349" s="162">
        <v>1000</v>
      </c>
      <c r="DG349" s="162">
        <v>1048</v>
      </c>
      <c r="DH349" s="76">
        <v>205000</v>
      </c>
      <c r="DI349" s="28" t="s">
        <v>5833</v>
      </c>
      <c r="DJ349" s="162" t="s">
        <v>4561</v>
      </c>
      <c r="DK349" s="296" t="s">
        <v>4566</v>
      </c>
    </row>
    <row r="350" spans="1:115" ht="15.6" customHeight="1" thickBot="1">
      <c r="A350" s="143">
        <v>345</v>
      </c>
      <c r="B350" s="327"/>
      <c r="C350" s="327"/>
      <c r="D350" s="327"/>
      <c r="E350" s="330"/>
      <c r="F350" s="327"/>
      <c r="G350" s="327"/>
      <c r="H350" s="327"/>
      <c r="I350" s="327"/>
      <c r="J350" s="318" t="s">
        <v>4697</v>
      </c>
      <c r="K350" s="143" t="s">
        <v>4535</v>
      </c>
      <c r="L350" s="164" t="s">
        <v>6060</v>
      </c>
      <c r="M350" s="143" t="s">
        <v>4509</v>
      </c>
      <c r="N350" s="164" t="s">
        <v>4700</v>
      </c>
      <c r="O350" s="14" t="s">
        <v>4507</v>
      </c>
      <c r="P350" s="164" t="s">
        <v>4470</v>
      </c>
      <c r="Q350" s="164" t="s">
        <v>4470</v>
      </c>
      <c r="R350" s="164" t="s">
        <v>4420</v>
      </c>
      <c r="S350" s="164" t="s">
        <v>5792</v>
      </c>
      <c r="T350" s="164" t="s">
        <v>4420</v>
      </c>
      <c r="U350" s="164" t="s">
        <v>5792</v>
      </c>
      <c r="V350" s="164" t="s">
        <v>4559</v>
      </c>
      <c r="W350" s="14">
        <v>10</v>
      </c>
      <c r="X350" s="235">
        <v>0</v>
      </c>
      <c r="Y350" s="14">
        <v>0</v>
      </c>
      <c r="Z350" s="143" t="s">
        <v>4731</v>
      </c>
      <c r="AA350" s="37">
        <v>200</v>
      </c>
      <c r="AB350" s="37">
        <v>200</v>
      </c>
      <c r="AC350" s="85">
        <v>3</v>
      </c>
      <c r="AD350" s="85">
        <v>3</v>
      </c>
      <c r="AE350" s="139">
        <v>1505</v>
      </c>
      <c r="AF350" s="143" t="s">
        <v>4809</v>
      </c>
      <c r="AG350" s="23">
        <v>300</v>
      </c>
      <c r="AH350" s="23">
        <v>150</v>
      </c>
      <c r="AI350" s="23">
        <v>10</v>
      </c>
      <c r="AJ350" s="23">
        <v>6</v>
      </c>
      <c r="AK350" s="23">
        <v>1300</v>
      </c>
      <c r="AL350" s="23">
        <f>AH350*AG350^3/12-(AH350-AJ350)*(AG350-2*AI350)^3/12</f>
        <v>74076000</v>
      </c>
      <c r="AM350" s="25">
        <v>552600</v>
      </c>
      <c r="AN350" s="23">
        <v>12</v>
      </c>
      <c r="AO350" s="23">
        <v>200</v>
      </c>
      <c r="AP350" s="23">
        <v>340</v>
      </c>
      <c r="AQ350" s="23">
        <v>20</v>
      </c>
      <c r="AR350" s="23">
        <f t="shared" si="183"/>
        <v>20</v>
      </c>
      <c r="AS350" s="306" t="s">
        <v>5659</v>
      </c>
      <c r="AT350" s="163" t="s">
        <v>4696</v>
      </c>
      <c r="AU350" s="21">
        <f>442/AV350/0.25</f>
        <v>88.4</v>
      </c>
      <c r="AV350" s="21">
        <v>20</v>
      </c>
      <c r="AW350" s="38">
        <f t="shared" si="160"/>
        <v>245</v>
      </c>
      <c r="AX350" s="21">
        <v>65</v>
      </c>
      <c r="AY350" s="38">
        <f>AX350</f>
        <v>65</v>
      </c>
      <c r="AZ350" s="21">
        <v>70</v>
      </c>
      <c r="BA350" s="21">
        <v>110</v>
      </c>
      <c r="BB350" s="21">
        <v>70</v>
      </c>
      <c r="BC350" s="15" t="s">
        <v>4420</v>
      </c>
      <c r="BD350" s="163" t="s">
        <v>4465</v>
      </c>
      <c r="BE350" s="163" t="s">
        <v>4465</v>
      </c>
      <c r="BF350" s="163">
        <v>4</v>
      </c>
      <c r="BG350" s="163">
        <v>8</v>
      </c>
      <c r="BH350" s="306">
        <v>150</v>
      </c>
      <c r="BI350" s="163">
        <v>2060</v>
      </c>
      <c r="BJ350" s="203" t="s">
        <v>5792</v>
      </c>
      <c r="BK350" s="203" t="s">
        <v>5792</v>
      </c>
      <c r="BL350" s="203" t="s">
        <v>5792</v>
      </c>
      <c r="BM350" s="203" t="s">
        <v>5792</v>
      </c>
      <c r="BN350" s="203" t="s">
        <v>5792</v>
      </c>
      <c r="BO350" s="203" t="s">
        <v>5792</v>
      </c>
      <c r="BP350" s="143" t="s">
        <v>5856</v>
      </c>
      <c r="BQ350" s="164">
        <v>7</v>
      </c>
      <c r="BR350" s="164">
        <v>1</v>
      </c>
      <c r="BS350" s="164">
        <v>19</v>
      </c>
      <c r="BT350" s="164">
        <v>90</v>
      </c>
      <c r="BU350" s="34">
        <v>150</v>
      </c>
      <c r="BV350" s="14">
        <v>450</v>
      </c>
      <c r="BW350" s="164" t="s">
        <v>4573</v>
      </c>
      <c r="BX350" s="164" t="s">
        <v>4698</v>
      </c>
      <c r="BY350" s="21">
        <v>0</v>
      </c>
      <c r="BZ350" s="21">
        <f>16*PI()*10^2/4+14*PI()*6^2/4</f>
        <v>1652.4777357882313</v>
      </c>
      <c r="CA350" s="34">
        <v>20</v>
      </c>
      <c r="CB350" s="122">
        <v>5.3E-3</v>
      </c>
      <c r="CC350" s="132" t="s">
        <v>5651</v>
      </c>
      <c r="CD350" s="164">
        <v>235</v>
      </c>
      <c r="CE350" s="23">
        <v>267.2</v>
      </c>
      <c r="CF350" s="164">
        <v>370</v>
      </c>
      <c r="CG350" s="23">
        <v>368.3</v>
      </c>
      <c r="CH350" s="83">
        <v>186000</v>
      </c>
      <c r="CI350" s="132" t="s">
        <v>5793</v>
      </c>
      <c r="CJ350" s="60">
        <v>275</v>
      </c>
      <c r="CK350" s="21">
        <f>(349.3+312.5)/2</f>
        <v>330.9</v>
      </c>
      <c r="CL350" s="60">
        <v>410</v>
      </c>
      <c r="CM350" s="21">
        <f>(492+508.3)/2</f>
        <v>500.15</v>
      </c>
      <c r="CN350" s="68">
        <v>187001</v>
      </c>
      <c r="CO350" s="107" t="s">
        <v>5793</v>
      </c>
      <c r="CP350" s="60">
        <v>275</v>
      </c>
      <c r="CQ350" s="21">
        <v>323.3</v>
      </c>
      <c r="CR350" s="163">
        <v>410</v>
      </c>
      <c r="CS350" s="21">
        <v>436.7</v>
      </c>
      <c r="CT350" s="69">
        <v>198000</v>
      </c>
      <c r="CU350" s="151" t="s">
        <v>5674</v>
      </c>
      <c r="CV350" s="99">
        <v>32.229999999999997</v>
      </c>
      <c r="CW350" s="77">
        <v>2.6</v>
      </c>
      <c r="CX350" s="101">
        <v>32100</v>
      </c>
      <c r="CY350" s="100">
        <v>348.9</v>
      </c>
      <c r="CZ350" s="99">
        <v>521.29999999999995</v>
      </c>
      <c r="DA350" s="101">
        <v>196000</v>
      </c>
      <c r="DB350" s="283" t="s">
        <v>5792</v>
      </c>
      <c r="DC350" s="164">
        <v>10.9</v>
      </c>
      <c r="DD350" s="164">
        <v>900</v>
      </c>
      <c r="DE350" s="164">
        <v>942</v>
      </c>
      <c r="DF350" s="164">
        <v>1000</v>
      </c>
      <c r="DG350" s="164">
        <v>1048</v>
      </c>
      <c r="DH350" s="77">
        <v>205000</v>
      </c>
      <c r="DI350" s="27" t="s">
        <v>5833</v>
      </c>
      <c r="DJ350" s="143" t="s">
        <v>4561</v>
      </c>
      <c r="DK350" s="298" t="s">
        <v>4566</v>
      </c>
    </row>
    <row r="351" spans="1:115" ht="15.6" customHeight="1" thickBot="1">
      <c r="A351" s="306">
        <v>346</v>
      </c>
      <c r="B351" s="294">
        <v>55</v>
      </c>
      <c r="C351" s="294">
        <v>2018</v>
      </c>
      <c r="D351" s="306" t="s">
        <v>5558</v>
      </c>
      <c r="E351" s="306" t="s">
        <v>5639</v>
      </c>
      <c r="F351" s="294">
        <v>1</v>
      </c>
      <c r="G351" s="294" t="s">
        <v>5931</v>
      </c>
      <c r="H351" s="294" t="s">
        <v>5920</v>
      </c>
      <c r="I351" s="294" t="s">
        <v>6262</v>
      </c>
      <c r="J351" s="43" t="s">
        <v>4512</v>
      </c>
      <c r="K351" s="306" t="s">
        <v>4383</v>
      </c>
      <c r="L351" s="163" t="s">
        <v>5792</v>
      </c>
      <c r="M351" s="306" t="s">
        <v>4508</v>
      </c>
      <c r="N351" s="163" t="s">
        <v>4702</v>
      </c>
      <c r="O351" s="18" t="s">
        <v>4506</v>
      </c>
      <c r="P351" s="163" t="s">
        <v>4420</v>
      </c>
      <c r="Q351" s="163" t="s">
        <v>4420</v>
      </c>
      <c r="R351" s="163" t="s">
        <v>4420</v>
      </c>
      <c r="S351" s="163" t="s">
        <v>5792</v>
      </c>
      <c r="T351" s="163" t="s">
        <v>4420</v>
      </c>
      <c r="U351" s="163" t="s">
        <v>5792</v>
      </c>
      <c r="V351" s="163" t="s">
        <v>4559</v>
      </c>
      <c r="W351" s="18">
        <v>6</v>
      </c>
      <c r="X351" s="230">
        <v>0</v>
      </c>
      <c r="Y351" s="18">
        <v>0</v>
      </c>
      <c r="Z351" s="306" t="s">
        <v>5559</v>
      </c>
      <c r="AA351" s="21">
        <f>INDEX('[2]Cross-Section Database'!$C$2:$V$3928,MATCH(Z351,'[2]Cross-Section Database'!$B$2:$B$3928,0),3)</f>
        <v>244</v>
      </c>
      <c r="AB351" s="21">
        <f>INDEX('[2]Cross-Section Database'!$C$2:$V$3928,MATCH(Z351,'[2]Cross-Section Database'!$B$2:$B$3928,0),4)</f>
        <v>175</v>
      </c>
      <c r="AC351" s="21">
        <f>INDEX('[2]Cross-Section Database'!$C$2:$V$3928,MATCH(Z351,'[2]Cross-Section Database'!$B$2:$B$3928,0),6)</f>
        <v>11</v>
      </c>
      <c r="AD351" s="21">
        <f>INDEX('[2]Cross-Section Database'!$C$2:$V$3928,MATCH(Z351,'[2]Cross-Section Database'!$B$2:$B$3928,0),5)</f>
        <v>7</v>
      </c>
      <c r="AE351" s="148">
        <v>2000</v>
      </c>
      <c r="AF351" s="306" t="s">
        <v>5580</v>
      </c>
      <c r="AG351" s="110">
        <f>INDEX('[2]Cross-Section Database'!$C$2:$V$3928,MATCH(AF351,'[2]Cross-Section Database'!$B$2:$B$3928,0),3)</f>
        <v>194</v>
      </c>
      <c r="AH351" s="110">
        <f>INDEX('[2]Cross-Section Database'!$C$2:$V$3928,MATCH(AF351,'[2]Cross-Section Database'!$B$2:$B$3928,0),4)</f>
        <v>150</v>
      </c>
      <c r="AI351" s="110">
        <f>INDEX('[2]Cross-Section Database'!$C$2:$V$3928,MATCH(AF351,'[2]Cross-Section Database'!$B$2:$B$3928,0),6)</f>
        <v>9</v>
      </c>
      <c r="AJ351" s="110">
        <f>INDEX('[2]Cross-Section Database'!$C$2:$V$3928,MATCH(AF351,'[2]Cross-Section Database'!$B$2:$B$3928,0),5)</f>
        <v>6</v>
      </c>
      <c r="AK351" s="110">
        <v>1000</v>
      </c>
      <c r="AL351" s="21">
        <f>INDEX('[2]Cross-Section Database'!$C$2:$V$3928,MATCH(AF351,'[2]Cross-Section Database'!$B$2:$B$3928,0),11)</f>
        <v>25845988</v>
      </c>
      <c r="AM351" s="26">
        <f>AH351*AG351^2/4-(AH351-AJ351)*(AG351-2*AI351)^2/4</f>
        <v>296214</v>
      </c>
      <c r="AN351" s="21">
        <v>16</v>
      </c>
      <c r="AO351" s="21">
        <v>150</v>
      </c>
      <c r="AP351" s="21">
        <v>194</v>
      </c>
      <c r="AQ351" s="21">
        <v>0</v>
      </c>
      <c r="AR351" s="21">
        <v>0</v>
      </c>
      <c r="AS351" s="9" t="s">
        <v>5807</v>
      </c>
      <c r="AT351" s="108" t="s">
        <v>6134</v>
      </c>
      <c r="AU351" s="110" t="s">
        <v>6134</v>
      </c>
      <c r="AV351" s="110">
        <v>20</v>
      </c>
      <c r="AW351" s="126">
        <f t="shared" si="160"/>
        <v>245</v>
      </c>
      <c r="AX351" s="110">
        <v>51</v>
      </c>
      <c r="AY351" s="126">
        <f>AX351</f>
        <v>51</v>
      </c>
      <c r="AZ351" s="110">
        <v>0</v>
      </c>
      <c r="BA351" s="110">
        <v>78</v>
      </c>
      <c r="BB351" s="110">
        <v>92</v>
      </c>
      <c r="BC351" s="112" t="s">
        <v>4470</v>
      </c>
      <c r="BD351" s="108" t="s">
        <v>6209</v>
      </c>
      <c r="BE351" s="108" t="s">
        <v>6209</v>
      </c>
      <c r="BF351" s="108">
        <v>2</v>
      </c>
      <c r="BG351" s="109">
        <v>4</v>
      </c>
      <c r="BH351" s="200" t="s">
        <v>5792</v>
      </c>
      <c r="BI351" s="201" t="s">
        <v>5792</v>
      </c>
      <c r="BJ351" s="201" t="s">
        <v>5792</v>
      </c>
      <c r="BK351" s="201" t="s">
        <v>5792</v>
      </c>
      <c r="BL351" s="201" t="s">
        <v>5792</v>
      </c>
      <c r="BM351" s="201" t="s">
        <v>5792</v>
      </c>
      <c r="BN351" s="201" t="s">
        <v>5792</v>
      </c>
      <c r="BO351" s="201" t="s">
        <v>5792</v>
      </c>
      <c r="BP351" s="200" t="s">
        <v>5792</v>
      </c>
      <c r="BQ351" s="201" t="s">
        <v>5792</v>
      </c>
      <c r="BR351" s="201" t="s">
        <v>5792</v>
      </c>
      <c r="BS351" s="201" t="s">
        <v>5792</v>
      </c>
      <c r="BT351" s="201" t="s">
        <v>5792</v>
      </c>
      <c r="BU351" s="201" t="s">
        <v>5792</v>
      </c>
      <c r="BV351" s="219" t="s">
        <v>5792</v>
      </c>
      <c r="BW351" s="201" t="s">
        <v>5792</v>
      </c>
      <c r="BX351" s="201" t="s">
        <v>5792</v>
      </c>
      <c r="BY351" s="201" t="s">
        <v>5792</v>
      </c>
      <c r="BZ351" s="201" t="s">
        <v>5792</v>
      </c>
      <c r="CA351" s="201" t="s">
        <v>5792</v>
      </c>
      <c r="CB351" s="219" t="s">
        <v>5792</v>
      </c>
      <c r="CC351" s="132" t="s">
        <v>5651</v>
      </c>
      <c r="CD351" s="164">
        <v>235</v>
      </c>
      <c r="CE351" s="21">
        <v>262.39999999999998</v>
      </c>
      <c r="CF351" s="164">
        <v>370</v>
      </c>
      <c r="CG351" s="21">
        <v>435.3</v>
      </c>
      <c r="CH351" s="69">
        <v>196000</v>
      </c>
      <c r="CI351" s="132" t="s">
        <v>5651</v>
      </c>
      <c r="CJ351" s="157">
        <v>235</v>
      </c>
      <c r="CK351" s="110">
        <v>263.5</v>
      </c>
      <c r="CL351" s="157">
        <v>370</v>
      </c>
      <c r="CM351" s="110">
        <v>466.9</v>
      </c>
      <c r="CN351" s="192">
        <v>204800</v>
      </c>
      <c r="CO351" s="137" t="s">
        <v>5651</v>
      </c>
      <c r="CP351" s="108">
        <v>235</v>
      </c>
      <c r="CQ351" s="110">
        <v>253.1</v>
      </c>
      <c r="CR351" s="108">
        <v>370</v>
      </c>
      <c r="CS351" s="110">
        <v>396.6</v>
      </c>
      <c r="CT351" s="225">
        <v>210000</v>
      </c>
      <c r="CU351" s="204" t="s">
        <v>5792</v>
      </c>
      <c r="CV351" s="205" t="s">
        <v>5792</v>
      </c>
      <c r="CW351" s="205" t="s">
        <v>5792</v>
      </c>
      <c r="CX351" s="206" t="s">
        <v>5792</v>
      </c>
      <c r="CY351" s="204" t="s">
        <v>5792</v>
      </c>
      <c r="CZ351" s="205" t="s">
        <v>5792</v>
      </c>
      <c r="DA351" s="206" t="s">
        <v>5792</v>
      </c>
      <c r="DB351" s="282" t="s">
        <v>5792</v>
      </c>
      <c r="DC351" s="163">
        <v>10.9</v>
      </c>
      <c r="DD351" s="162">
        <v>900</v>
      </c>
      <c r="DE351" s="30">
        <v>990</v>
      </c>
      <c r="DF351" s="162">
        <v>1000</v>
      </c>
      <c r="DG351" s="30">
        <v>1100</v>
      </c>
      <c r="DH351" s="76">
        <v>200000</v>
      </c>
      <c r="DI351" s="29" t="s">
        <v>5834</v>
      </c>
      <c r="DJ351" s="163" t="s">
        <v>4561</v>
      </c>
      <c r="DK351" s="297" t="s">
        <v>4566</v>
      </c>
    </row>
    <row r="352" spans="1:115" ht="15.6" customHeight="1">
      <c r="A352" s="302">
        <v>347</v>
      </c>
      <c r="B352" s="325">
        <v>56</v>
      </c>
      <c r="C352" s="325">
        <v>2018</v>
      </c>
      <c r="D352" s="333" t="s">
        <v>4681</v>
      </c>
      <c r="E352" s="333" t="s">
        <v>6263</v>
      </c>
      <c r="F352" s="325">
        <v>4</v>
      </c>
      <c r="G352" s="328" t="s">
        <v>5935</v>
      </c>
      <c r="H352" s="328" t="s">
        <v>5934</v>
      </c>
      <c r="I352" s="328" t="s">
        <v>6264</v>
      </c>
      <c r="J352" s="291" t="s">
        <v>6265</v>
      </c>
      <c r="K352" s="302" t="s">
        <v>4383</v>
      </c>
      <c r="L352" s="162" t="s">
        <v>5792</v>
      </c>
      <c r="M352" s="305" t="s">
        <v>4509</v>
      </c>
      <c r="N352" s="162" t="s">
        <v>4703</v>
      </c>
      <c r="O352" s="17" t="s">
        <v>4507</v>
      </c>
      <c r="P352" s="162" t="s">
        <v>4420</v>
      </c>
      <c r="Q352" s="162" t="s">
        <v>4420</v>
      </c>
      <c r="R352" s="162" t="s">
        <v>4420</v>
      </c>
      <c r="S352" s="162" t="s">
        <v>5792</v>
      </c>
      <c r="T352" s="162" t="s">
        <v>4420</v>
      </c>
      <c r="U352" s="162" t="s">
        <v>5792</v>
      </c>
      <c r="V352" s="162" t="s">
        <v>4559</v>
      </c>
      <c r="W352" s="17">
        <v>10</v>
      </c>
      <c r="X352" s="239">
        <v>0</v>
      </c>
      <c r="Y352" s="17">
        <v>924</v>
      </c>
      <c r="Z352" s="162" t="s">
        <v>5492</v>
      </c>
      <c r="AA352" s="16">
        <f>INDEX('[2]Cross-Section Database'!$C$2:$V$2928,MATCH(Z352,'[2]Cross-Section Database'!$B$2:$B$2928,0),3)</f>
        <v>200</v>
      </c>
      <c r="AB352" s="16">
        <f>INDEX('[2]Cross-Section Database'!$C$2:$V$2928,MATCH(Z352,'[2]Cross-Section Database'!$B$2:$B$2928,0),4)</f>
        <v>200</v>
      </c>
      <c r="AC352" s="16">
        <f>INDEX('[2]Cross-Section Database'!$C$2:$V$2928,MATCH(Z352,'[2]Cross-Section Database'!$B$2:$B$2928,0),6)</f>
        <v>8.8000000000000007</v>
      </c>
      <c r="AD352" s="16">
        <f>INDEX('[2]Cross-Section Database'!$C$2:$V$2928,MATCH(Z352,'[2]Cross-Section Database'!$B$2:$B$2928,0),5)</f>
        <v>8.8000000000000007</v>
      </c>
      <c r="AE352" s="31">
        <v>2600</v>
      </c>
      <c r="AF352" s="305" t="s">
        <v>4226</v>
      </c>
      <c r="AG352" s="16">
        <f>INDEX('[2]Cross-Section Database'!$C$2:$V$2928,MATCH(AF352,'[2]Cross-Section Database'!$B$2:$B$2928,0),3)</f>
        <v>398</v>
      </c>
      <c r="AH352" s="16">
        <f>INDEX('[2]Cross-Section Database'!$C$2:$V$2928,MATCH(AF352,'[2]Cross-Section Database'!$B$2:$B$2928,0),4)</f>
        <v>141.80000000000001</v>
      </c>
      <c r="AI352" s="16">
        <f>INDEX('[2]Cross-Section Database'!$C$2:$V$2928,MATCH(AF352,'[2]Cross-Section Database'!$B$2:$B$2928,0),6)</f>
        <v>8.6</v>
      </c>
      <c r="AJ352" s="16">
        <f>INDEX('[2]Cross-Section Database'!$C$2:$V$2928,MATCH(AF352,'[2]Cross-Section Database'!$B$2:$B$2928,0),5)</f>
        <v>6.4</v>
      </c>
      <c r="AK352" s="16">
        <v>1300</v>
      </c>
      <c r="AL352" s="16">
        <f>INDEX('[2]Cross-Section Database'!$C$2:$V$3928,MATCH(AF352,'[2]Cross-Section Database'!$B$2:$B$3928,0),11)</f>
        <v>125100000</v>
      </c>
      <c r="AM352" s="26">
        <f>INDEX('[2]Cross-Section Database'!$C$2:$V$3928,MATCH(AF352,'[2]Cross-Section Database'!$B$2:$B$3928,0),12)</f>
        <v>723700</v>
      </c>
      <c r="AN352" s="45">
        <v>12</v>
      </c>
      <c r="AO352" s="45">
        <v>200</v>
      </c>
      <c r="AP352" s="45">
        <v>447.2</v>
      </c>
      <c r="AQ352" s="45">
        <v>25</v>
      </c>
      <c r="AR352" s="45">
        <v>25</v>
      </c>
      <c r="AS352" s="305" t="s">
        <v>6266</v>
      </c>
      <c r="AT352" s="162" t="s">
        <v>6267</v>
      </c>
      <c r="AU352" s="16">
        <f>65/AV352/0.25</f>
        <v>13</v>
      </c>
      <c r="AV352" s="162">
        <v>20</v>
      </c>
      <c r="AW352" s="162">
        <f t="shared" si="160"/>
        <v>245</v>
      </c>
      <c r="AX352" s="45">
        <v>85</v>
      </c>
      <c r="AY352" s="45">
        <v>85</v>
      </c>
      <c r="AZ352" s="45">
        <v>0</v>
      </c>
      <c r="BA352" s="45">
        <v>90</v>
      </c>
      <c r="BB352" s="45">
        <v>277.2</v>
      </c>
      <c r="BC352" s="247" t="s">
        <v>4470</v>
      </c>
      <c r="BD352" s="162" t="s">
        <v>6209</v>
      </c>
      <c r="BE352" s="162" t="s">
        <v>6209</v>
      </c>
      <c r="BF352" s="162">
        <v>2</v>
      </c>
      <c r="BG352" s="17">
        <v>4</v>
      </c>
      <c r="BH352" s="200" t="s">
        <v>5792</v>
      </c>
      <c r="BI352" s="201" t="s">
        <v>5792</v>
      </c>
      <c r="BJ352" s="201" t="s">
        <v>5792</v>
      </c>
      <c r="BK352" s="201" t="s">
        <v>5792</v>
      </c>
      <c r="BL352" s="201" t="s">
        <v>5792</v>
      </c>
      <c r="BM352" s="201" t="s">
        <v>5792</v>
      </c>
      <c r="BN352" s="201" t="s">
        <v>5792</v>
      </c>
      <c r="BO352" s="201" t="s">
        <v>5792</v>
      </c>
      <c r="BP352" s="200" t="s">
        <v>5792</v>
      </c>
      <c r="BQ352" s="201" t="s">
        <v>5792</v>
      </c>
      <c r="BR352" s="201" t="s">
        <v>5792</v>
      </c>
      <c r="BS352" s="201" t="s">
        <v>5792</v>
      </c>
      <c r="BT352" s="201" t="s">
        <v>5792</v>
      </c>
      <c r="BU352" s="201" t="s">
        <v>5792</v>
      </c>
      <c r="BV352" s="219" t="s">
        <v>5792</v>
      </c>
      <c r="BW352" s="200" t="s">
        <v>5792</v>
      </c>
      <c r="BX352" s="201" t="s">
        <v>5792</v>
      </c>
      <c r="BY352" s="201" t="s">
        <v>5792</v>
      </c>
      <c r="BZ352" s="201" t="s">
        <v>5792</v>
      </c>
      <c r="CA352" s="201" t="s">
        <v>5792</v>
      </c>
      <c r="CB352" s="219" t="s">
        <v>5792</v>
      </c>
      <c r="CC352" s="162" t="s">
        <v>4450</v>
      </c>
      <c r="CD352" s="162">
        <v>275</v>
      </c>
      <c r="CE352" s="16">
        <v>357</v>
      </c>
      <c r="CF352" s="16">
        <v>410</v>
      </c>
      <c r="CG352" s="16">
        <v>445</v>
      </c>
      <c r="CH352" s="81">
        <v>210000</v>
      </c>
      <c r="CI352" s="162" t="s">
        <v>4450</v>
      </c>
      <c r="CJ352" s="162">
        <v>275</v>
      </c>
      <c r="CK352" s="16">
        <v>345</v>
      </c>
      <c r="CL352" s="16">
        <v>410</v>
      </c>
      <c r="CM352" s="16">
        <v>472</v>
      </c>
      <c r="CN352" s="81">
        <v>210000</v>
      </c>
      <c r="CO352" s="162" t="s">
        <v>4450</v>
      </c>
      <c r="CP352" s="162">
        <v>275</v>
      </c>
      <c r="CQ352" s="16">
        <v>325</v>
      </c>
      <c r="CR352" s="16">
        <v>410</v>
      </c>
      <c r="CS352" s="16">
        <v>451</v>
      </c>
      <c r="CT352" s="81">
        <v>210000</v>
      </c>
      <c r="CU352" s="204" t="s">
        <v>5792</v>
      </c>
      <c r="CV352" s="205" t="s">
        <v>5792</v>
      </c>
      <c r="CW352" s="205" t="s">
        <v>5792</v>
      </c>
      <c r="CX352" s="206" t="s">
        <v>5792</v>
      </c>
      <c r="CY352" s="204" t="s">
        <v>5792</v>
      </c>
      <c r="CZ352" s="205" t="s">
        <v>5792</v>
      </c>
      <c r="DA352" s="206" t="s">
        <v>5792</v>
      </c>
      <c r="DB352" s="282" t="s">
        <v>5792</v>
      </c>
      <c r="DC352" s="162">
        <v>10.9</v>
      </c>
      <c r="DD352" s="162">
        <v>900</v>
      </c>
      <c r="DE352" s="30">
        <v>990</v>
      </c>
      <c r="DF352" s="162">
        <v>1000</v>
      </c>
      <c r="DG352" s="30">
        <v>1100</v>
      </c>
      <c r="DH352" s="76">
        <v>200000</v>
      </c>
      <c r="DI352" s="28" t="s">
        <v>6268</v>
      </c>
      <c r="DJ352" s="162" t="s">
        <v>4435</v>
      </c>
      <c r="DK352" s="296" t="s">
        <v>4566</v>
      </c>
    </row>
    <row r="353" spans="1:115" ht="15.6" customHeight="1">
      <c r="A353" s="303">
        <v>348</v>
      </c>
      <c r="B353" s="326"/>
      <c r="C353" s="326"/>
      <c r="D353" s="334"/>
      <c r="E353" s="334"/>
      <c r="F353" s="326"/>
      <c r="G353" s="329"/>
      <c r="H353" s="329"/>
      <c r="I353" s="329"/>
      <c r="J353" s="292" t="s">
        <v>6269</v>
      </c>
      <c r="K353" s="303" t="s">
        <v>4383</v>
      </c>
      <c r="L353" s="163" t="s">
        <v>5792</v>
      </c>
      <c r="M353" s="306" t="s">
        <v>4509</v>
      </c>
      <c r="N353" s="163" t="s">
        <v>4703</v>
      </c>
      <c r="O353" s="18" t="s">
        <v>4507</v>
      </c>
      <c r="P353" s="163" t="s">
        <v>4420</v>
      </c>
      <c r="Q353" s="163" t="s">
        <v>4420</v>
      </c>
      <c r="R353" s="163" t="s">
        <v>4420</v>
      </c>
      <c r="S353" s="163" t="s">
        <v>5792</v>
      </c>
      <c r="T353" s="163" t="s">
        <v>4420</v>
      </c>
      <c r="U353" s="163" t="s">
        <v>5792</v>
      </c>
      <c r="V353" s="163" t="s">
        <v>4559</v>
      </c>
      <c r="W353" s="18">
        <v>10</v>
      </c>
      <c r="X353" s="230">
        <v>0</v>
      </c>
      <c r="Y353" s="18">
        <v>924</v>
      </c>
      <c r="Z353" s="163" t="s">
        <v>5492</v>
      </c>
      <c r="AA353" s="21">
        <f>INDEX('[2]Cross-Section Database'!$C$2:$V$2928,MATCH(Z353,'[2]Cross-Section Database'!$B$2:$B$2928,0),3)</f>
        <v>200</v>
      </c>
      <c r="AB353" s="21">
        <f>INDEX('[2]Cross-Section Database'!$C$2:$V$2928,MATCH(Z353,'[2]Cross-Section Database'!$B$2:$B$2928,0),4)</f>
        <v>200</v>
      </c>
      <c r="AC353" s="21">
        <f>INDEX('[2]Cross-Section Database'!$C$2:$V$2928,MATCH(Z353,'[2]Cross-Section Database'!$B$2:$B$2928,0),6)</f>
        <v>8.8000000000000007</v>
      </c>
      <c r="AD353" s="21">
        <f>INDEX('[2]Cross-Section Database'!$C$2:$V$2928,MATCH(Z353,'[2]Cross-Section Database'!$B$2:$B$2928,0),5)</f>
        <v>8.8000000000000007</v>
      </c>
      <c r="AE353" s="33">
        <v>2600</v>
      </c>
      <c r="AF353" s="306" t="s">
        <v>4248</v>
      </c>
      <c r="AG353" s="21">
        <f>INDEX('[2]Cross-Section Database'!$C$2:$V$2928,MATCH(AF353,'[2]Cross-Section Database'!$B$2:$B$2928,0),3)</f>
        <v>528.29999999999995</v>
      </c>
      <c r="AH353" s="21">
        <f>INDEX('[2]Cross-Section Database'!$C$2:$V$2928,MATCH(AF353,'[2]Cross-Section Database'!$B$2:$B$2928,0),4)</f>
        <v>208.8</v>
      </c>
      <c r="AI353" s="21">
        <f>INDEX('[2]Cross-Section Database'!$C$2:$V$2928,MATCH(AF353,'[2]Cross-Section Database'!$B$2:$B$2928,0),6)</f>
        <v>13.2</v>
      </c>
      <c r="AJ353" s="21">
        <f>INDEX('[2]Cross-Section Database'!$C$2:$V$2928,MATCH(AF353,'[2]Cross-Section Database'!$B$2:$B$2928,0),5)</f>
        <v>9.6</v>
      </c>
      <c r="AK353" s="21">
        <v>1300</v>
      </c>
      <c r="AL353" s="21">
        <f>INDEX('[2]Cross-Section Database'!$C$2:$V$3928,MATCH(AF353,'[2]Cross-Section Database'!$B$2:$B$3928,0),11)</f>
        <v>475400000</v>
      </c>
      <c r="AM353" s="24">
        <f>INDEX('[2]Cross-Section Database'!$C$2:$V$3928,MATCH(AF353,'[2]Cross-Section Database'!$B$2:$B$3928,0),12)</f>
        <v>2059000</v>
      </c>
      <c r="AN353" s="46">
        <v>15</v>
      </c>
      <c r="AO353" s="46">
        <v>250</v>
      </c>
      <c r="AP353" s="46">
        <v>578.29999999999995</v>
      </c>
      <c r="AQ353" s="46">
        <v>25</v>
      </c>
      <c r="AR353" s="46">
        <v>25</v>
      </c>
      <c r="AS353" s="300" t="s">
        <v>6266</v>
      </c>
      <c r="AT353" s="163" t="s">
        <v>6270</v>
      </c>
      <c r="AU353" s="21">
        <f>75/AV353/0.25</f>
        <v>12.5</v>
      </c>
      <c r="AV353" s="163">
        <v>24</v>
      </c>
      <c r="AW353" s="163">
        <f t="shared" si="160"/>
        <v>353</v>
      </c>
      <c r="AX353" s="21">
        <v>85</v>
      </c>
      <c r="AY353" s="21">
        <v>85</v>
      </c>
      <c r="AZ353" s="46">
        <v>0</v>
      </c>
      <c r="BA353" s="46">
        <v>90</v>
      </c>
      <c r="BB353" s="46">
        <v>408.3</v>
      </c>
      <c r="BC353" s="240" t="s">
        <v>4470</v>
      </c>
      <c r="BD353" s="163" t="s">
        <v>6209</v>
      </c>
      <c r="BE353" s="163" t="s">
        <v>6209</v>
      </c>
      <c r="BF353" s="163">
        <v>2</v>
      </c>
      <c r="BG353" s="18">
        <v>4</v>
      </c>
      <c r="BH353" s="202" t="s">
        <v>5792</v>
      </c>
      <c r="BI353" s="203" t="s">
        <v>5792</v>
      </c>
      <c r="BJ353" s="203" t="s">
        <v>5792</v>
      </c>
      <c r="BK353" s="203" t="s">
        <v>5792</v>
      </c>
      <c r="BL353" s="203" t="s">
        <v>5792</v>
      </c>
      <c r="BM353" s="203" t="s">
        <v>5792</v>
      </c>
      <c r="BN353" s="203" t="s">
        <v>5792</v>
      </c>
      <c r="BO353" s="203" t="s">
        <v>5792</v>
      </c>
      <c r="BP353" s="202" t="s">
        <v>5792</v>
      </c>
      <c r="BQ353" s="203" t="s">
        <v>5792</v>
      </c>
      <c r="BR353" s="203" t="s">
        <v>5792</v>
      </c>
      <c r="BS353" s="203" t="s">
        <v>5792</v>
      </c>
      <c r="BT353" s="203" t="s">
        <v>5792</v>
      </c>
      <c r="BU353" s="203" t="s">
        <v>5792</v>
      </c>
      <c r="BV353" s="218" t="s">
        <v>5792</v>
      </c>
      <c r="BW353" s="202" t="s">
        <v>5792</v>
      </c>
      <c r="BX353" s="203" t="s">
        <v>5792</v>
      </c>
      <c r="BY353" s="203" t="s">
        <v>5792</v>
      </c>
      <c r="BZ353" s="203" t="s">
        <v>5792</v>
      </c>
      <c r="CA353" s="203" t="s">
        <v>5792</v>
      </c>
      <c r="CB353" s="218" t="s">
        <v>5792</v>
      </c>
      <c r="CC353" s="163" t="s">
        <v>4450</v>
      </c>
      <c r="CD353" s="163">
        <v>275</v>
      </c>
      <c r="CE353" s="21">
        <v>357</v>
      </c>
      <c r="CF353" s="21">
        <v>410</v>
      </c>
      <c r="CG353" s="21">
        <v>445</v>
      </c>
      <c r="CH353" s="69">
        <v>210000</v>
      </c>
      <c r="CI353" s="163" t="s">
        <v>4450</v>
      </c>
      <c r="CJ353" s="163">
        <v>275</v>
      </c>
      <c r="CK353" s="21">
        <v>307</v>
      </c>
      <c r="CL353" s="21">
        <v>410</v>
      </c>
      <c r="CM353" s="21">
        <v>462</v>
      </c>
      <c r="CN353" s="69">
        <v>210000</v>
      </c>
      <c r="CO353" s="163" t="s">
        <v>4450</v>
      </c>
      <c r="CP353" s="163">
        <v>275</v>
      </c>
      <c r="CQ353" s="21">
        <v>325</v>
      </c>
      <c r="CR353" s="21">
        <v>410</v>
      </c>
      <c r="CS353" s="21">
        <v>451</v>
      </c>
      <c r="CT353" s="69">
        <v>210000</v>
      </c>
      <c r="CU353" s="207" t="s">
        <v>5792</v>
      </c>
      <c r="CV353" s="208" t="s">
        <v>5792</v>
      </c>
      <c r="CW353" s="208" t="s">
        <v>5792</v>
      </c>
      <c r="CX353" s="209" t="s">
        <v>5792</v>
      </c>
      <c r="CY353" s="207" t="s">
        <v>5792</v>
      </c>
      <c r="CZ353" s="208" t="s">
        <v>5792</v>
      </c>
      <c r="DA353" s="209" t="s">
        <v>5792</v>
      </c>
      <c r="DB353" s="283" t="s">
        <v>5792</v>
      </c>
      <c r="DC353" s="163">
        <v>10.9</v>
      </c>
      <c r="DD353" s="163">
        <v>900</v>
      </c>
      <c r="DE353" s="32">
        <v>990</v>
      </c>
      <c r="DF353" s="163">
        <v>1000</v>
      </c>
      <c r="DG353" s="32">
        <v>1100</v>
      </c>
      <c r="DH353" s="61">
        <v>200000</v>
      </c>
      <c r="DI353" s="29" t="s">
        <v>6268</v>
      </c>
      <c r="DJ353" s="163" t="s">
        <v>4435</v>
      </c>
      <c r="DK353" s="297" t="s">
        <v>4566</v>
      </c>
    </row>
    <row r="354" spans="1:115">
      <c r="A354" s="303">
        <v>349</v>
      </c>
      <c r="B354" s="326"/>
      <c r="C354" s="326"/>
      <c r="D354" s="334"/>
      <c r="E354" s="334"/>
      <c r="F354" s="326"/>
      <c r="G354" s="329"/>
      <c r="H354" s="329"/>
      <c r="I354" s="329"/>
      <c r="J354" s="292" t="s">
        <v>6271</v>
      </c>
      <c r="K354" s="303" t="s">
        <v>4383</v>
      </c>
      <c r="L354" s="163" t="s">
        <v>5792</v>
      </c>
      <c r="M354" s="306" t="s">
        <v>4509</v>
      </c>
      <c r="N354" s="163" t="s">
        <v>4703</v>
      </c>
      <c r="O354" s="18" t="s">
        <v>4507</v>
      </c>
      <c r="P354" s="163" t="s">
        <v>4420</v>
      </c>
      <c r="Q354" s="163" t="s">
        <v>4420</v>
      </c>
      <c r="R354" s="163" t="s">
        <v>4420</v>
      </c>
      <c r="S354" s="163" t="s">
        <v>5792</v>
      </c>
      <c r="T354" s="163" t="s">
        <v>4420</v>
      </c>
      <c r="U354" s="163" t="s">
        <v>5792</v>
      </c>
      <c r="V354" s="163" t="s">
        <v>4559</v>
      </c>
      <c r="W354" s="18">
        <v>10</v>
      </c>
      <c r="X354" s="230">
        <v>0</v>
      </c>
      <c r="Y354" s="18">
        <v>924</v>
      </c>
      <c r="Z354" s="163" t="s">
        <v>5492</v>
      </c>
      <c r="AA354" s="21">
        <f>INDEX('[2]Cross-Section Database'!$C$2:$V$2928,MATCH(Z354,'[2]Cross-Section Database'!$B$2:$B$2928,0),3)</f>
        <v>200</v>
      </c>
      <c r="AB354" s="21">
        <f>INDEX('[2]Cross-Section Database'!$C$2:$V$2928,MATCH(Z354,'[2]Cross-Section Database'!$B$2:$B$2928,0),4)</f>
        <v>200</v>
      </c>
      <c r="AC354" s="21">
        <f>INDEX('[2]Cross-Section Database'!$C$2:$V$2928,MATCH(Z354,'[2]Cross-Section Database'!$B$2:$B$2928,0),6)</f>
        <v>8.8000000000000007</v>
      </c>
      <c r="AD354" s="21">
        <f>INDEX('[2]Cross-Section Database'!$C$2:$V$2928,MATCH(Z354,'[2]Cross-Section Database'!$B$2:$B$2928,0),5)</f>
        <v>8.8000000000000007</v>
      </c>
      <c r="AE354" s="33">
        <v>2600</v>
      </c>
      <c r="AF354" s="306" t="s">
        <v>4234</v>
      </c>
      <c r="AG354" s="21">
        <f>INDEX('[2]Cross-Section Database'!$C$2:$V$2928,MATCH(AF354,'[2]Cross-Section Database'!$B$2:$B$2928,0),3)</f>
        <v>449.8</v>
      </c>
      <c r="AH354" s="21">
        <f>INDEX('[2]Cross-Section Database'!$C$2:$V$2928,MATCH(AF354,'[2]Cross-Section Database'!$B$2:$B$2928,0),4)</f>
        <v>152.4</v>
      </c>
      <c r="AI354" s="21">
        <f>INDEX('[2]Cross-Section Database'!$C$2:$V$2928,MATCH(AF354,'[2]Cross-Section Database'!$B$2:$B$2928,0),6)</f>
        <v>10.9</v>
      </c>
      <c r="AJ354" s="21">
        <f>INDEX('[2]Cross-Section Database'!$C$2:$V$2928,MATCH(AF354,'[2]Cross-Section Database'!$B$2:$B$2928,0),5)</f>
        <v>7.6</v>
      </c>
      <c r="AK354" s="21">
        <v>1300</v>
      </c>
      <c r="AL354" s="21">
        <f>INDEX('[2]Cross-Section Database'!$C$2:$V$3928,MATCH(AF354,'[2]Cross-Section Database'!$B$2:$B$3928,0),11)</f>
        <v>213700000</v>
      </c>
      <c r="AM354" s="24">
        <f>INDEX('[2]Cross-Section Database'!$C$2:$V$3928,MATCH(AF354,'[2]Cross-Section Database'!$B$2:$B$3928,0),12)</f>
        <v>1096000</v>
      </c>
      <c r="AN354" s="46">
        <v>12</v>
      </c>
      <c r="AO354" s="46">
        <v>200</v>
      </c>
      <c r="AP354" s="46">
        <v>499.9</v>
      </c>
      <c r="AQ354" s="46">
        <v>25</v>
      </c>
      <c r="AR354" s="46">
        <v>25</v>
      </c>
      <c r="AS354" s="300" t="s">
        <v>6266</v>
      </c>
      <c r="AT354" s="163" t="s">
        <v>6267</v>
      </c>
      <c r="AU354" s="21">
        <f t="shared" ref="AU354" si="185">65/AV354/0.25</f>
        <v>13</v>
      </c>
      <c r="AV354" s="163">
        <v>20</v>
      </c>
      <c r="AW354" s="163">
        <f t="shared" si="160"/>
        <v>245</v>
      </c>
      <c r="AX354" s="21">
        <v>85</v>
      </c>
      <c r="AY354" s="21">
        <v>85</v>
      </c>
      <c r="AZ354" s="46">
        <v>90</v>
      </c>
      <c r="BA354" s="46">
        <v>90</v>
      </c>
      <c r="BB354" s="46">
        <v>149.9</v>
      </c>
      <c r="BC354" s="240" t="s">
        <v>4420</v>
      </c>
      <c r="BD354" s="163" t="s">
        <v>4465</v>
      </c>
      <c r="BE354" s="163" t="s">
        <v>4465</v>
      </c>
      <c r="BF354" s="163">
        <v>4</v>
      </c>
      <c r="BG354" s="18">
        <v>8</v>
      </c>
      <c r="BH354" s="202" t="s">
        <v>5792</v>
      </c>
      <c r="BI354" s="203" t="s">
        <v>5792</v>
      </c>
      <c r="BJ354" s="203" t="s">
        <v>5792</v>
      </c>
      <c r="BK354" s="203" t="s">
        <v>5792</v>
      </c>
      <c r="BL354" s="203" t="s">
        <v>5792</v>
      </c>
      <c r="BM354" s="203" t="s">
        <v>5792</v>
      </c>
      <c r="BN354" s="203" t="s">
        <v>5792</v>
      </c>
      <c r="BO354" s="203" t="s">
        <v>5792</v>
      </c>
      <c r="BP354" s="202" t="s">
        <v>5792</v>
      </c>
      <c r="BQ354" s="203" t="s">
        <v>5792</v>
      </c>
      <c r="BR354" s="203" t="s">
        <v>5792</v>
      </c>
      <c r="BS354" s="203" t="s">
        <v>5792</v>
      </c>
      <c r="BT354" s="203" t="s">
        <v>5792</v>
      </c>
      <c r="BU354" s="203" t="s">
        <v>5792</v>
      </c>
      <c r="BV354" s="218" t="s">
        <v>5792</v>
      </c>
      <c r="BW354" s="202" t="s">
        <v>5792</v>
      </c>
      <c r="BX354" s="203" t="s">
        <v>5792</v>
      </c>
      <c r="BY354" s="203" t="s">
        <v>5792</v>
      </c>
      <c r="BZ354" s="203" t="s">
        <v>5792</v>
      </c>
      <c r="CA354" s="203" t="s">
        <v>5792</v>
      </c>
      <c r="CB354" s="218" t="s">
        <v>5792</v>
      </c>
      <c r="CC354" s="163" t="s">
        <v>4450</v>
      </c>
      <c r="CD354" s="163">
        <v>275</v>
      </c>
      <c r="CE354" s="21">
        <v>357</v>
      </c>
      <c r="CF354" s="21">
        <v>410</v>
      </c>
      <c r="CG354" s="21">
        <v>445</v>
      </c>
      <c r="CH354" s="69">
        <v>210000</v>
      </c>
      <c r="CI354" s="163" t="s">
        <v>4450</v>
      </c>
      <c r="CJ354" s="163">
        <v>275</v>
      </c>
      <c r="CK354" s="21">
        <v>322</v>
      </c>
      <c r="CL354" s="21">
        <v>410</v>
      </c>
      <c r="CM354" s="21">
        <v>488</v>
      </c>
      <c r="CN354" s="69">
        <v>210000</v>
      </c>
      <c r="CO354" s="163" t="s">
        <v>4450</v>
      </c>
      <c r="CP354" s="163">
        <v>275</v>
      </c>
      <c r="CQ354" s="21">
        <v>325</v>
      </c>
      <c r="CR354" s="21">
        <v>410</v>
      </c>
      <c r="CS354" s="21">
        <v>451</v>
      </c>
      <c r="CT354" s="69">
        <v>210000</v>
      </c>
      <c r="CU354" s="207" t="s">
        <v>5792</v>
      </c>
      <c r="CV354" s="208" t="s">
        <v>5792</v>
      </c>
      <c r="CW354" s="208" t="s">
        <v>5792</v>
      </c>
      <c r="CX354" s="209" t="s">
        <v>5792</v>
      </c>
      <c r="CY354" s="207" t="s">
        <v>5792</v>
      </c>
      <c r="CZ354" s="208" t="s">
        <v>5792</v>
      </c>
      <c r="DA354" s="209" t="s">
        <v>5792</v>
      </c>
      <c r="DB354" s="283" t="s">
        <v>5792</v>
      </c>
      <c r="DC354" s="303">
        <v>10.9</v>
      </c>
      <c r="DD354" s="303">
        <v>900</v>
      </c>
      <c r="DE354" s="32">
        <v>990</v>
      </c>
      <c r="DF354" s="303">
        <v>1000</v>
      </c>
      <c r="DG354" s="32">
        <v>1100</v>
      </c>
      <c r="DH354" s="61">
        <v>200000</v>
      </c>
      <c r="DI354" s="29" t="s">
        <v>6268</v>
      </c>
      <c r="DJ354" s="306" t="s">
        <v>4435</v>
      </c>
      <c r="DK354" s="297" t="s">
        <v>4566</v>
      </c>
    </row>
    <row r="355" spans="1:115" ht="15.6" customHeight="1" thickBot="1">
      <c r="A355" s="304">
        <v>350</v>
      </c>
      <c r="B355" s="326"/>
      <c r="C355" s="326"/>
      <c r="D355" s="334"/>
      <c r="E355" s="334"/>
      <c r="F355" s="326"/>
      <c r="G355" s="330"/>
      <c r="H355" s="330"/>
      <c r="I355" s="330"/>
      <c r="J355" s="246" t="s">
        <v>6272</v>
      </c>
      <c r="K355" s="304" t="s">
        <v>4383</v>
      </c>
      <c r="L355" s="164" t="s">
        <v>5792</v>
      </c>
      <c r="M355" s="143" t="s">
        <v>4509</v>
      </c>
      <c r="N355" s="164" t="s">
        <v>4703</v>
      </c>
      <c r="O355" s="14" t="s">
        <v>4507</v>
      </c>
      <c r="P355" s="164" t="s">
        <v>4420</v>
      </c>
      <c r="Q355" s="164" t="s">
        <v>4420</v>
      </c>
      <c r="R355" s="164" t="s">
        <v>4420</v>
      </c>
      <c r="S355" s="164" t="s">
        <v>5792</v>
      </c>
      <c r="T355" s="164" t="s">
        <v>4420</v>
      </c>
      <c r="U355" s="164" t="s">
        <v>5792</v>
      </c>
      <c r="V355" s="164" t="s">
        <v>4559</v>
      </c>
      <c r="W355" s="14">
        <v>10</v>
      </c>
      <c r="X355" s="235">
        <v>0</v>
      </c>
      <c r="Y355" s="14">
        <v>924</v>
      </c>
      <c r="Z355" s="164" t="s">
        <v>5492</v>
      </c>
      <c r="AA355" s="23">
        <f>INDEX('[2]Cross-Section Database'!$C$2:$V$2928,MATCH(Z355,'[2]Cross-Section Database'!$B$2:$B$2928,0),3)</f>
        <v>200</v>
      </c>
      <c r="AB355" s="23">
        <f>INDEX('[2]Cross-Section Database'!$C$2:$V$2928,MATCH(Z355,'[2]Cross-Section Database'!$B$2:$B$2928,0),4)</f>
        <v>200</v>
      </c>
      <c r="AC355" s="23">
        <f>INDEX('[2]Cross-Section Database'!$C$2:$V$2928,MATCH(Z355,'[2]Cross-Section Database'!$B$2:$B$2928,0),6)</f>
        <v>8.8000000000000007</v>
      </c>
      <c r="AD355" s="23">
        <f>INDEX('[2]Cross-Section Database'!$C$2:$V$2928,MATCH(Z355,'[2]Cross-Section Database'!$B$2:$B$2928,0),5)</f>
        <v>8.8000000000000007</v>
      </c>
      <c r="AE355" s="35">
        <v>2600</v>
      </c>
      <c r="AF355" s="143" t="s">
        <v>4256</v>
      </c>
      <c r="AG355" s="23">
        <f>INDEX('[2]Cross-Section Database'!$C$2:$V$2928,MATCH(AF355,'[2]Cross-Section Database'!$B$2:$B$2928,0),3)</f>
        <v>602.6</v>
      </c>
      <c r="AH355" s="23">
        <f>INDEX('[2]Cross-Section Database'!$C$2:$V$2928,MATCH(AF355,'[2]Cross-Section Database'!$B$2:$B$2928,0),4)</f>
        <v>227.6</v>
      </c>
      <c r="AI355" s="23">
        <f>INDEX('[2]Cross-Section Database'!$C$2:$V$2928,MATCH(AF355,'[2]Cross-Section Database'!$B$2:$B$2928,0),6)</f>
        <v>14.8</v>
      </c>
      <c r="AJ355" s="23">
        <f>INDEX('[2]Cross-Section Database'!$C$2:$V$2928,MATCH(AF355,'[2]Cross-Section Database'!$B$2:$B$2928,0),5)</f>
        <v>10.5</v>
      </c>
      <c r="AK355" s="23">
        <v>1300</v>
      </c>
      <c r="AL355" s="23">
        <f>INDEX('[2]Cross-Section Database'!$C$2:$V$3928,MATCH(AF355,'[2]Cross-Section Database'!$B$2:$B$3928,0),11)</f>
        <v>757800000</v>
      </c>
      <c r="AM355" s="25">
        <f>INDEX('[2]Cross-Section Database'!$C$2:$V$3928,MATCH(AF355,'[2]Cross-Section Database'!$B$2:$B$3928,0),12)</f>
        <v>2881000</v>
      </c>
      <c r="AN355" s="56">
        <v>15</v>
      </c>
      <c r="AO355" s="23">
        <v>250</v>
      </c>
      <c r="AP355" s="56">
        <v>652.20000000000005</v>
      </c>
      <c r="AQ355" s="56">
        <v>25</v>
      </c>
      <c r="AR355" s="56">
        <v>25</v>
      </c>
      <c r="AS355" s="301" t="s">
        <v>6266</v>
      </c>
      <c r="AT355" s="164" t="s">
        <v>6270</v>
      </c>
      <c r="AU355" s="23">
        <f>75/AV355/0.25</f>
        <v>12.5</v>
      </c>
      <c r="AV355" s="164">
        <v>24</v>
      </c>
      <c r="AW355" s="164">
        <f t="shared" si="160"/>
        <v>353</v>
      </c>
      <c r="AX355" s="23">
        <v>85</v>
      </c>
      <c r="AY355" s="23">
        <v>85</v>
      </c>
      <c r="AZ355" s="56">
        <v>90</v>
      </c>
      <c r="BA355" s="56">
        <v>90</v>
      </c>
      <c r="BB355" s="56">
        <v>302.2</v>
      </c>
      <c r="BC355" s="242" t="s">
        <v>4420</v>
      </c>
      <c r="BD355" s="164" t="s">
        <v>4465</v>
      </c>
      <c r="BE355" s="164" t="s">
        <v>4465</v>
      </c>
      <c r="BF355" s="164">
        <v>4</v>
      </c>
      <c r="BG355" s="14">
        <v>8</v>
      </c>
      <c r="BH355" s="202" t="s">
        <v>5792</v>
      </c>
      <c r="BI355" s="203" t="s">
        <v>5792</v>
      </c>
      <c r="BJ355" s="203" t="s">
        <v>5792</v>
      </c>
      <c r="BK355" s="203" t="s">
        <v>5792</v>
      </c>
      <c r="BL355" s="203" t="s">
        <v>5792</v>
      </c>
      <c r="BM355" s="203" t="s">
        <v>5792</v>
      </c>
      <c r="BN355" s="203" t="s">
        <v>5792</v>
      </c>
      <c r="BO355" s="203" t="s">
        <v>5792</v>
      </c>
      <c r="BP355" s="202" t="s">
        <v>5792</v>
      </c>
      <c r="BQ355" s="203" t="s">
        <v>5792</v>
      </c>
      <c r="BR355" s="203" t="s">
        <v>5792</v>
      </c>
      <c r="BS355" s="203" t="s">
        <v>5792</v>
      </c>
      <c r="BT355" s="203" t="s">
        <v>5792</v>
      </c>
      <c r="BU355" s="203" t="s">
        <v>5792</v>
      </c>
      <c r="BV355" s="218" t="s">
        <v>5792</v>
      </c>
      <c r="BW355" s="202" t="s">
        <v>5792</v>
      </c>
      <c r="BX355" s="203" t="s">
        <v>5792</v>
      </c>
      <c r="BY355" s="203" t="s">
        <v>5792</v>
      </c>
      <c r="BZ355" s="203" t="s">
        <v>5792</v>
      </c>
      <c r="CA355" s="203" t="s">
        <v>5792</v>
      </c>
      <c r="CB355" s="218" t="s">
        <v>5792</v>
      </c>
      <c r="CC355" s="163" t="s">
        <v>4450</v>
      </c>
      <c r="CD355" s="163">
        <v>275</v>
      </c>
      <c r="CE355" s="21">
        <v>357</v>
      </c>
      <c r="CF355" s="21">
        <v>410</v>
      </c>
      <c r="CG355" s="21">
        <v>445</v>
      </c>
      <c r="CH355" s="69">
        <v>210000</v>
      </c>
      <c r="CI355" s="163" t="s">
        <v>4450</v>
      </c>
      <c r="CJ355" s="163">
        <v>275</v>
      </c>
      <c r="CK355" s="21">
        <v>352</v>
      </c>
      <c r="CL355" s="21">
        <v>410</v>
      </c>
      <c r="CM355" s="21">
        <v>488</v>
      </c>
      <c r="CN355" s="69">
        <v>210000</v>
      </c>
      <c r="CO355" s="163" t="s">
        <v>4450</v>
      </c>
      <c r="CP355" s="163">
        <v>275</v>
      </c>
      <c r="CQ355" s="21">
        <v>325</v>
      </c>
      <c r="CR355" s="21">
        <v>410</v>
      </c>
      <c r="CS355" s="21">
        <v>451</v>
      </c>
      <c r="CT355" s="69">
        <v>210000</v>
      </c>
      <c r="CU355" s="207" t="s">
        <v>5792</v>
      </c>
      <c r="CV355" s="208" t="s">
        <v>5792</v>
      </c>
      <c r="CW355" s="208" t="s">
        <v>5792</v>
      </c>
      <c r="CX355" s="209" t="s">
        <v>5792</v>
      </c>
      <c r="CY355" s="207" t="s">
        <v>5792</v>
      </c>
      <c r="CZ355" s="208" t="s">
        <v>5792</v>
      </c>
      <c r="DA355" s="209" t="s">
        <v>5792</v>
      </c>
      <c r="DB355" s="283" t="s">
        <v>5792</v>
      </c>
      <c r="DC355" s="303">
        <v>10.9</v>
      </c>
      <c r="DD355" s="303">
        <v>900</v>
      </c>
      <c r="DE355" s="32">
        <v>990</v>
      </c>
      <c r="DF355" s="303">
        <v>1000</v>
      </c>
      <c r="DG355" s="32">
        <v>1100</v>
      </c>
      <c r="DH355" s="61">
        <v>200000</v>
      </c>
      <c r="DI355" s="27" t="s">
        <v>6268</v>
      </c>
      <c r="DJ355" s="143" t="s">
        <v>4435</v>
      </c>
      <c r="DK355" s="297" t="s">
        <v>4566</v>
      </c>
    </row>
    <row r="356" spans="1:115" ht="15.6" customHeight="1">
      <c r="A356" s="305">
        <v>351</v>
      </c>
      <c r="B356" s="328">
        <v>57</v>
      </c>
      <c r="C356" s="328">
        <v>2019</v>
      </c>
      <c r="D356" s="331" t="s">
        <v>4686</v>
      </c>
      <c r="E356" s="331" t="s">
        <v>4839</v>
      </c>
      <c r="F356" s="328">
        <v>2</v>
      </c>
      <c r="G356" s="328" t="s">
        <v>5932</v>
      </c>
      <c r="H356" s="328" t="s">
        <v>5923</v>
      </c>
      <c r="I356" s="328" t="s">
        <v>6261</v>
      </c>
      <c r="J356" s="313" t="s">
        <v>6299</v>
      </c>
      <c r="K356" s="305" t="s">
        <v>6314</v>
      </c>
      <c r="L356" s="162" t="s">
        <v>5792</v>
      </c>
      <c r="M356" s="305" t="s">
        <v>4508</v>
      </c>
      <c r="N356" s="162" t="s">
        <v>4702</v>
      </c>
      <c r="O356" s="17" t="s">
        <v>4507</v>
      </c>
      <c r="P356" s="162" t="s">
        <v>6313</v>
      </c>
      <c r="Q356" s="162" t="s">
        <v>4470</v>
      </c>
      <c r="R356" s="162" t="s">
        <v>4420</v>
      </c>
      <c r="S356" s="162" t="s">
        <v>5792</v>
      </c>
      <c r="T356" s="162" t="s">
        <v>4420</v>
      </c>
      <c r="U356" s="162" t="s">
        <v>5792</v>
      </c>
      <c r="V356" s="162" t="s">
        <v>4559</v>
      </c>
      <c r="W356" s="17">
        <v>10</v>
      </c>
      <c r="X356" s="239">
        <v>0</v>
      </c>
      <c r="Y356" s="17">
        <v>0</v>
      </c>
      <c r="Z356" s="305" t="s">
        <v>4648</v>
      </c>
      <c r="AA356" s="16">
        <f>INDEX('[2]Cross-Section Database'!$C$2:$V$2928,MATCH(Z356,'[2]Cross-Section Database'!$B$2:$B$2928,0),3)</f>
        <v>300</v>
      </c>
      <c r="AB356" s="16">
        <f>INDEX('[2]Cross-Section Database'!$C$2:$V$2928,MATCH(Z356,'[2]Cross-Section Database'!$B$2:$B$2928,0),4)</f>
        <v>300</v>
      </c>
      <c r="AC356" s="45">
        <f>INDEX('[2]Cross-Section Database'!$C$2:$V$2928,MATCH(Z356,'[2]Cross-Section Database'!$B$2:$B$2928,0),6)</f>
        <v>10</v>
      </c>
      <c r="AD356" s="45">
        <f>INDEX('[2]Cross-Section Database'!$C$2:$V$2928,MATCH(Z356,'[2]Cross-Section Database'!$B$2:$B$2928,0),5)</f>
        <v>10</v>
      </c>
      <c r="AE356" s="16">
        <v>1500</v>
      </c>
      <c r="AF356" s="305" t="s">
        <v>6301</v>
      </c>
      <c r="AG356" s="16">
        <f>INDEX('[2]Cross-Section Database'!$C$2:$V$2928,MATCH(AF356,'[2]Cross-Section Database'!$B$2:$B$2928,0),3)</f>
        <v>602</v>
      </c>
      <c r="AH356" s="16">
        <f>INDEX('[2]Cross-Section Database'!$C$2:$V$2928,MATCH(AF356,'[2]Cross-Section Database'!$B$2:$B$2928,0),4)</f>
        <v>228</v>
      </c>
      <c r="AI356" s="16">
        <f>INDEX('[2]Cross-Section Database'!$C$2:$V$2928,MATCH(AF356,'[2]Cross-Section Database'!$B$2:$B$2928,0),6)</f>
        <v>14.8</v>
      </c>
      <c r="AJ356" s="16">
        <f>INDEX('[2]Cross-Section Database'!$C$2:$V$2928,MATCH(AF356,'[2]Cross-Section Database'!$B$2:$B$2928,0),5)</f>
        <v>10.6</v>
      </c>
      <c r="AK356" s="16">
        <v>1680</v>
      </c>
      <c r="AL356" s="16">
        <f>INDEX('[2]Cross-Section Database'!$C$2:$V$3928,MATCH(AF356,'[2]Cross-Section Database'!$B$2:$B$3928,0),11)</f>
        <v>761000000</v>
      </c>
      <c r="AM356" s="26">
        <f>INDEX('[2]Cross-Section Database'!$C$2:$V$3928,MATCH(AF356,'[2]Cross-Section Database'!$B$2:$B$3928,0),12)</f>
        <v>2900000</v>
      </c>
      <c r="AN356" s="16">
        <v>12</v>
      </c>
      <c r="AO356" s="16">
        <v>270</v>
      </c>
      <c r="AP356" s="16">
        <v>610</v>
      </c>
      <c r="AQ356" s="16">
        <f>(AP356-AG356)-AR356</f>
        <v>4</v>
      </c>
      <c r="AR356" s="16">
        <f t="shared" si="183"/>
        <v>4</v>
      </c>
      <c r="AS356" s="305" t="s">
        <v>5672</v>
      </c>
      <c r="AT356" s="162" t="s">
        <v>4502</v>
      </c>
      <c r="AU356" s="16">
        <f>380/AV356/0.25</f>
        <v>76</v>
      </c>
      <c r="AV356" s="162">
        <v>20</v>
      </c>
      <c r="AW356" s="162">
        <f t="shared" ref="AW356:AW366" si="186">IF(AV356=24,353,IF(AV356=22,303,IF(AV356=20,245,IF(AV356=16,157,0))))</f>
        <v>245</v>
      </c>
      <c r="AX356" s="16">
        <v>105</v>
      </c>
      <c r="AY356" s="16">
        <v>105</v>
      </c>
      <c r="AZ356" s="16">
        <v>200</v>
      </c>
      <c r="BA356" s="16">
        <v>140</v>
      </c>
      <c r="BB356" s="16">
        <v>0</v>
      </c>
      <c r="BC356" s="22" t="s">
        <v>4470</v>
      </c>
      <c r="BD356" s="162" t="s">
        <v>6209</v>
      </c>
      <c r="BE356" s="162" t="s">
        <v>6209</v>
      </c>
      <c r="BF356" s="162">
        <v>2</v>
      </c>
      <c r="BG356" s="162">
        <v>6</v>
      </c>
      <c r="BH356" s="305">
        <v>120</v>
      </c>
      <c r="BI356" s="162">
        <v>1600</v>
      </c>
      <c r="BJ356" s="162" t="s">
        <v>6196</v>
      </c>
      <c r="BK356" s="162">
        <v>1</v>
      </c>
      <c r="BL356" s="162">
        <v>300</v>
      </c>
      <c r="BM356" s="162">
        <v>1620</v>
      </c>
      <c r="BN356" s="162">
        <v>55</v>
      </c>
      <c r="BO356" s="162" t="s">
        <v>4591</v>
      </c>
      <c r="BP356" s="305" t="s">
        <v>5856</v>
      </c>
      <c r="BQ356" s="162">
        <v>6</v>
      </c>
      <c r="BR356" s="162">
        <v>1</v>
      </c>
      <c r="BS356" s="162">
        <v>19</v>
      </c>
      <c r="BT356" s="162">
        <v>100</v>
      </c>
      <c r="BU356" s="162">
        <v>200</v>
      </c>
      <c r="BV356" s="17">
        <v>300</v>
      </c>
      <c r="BW356" s="305" t="s">
        <v>4587</v>
      </c>
      <c r="BX356" s="162" t="s">
        <v>4583</v>
      </c>
      <c r="BY356" s="16">
        <v>0</v>
      </c>
      <c r="BZ356" s="16">
        <f>8*PI()*12^2/4</f>
        <v>904.77868423386042</v>
      </c>
      <c r="CA356" s="30">
        <v>20</v>
      </c>
      <c r="CB356" s="123">
        <v>8.6999999999999994E-3</v>
      </c>
      <c r="CC356" s="162" t="s">
        <v>5662</v>
      </c>
      <c r="CD356" s="65">
        <v>350</v>
      </c>
      <c r="CE356" s="162">
        <v>485</v>
      </c>
      <c r="CF356" s="65">
        <v>470</v>
      </c>
      <c r="CG356" s="162">
        <v>552</v>
      </c>
      <c r="CH356" s="66">
        <v>200000</v>
      </c>
      <c r="CI356" s="305" t="s">
        <v>5664</v>
      </c>
      <c r="CJ356" s="65">
        <v>275</v>
      </c>
      <c r="CK356" s="16">
        <v>352.5</v>
      </c>
      <c r="CL356" s="65">
        <v>505</v>
      </c>
      <c r="CM356" s="16">
        <v>495.5</v>
      </c>
      <c r="CN356" s="66">
        <v>200000</v>
      </c>
      <c r="CO356" s="162" t="s">
        <v>5662</v>
      </c>
      <c r="CP356" s="65">
        <v>350</v>
      </c>
      <c r="CQ356" s="162">
        <v>367</v>
      </c>
      <c r="CR356" s="65">
        <v>470</v>
      </c>
      <c r="CS356" s="162">
        <v>499</v>
      </c>
      <c r="CT356" s="76">
        <v>200000</v>
      </c>
      <c r="CU356" s="150" t="s">
        <v>5673</v>
      </c>
      <c r="CV356" s="94">
        <v>52.8</v>
      </c>
      <c r="CW356" s="94">
        <v>4.5999999999999996</v>
      </c>
      <c r="CX356" s="66">
        <v>36000</v>
      </c>
      <c r="CY356" s="95">
        <v>530</v>
      </c>
      <c r="CZ356" s="94">
        <v>640</v>
      </c>
      <c r="DA356" s="96">
        <v>200000</v>
      </c>
      <c r="DB356" s="293">
        <v>550</v>
      </c>
      <c r="DC356" s="162">
        <v>8.8000000000000007</v>
      </c>
      <c r="DD356" s="162">
        <v>640</v>
      </c>
      <c r="DE356" s="162">
        <v>820</v>
      </c>
      <c r="DF356" s="162">
        <v>800</v>
      </c>
      <c r="DG356" s="162">
        <v>966</v>
      </c>
      <c r="DH356" s="76">
        <v>200000</v>
      </c>
      <c r="DI356" s="28" t="s">
        <v>6009</v>
      </c>
      <c r="DJ356" s="162" t="s">
        <v>4561</v>
      </c>
      <c r="DK356" s="296" t="s">
        <v>4566</v>
      </c>
    </row>
    <row r="357" spans="1:115" ht="16.2" thickBot="1">
      <c r="A357" s="143">
        <v>352</v>
      </c>
      <c r="B357" s="330"/>
      <c r="C357" s="330"/>
      <c r="D357" s="332"/>
      <c r="E357" s="332"/>
      <c r="F357" s="330"/>
      <c r="G357" s="330"/>
      <c r="H357" s="330"/>
      <c r="I357" s="330"/>
      <c r="J357" s="318" t="s">
        <v>6346</v>
      </c>
      <c r="K357" s="143" t="s">
        <v>6318</v>
      </c>
      <c r="L357" s="164" t="s">
        <v>6064</v>
      </c>
      <c r="M357" s="143" t="s">
        <v>4508</v>
      </c>
      <c r="N357" s="164" t="s">
        <v>4702</v>
      </c>
      <c r="O357" s="14" t="s">
        <v>4507</v>
      </c>
      <c r="P357" s="164" t="s">
        <v>6313</v>
      </c>
      <c r="Q357" s="164" t="s">
        <v>4470</v>
      </c>
      <c r="R357" s="164" t="s">
        <v>4420</v>
      </c>
      <c r="S357" s="164" t="s">
        <v>5792</v>
      </c>
      <c r="T357" s="164" t="s">
        <v>4420</v>
      </c>
      <c r="U357" s="164" t="s">
        <v>5792</v>
      </c>
      <c r="V357" s="164" t="s">
        <v>4559</v>
      </c>
      <c r="W357" s="14">
        <v>10</v>
      </c>
      <c r="X357" s="235">
        <v>0</v>
      </c>
      <c r="Y357" s="14">
        <v>0</v>
      </c>
      <c r="Z357" s="143" t="s">
        <v>4648</v>
      </c>
      <c r="AA357" s="21">
        <f>INDEX('[2]Cross-Section Database'!$C$2:$V$2928,MATCH(Z357,'[2]Cross-Section Database'!$B$2:$B$2928,0),3)</f>
        <v>300</v>
      </c>
      <c r="AB357" s="21">
        <f>INDEX('[2]Cross-Section Database'!$C$2:$V$2928,MATCH(Z357,'[2]Cross-Section Database'!$B$2:$B$2928,0),4)</f>
        <v>300</v>
      </c>
      <c r="AC357" s="46">
        <f>INDEX('[2]Cross-Section Database'!$C$2:$V$2928,MATCH(Z357,'[2]Cross-Section Database'!$B$2:$B$2928,0),6)</f>
        <v>10</v>
      </c>
      <c r="AD357" s="46">
        <f>INDEX('[2]Cross-Section Database'!$C$2:$V$2928,MATCH(Z357,'[2]Cross-Section Database'!$B$2:$B$2928,0),5)</f>
        <v>10</v>
      </c>
      <c r="AE357" s="23">
        <v>1500</v>
      </c>
      <c r="AF357" s="143" t="s">
        <v>6301</v>
      </c>
      <c r="AG357" s="21">
        <f>INDEX('[2]Cross-Section Database'!$C$2:$V$2928,MATCH(AF357,'[2]Cross-Section Database'!$B$2:$B$2928,0),3)</f>
        <v>602</v>
      </c>
      <c r="AH357" s="21">
        <f>INDEX('[2]Cross-Section Database'!$C$2:$V$2928,MATCH(AF357,'[2]Cross-Section Database'!$B$2:$B$2928,0),4)</f>
        <v>228</v>
      </c>
      <c r="AI357" s="21">
        <f>INDEX('[2]Cross-Section Database'!$C$2:$V$2928,MATCH(AF357,'[2]Cross-Section Database'!$B$2:$B$2928,0),6)</f>
        <v>14.8</v>
      </c>
      <c r="AJ357" s="21">
        <f>INDEX('[2]Cross-Section Database'!$C$2:$V$2928,MATCH(AF357,'[2]Cross-Section Database'!$B$2:$B$2928,0),5)</f>
        <v>10.6</v>
      </c>
      <c r="AK357" s="21">
        <v>1680</v>
      </c>
      <c r="AL357" s="23">
        <f>INDEX('[2]Cross-Section Database'!$C$2:$V$3928,MATCH(AF357,'[2]Cross-Section Database'!$B$2:$B$3928,0),11)</f>
        <v>761000000</v>
      </c>
      <c r="AM357" s="25">
        <f>INDEX('[2]Cross-Section Database'!$C$2:$V$3928,MATCH(AF357,'[2]Cross-Section Database'!$B$2:$B$3928,0),12)</f>
        <v>2900000</v>
      </c>
      <c r="AN357" s="23">
        <v>12</v>
      </c>
      <c r="AO357" s="23">
        <v>270</v>
      </c>
      <c r="AP357" s="23">
        <v>610</v>
      </c>
      <c r="AQ357" s="23">
        <f>(AP357-AG357)-AR357</f>
        <v>4</v>
      </c>
      <c r="AR357" s="23">
        <f t="shared" si="183"/>
        <v>4</v>
      </c>
      <c r="AS357" s="143" t="s">
        <v>5672</v>
      </c>
      <c r="AT357" s="164" t="s">
        <v>4502</v>
      </c>
      <c r="AU357" s="23">
        <f>380/AV357/0.25</f>
        <v>76</v>
      </c>
      <c r="AV357" s="164">
        <v>20</v>
      </c>
      <c r="AW357" s="164">
        <f t="shared" si="186"/>
        <v>245</v>
      </c>
      <c r="AX357" s="23">
        <v>105</v>
      </c>
      <c r="AY357" s="23">
        <v>105</v>
      </c>
      <c r="AZ357" s="23">
        <v>200</v>
      </c>
      <c r="BA357" s="23">
        <v>140</v>
      </c>
      <c r="BB357" s="23">
        <v>0</v>
      </c>
      <c r="BC357" s="19" t="s">
        <v>4470</v>
      </c>
      <c r="BD357" s="164" t="s">
        <v>6209</v>
      </c>
      <c r="BE357" s="164" t="s">
        <v>6209</v>
      </c>
      <c r="BF357" s="164">
        <v>2</v>
      </c>
      <c r="BG357" s="164">
        <v>6</v>
      </c>
      <c r="BH357" s="143">
        <v>120</v>
      </c>
      <c r="BI357" s="164">
        <v>1600</v>
      </c>
      <c r="BJ357" s="164" t="s">
        <v>6196</v>
      </c>
      <c r="BK357" s="164">
        <v>1</v>
      </c>
      <c r="BL357" s="164">
        <v>300</v>
      </c>
      <c r="BM357" s="164">
        <v>1620</v>
      </c>
      <c r="BN357" s="164">
        <v>55</v>
      </c>
      <c r="BO357" s="164" t="s">
        <v>4591</v>
      </c>
      <c r="BP357" s="143" t="s">
        <v>5856</v>
      </c>
      <c r="BQ357" s="164">
        <v>6</v>
      </c>
      <c r="BR357" s="164">
        <v>1</v>
      </c>
      <c r="BS357" s="164">
        <v>19</v>
      </c>
      <c r="BT357" s="164">
        <v>100</v>
      </c>
      <c r="BU357" s="164">
        <v>200</v>
      </c>
      <c r="BV357" s="14">
        <v>300</v>
      </c>
      <c r="BW357" s="143" t="s">
        <v>4587</v>
      </c>
      <c r="BX357" s="164" t="s">
        <v>4583</v>
      </c>
      <c r="BY357" s="23">
        <v>0</v>
      </c>
      <c r="BZ357" s="23">
        <f>8*PI()*12^2/4</f>
        <v>904.77868423386042</v>
      </c>
      <c r="CA357" s="34">
        <v>20</v>
      </c>
      <c r="CB357" s="122">
        <v>8.6999999999999994E-3</v>
      </c>
      <c r="CC357" s="164" t="s">
        <v>5662</v>
      </c>
      <c r="CD357" s="87">
        <v>350</v>
      </c>
      <c r="CE357" s="164">
        <v>485</v>
      </c>
      <c r="CF357" s="87">
        <v>470</v>
      </c>
      <c r="CG357" s="164">
        <v>552</v>
      </c>
      <c r="CH357" s="70">
        <v>200000</v>
      </c>
      <c r="CI357" s="143" t="s">
        <v>5664</v>
      </c>
      <c r="CJ357" s="87">
        <v>275</v>
      </c>
      <c r="CK357" s="23">
        <v>352.5</v>
      </c>
      <c r="CL357" s="87">
        <v>505</v>
      </c>
      <c r="CM357" s="23">
        <v>495.5</v>
      </c>
      <c r="CN357" s="70">
        <v>200000</v>
      </c>
      <c r="CO357" s="164" t="s">
        <v>5662</v>
      </c>
      <c r="CP357" s="87">
        <v>350</v>
      </c>
      <c r="CQ357" s="164">
        <v>367</v>
      </c>
      <c r="CR357" s="87">
        <v>470</v>
      </c>
      <c r="CS357" s="164">
        <v>499</v>
      </c>
      <c r="CT357" s="77">
        <v>200000</v>
      </c>
      <c r="CU357" s="151" t="s">
        <v>5673</v>
      </c>
      <c r="CV357" s="99">
        <v>52.8</v>
      </c>
      <c r="CW357" s="99">
        <v>4.5999999999999996</v>
      </c>
      <c r="CX357" s="70">
        <v>36000</v>
      </c>
      <c r="CY357" s="100">
        <v>530</v>
      </c>
      <c r="CZ357" s="99">
        <v>640</v>
      </c>
      <c r="DA357" s="101">
        <v>200000</v>
      </c>
      <c r="DB357" s="295">
        <v>550</v>
      </c>
      <c r="DC357" s="164">
        <v>8.8000000000000007</v>
      </c>
      <c r="DD357" s="164">
        <v>640</v>
      </c>
      <c r="DE357" s="164">
        <v>820</v>
      </c>
      <c r="DF357" s="164">
        <v>800</v>
      </c>
      <c r="DG357" s="164">
        <v>966</v>
      </c>
      <c r="DH357" s="77">
        <v>200000</v>
      </c>
      <c r="DI357" s="27" t="s">
        <v>6009</v>
      </c>
      <c r="DJ357" s="143" t="s">
        <v>4561</v>
      </c>
      <c r="DK357" s="298" t="s">
        <v>6013</v>
      </c>
    </row>
    <row r="358" spans="1:115">
      <c r="A358" s="305">
        <v>353</v>
      </c>
      <c r="B358" s="325">
        <v>58</v>
      </c>
      <c r="C358" s="325">
        <v>2019</v>
      </c>
      <c r="D358" s="325" t="s">
        <v>5646</v>
      </c>
      <c r="E358" s="328" t="s">
        <v>4873</v>
      </c>
      <c r="F358" s="325">
        <v>3</v>
      </c>
      <c r="G358" s="328" t="s">
        <v>5933</v>
      </c>
      <c r="H358" s="325" t="s">
        <v>5902</v>
      </c>
      <c r="I358" s="325" t="s">
        <v>6273</v>
      </c>
      <c r="J358" s="43" t="s">
        <v>4802</v>
      </c>
      <c r="K358" s="305" t="s">
        <v>4383</v>
      </c>
      <c r="L358" s="162" t="s">
        <v>5792</v>
      </c>
      <c r="M358" s="305" t="s">
        <v>4509</v>
      </c>
      <c r="N358" s="162" t="s">
        <v>4703</v>
      </c>
      <c r="O358" s="17" t="s">
        <v>4507</v>
      </c>
      <c r="P358" s="162" t="s">
        <v>4420</v>
      </c>
      <c r="Q358" s="162" t="s">
        <v>4420</v>
      </c>
      <c r="R358" s="162" t="s">
        <v>4420</v>
      </c>
      <c r="S358" s="162" t="s">
        <v>5792</v>
      </c>
      <c r="T358" s="162" t="s">
        <v>4420</v>
      </c>
      <c r="U358" s="162" t="s">
        <v>5792</v>
      </c>
      <c r="V358" s="162" t="s">
        <v>4559</v>
      </c>
      <c r="W358" s="17">
        <v>6</v>
      </c>
      <c r="X358" s="239">
        <v>0</v>
      </c>
      <c r="Y358" s="17">
        <v>0</v>
      </c>
      <c r="Z358" s="305" t="s">
        <v>4803</v>
      </c>
      <c r="AA358" s="16">
        <v>240</v>
      </c>
      <c r="AB358" s="16">
        <v>120</v>
      </c>
      <c r="AC358" s="16">
        <v>12</v>
      </c>
      <c r="AD358" s="16">
        <v>10</v>
      </c>
      <c r="AE358" s="16">
        <v>1500</v>
      </c>
      <c r="AF358" s="305" t="s">
        <v>4803</v>
      </c>
      <c r="AG358" s="16">
        <v>240</v>
      </c>
      <c r="AH358" s="16">
        <v>120</v>
      </c>
      <c r="AI358" s="16">
        <v>12</v>
      </c>
      <c r="AJ358" s="16">
        <v>10</v>
      </c>
      <c r="AK358" s="16">
        <v>1470</v>
      </c>
      <c r="AL358" s="16">
        <f>AH358*AG358^3/12-(AH358-AJ358)*(AG358-2*AI358)^3/12</f>
        <v>45861120</v>
      </c>
      <c r="AM358" s="24">
        <f>AH358*AG358^2/4-(AH358-AJ358)*(AG358-2*AI358)^2/4</f>
        <v>444960</v>
      </c>
      <c r="AN358" s="16">
        <v>8</v>
      </c>
      <c r="AO358" s="16">
        <v>120</v>
      </c>
      <c r="AP358" s="16">
        <v>260</v>
      </c>
      <c r="AQ358" s="16">
        <v>10</v>
      </c>
      <c r="AR358" s="16">
        <v>10</v>
      </c>
      <c r="AS358" s="305" t="s">
        <v>5807</v>
      </c>
      <c r="AT358" s="162" t="s">
        <v>4499</v>
      </c>
      <c r="AU358" s="16">
        <f>0.175*AW358*DF358/1000</f>
        <v>21.98</v>
      </c>
      <c r="AV358" s="162">
        <v>16</v>
      </c>
      <c r="AW358" s="162">
        <f t="shared" si="186"/>
        <v>157</v>
      </c>
      <c r="AX358" s="16">
        <v>65</v>
      </c>
      <c r="AY358" s="16">
        <v>65</v>
      </c>
      <c r="AZ358" s="16">
        <v>65</v>
      </c>
      <c r="BA358" s="16">
        <v>70</v>
      </c>
      <c r="BB358" s="16">
        <v>0</v>
      </c>
      <c r="BC358" s="22" t="s">
        <v>4470</v>
      </c>
      <c r="BD358" s="162" t="s">
        <v>6209</v>
      </c>
      <c r="BE358" s="162" t="s">
        <v>6209</v>
      </c>
      <c r="BF358" s="162">
        <v>2</v>
      </c>
      <c r="BG358" s="17">
        <v>6</v>
      </c>
      <c r="BH358" s="200" t="s">
        <v>5792</v>
      </c>
      <c r="BI358" s="201" t="s">
        <v>5792</v>
      </c>
      <c r="BJ358" s="201" t="s">
        <v>5792</v>
      </c>
      <c r="BK358" s="201" t="s">
        <v>5792</v>
      </c>
      <c r="BL358" s="201" t="s">
        <v>5792</v>
      </c>
      <c r="BM358" s="201" t="s">
        <v>5792</v>
      </c>
      <c r="BN358" s="201" t="s">
        <v>5792</v>
      </c>
      <c r="BO358" s="201" t="s">
        <v>5792</v>
      </c>
      <c r="BP358" s="200" t="s">
        <v>5792</v>
      </c>
      <c r="BQ358" s="201" t="s">
        <v>5792</v>
      </c>
      <c r="BR358" s="201" t="s">
        <v>5792</v>
      </c>
      <c r="BS358" s="201" t="s">
        <v>5792</v>
      </c>
      <c r="BT358" s="201" t="s">
        <v>5792</v>
      </c>
      <c r="BU358" s="201" t="s">
        <v>5792</v>
      </c>
      <c r="BV358" s="219" t="s">
        <v>5792</v>
      </c>
      <c r="BW358" s="201" t="s">
        <v>5792</v>
      </c>
      <c r="BX358" s="201" t="s">
        <v>5792</v>
      </c>
      <c r="BY358" s="201" t="s">
        <v>5792</v>
      </c>
      <c r="BZ358" s="201" t="s">
        <v>5792</v>
      </c>
      <c r="CA358" s="201" t="s">
        <v>5792</v>
      </c>
      <c r="CB358" s="219" t="s">
        <v>5792</v>
      </c>
      <c r="CC358" s="305" t="s">
        <v>5661</v>
      </c>
      <c r="CD358" s="162">
        <v>235</v>
      </c>
      <c r="CE358" s="16">
        <v>256</v>
      </c>
      <c r="CF358" s="162">
        <v>630</v>
      </c>
      <c r="CG358" s="16">
        <v>641</v>
      </c>
      <c r="CH358" s="82">
        <v>201100</v>
      </c>
      <c r="CI358" s="305" t="s">
        <v>5661</v>
      </c>
      <c r="CJ358" s="162">
        <v>235</v>
      </c>
      <c r="CK358" s="16">
        <v>256</v>
      </c>
      <c r="CL358" s="162">
        <v>630</v>
      </c>
      <c r="CM358" s="16">
        <v>641</v>
      </c>
      <c r="CN358" s="82">
        <v>201100</v>
      </c>
      <c r="CO358" s="305" t="s">
        <v>5661</v>
      </c>
      <c r="CP358" s="162">
        <v>235</v>
      </c>
      <c r="CQ358" s="16">
        <v>335</v>
      </c>
      <c r="CR358" s="162">
        <v>630</v>
      </c>
      <c r="CS358" s="16">
        <v>630</v>
      </c>
      <c r="CT358" s="81">
        <v>200000</v>
      </c>
      <c r="CU358" s="204" t="s">
        <v>5792</v>
      </c>
      <c r="CV358" s="205" t="s">
        <v>5792</v>
      </c>
      <c r="CW358" s="205" t="s">
        <v>5792</v>
      </c>
      <c r="CX358" s="206" t="s">
        <v>5792</v>
      </c>
      <c r="CY358" s="204" t="s">
        <v>5792</v>
      </c>
      <c r="CZ358" s="205" t="s">
        <v>5792</v>
      </c>
      <c r="DA358" s="206" t="s">
        <v>5792</v>
      </c>
      <c r="DB358" s="282" t="s">
        <v>5792</v>
      </c>
      <c r="DC358" s="162" t="s">
        <v>5669</v>
      </c>
      <c r="DD358" s="162">
        <v>640</v>
      </c>
      <c r="DE358" s="16">
        <v>636.9</v>
      </c>
      <c r="DF358" s="162">
        <v>800</v>
      </c>
      <c r="DG358" s="16">
        <v>796</v>
      </c>
      <c r="DH358" s="66">
        <v>200000</v>
      </c>
      <c r="DI358" s="28" t="s">
        <v>5835</v>
      </c>
      <c r="DJ358" s="162" t="s">
        <v>4435</v>
      </c>
      <c r="DK358" s="296" t="s">
        <v>4566</v>
      </c>
    </row>
    <row r="359" spans="1:115">
      <c r="A359" s="306">
        <v>354</v>
      </c>
      <c r="B359" s="326"/>
      <c r="C359" s="326"/>
      <c r="D359" s="326"/>
      <c r="E359" s="329"/>
      <c r="F359" s="326"/>
      <c r="G359" s="329"/>
      <c r="H359" s="326"/>
      <c r="I359" s="326"/>
      <c r="J359" s="41" t="s">
        <v>4820</v>
      </c>
      <c r="K359" s="306" t="s">
        <v>4383</v>
      </c>
      <c r="L359" s="163" t="s">
        <v>5792</v>
      </c>
      <c r="M359" s="306" t="s">
        <v>4509</v>
      </c>
      <c r="N359" s="163" t="s">
        <v>4703</v>
      </c>
      <c r="O359" s="18" t="s">
        <v>4507</v>
      </c>
      <c r="P359" s="163" t="s">
        <v>4420</v>
      </c>
      <c r="Q359" s="163" t="s">
        <v>4420</v>
      </c>
      <c r="R359" s="163" t="s">
        <v>4420</v>
      </c>
      <c r="S359" s="163" t="s">
        <v>5792</v>
      </c>
      <c r="T359" s="163" t="s">
        <v>4420</v>
      </c>
      <c r="U359" s="163" t="s">
        <v>5792</v>
      </c>
      <c r="V359" s="163" t="s">
        <v>4559</v>
      </c>
      <c r="W359" s="18">
        <v>6</v>
      </c>
      <c r="X359" s="230">
        <v>0</v>
      </c>
      <c r="Y359" s="18">
        <v>0</v>
      </c>
      <c r="Z359" s="163" t="s">
        <v>4819</v>
      </c>
      <c r="AA359" s="21">
        <f>INDEX('[2]Cross-Section Database'!$C$2:$V$2928,MATCH(Z359,'[2]Cross-Section Database'!$B$2:$B$2928,0),3)</f>
        <v>150</v>
      </c>
      <c r="AB359" s="21">
        <f>INDEX('[2]Cross-Section Database'!$C$2:$V$2928,MATCH(Z359,'[2]Cross-Section Database'!$B$2:$B$2928,0),4)</f>
        <v>150</v>
      </c>
      <c r="AC359" s="46">
        <f>INDEX('[2]Cross-Section Database'!$C$2:$V$2928,MATCH(Z359,'[2]Cross-Section Database'!$B$2:$B$2928,0),6)</f>
        <v>10</v>
      </c>
      <c r="AD359" s="46">
        <f>INDEX('[2]Cross-Section Database'!$C$2:$V$2928,MATCH(Z359,'[2]Cross-Section Database'!$B$2:$B$2928,0),5)</f>
        <v>10</v>
      </c>
      <c r="AE359" s="21">
        <v>1500</v>
      </c>
      <c r="AF359" s="306" t="s">
        <v>4803</v>
      </c>
      <c r="AG359" s="21">
        <v>240</v>
      </c>
      <c r="AH359" s="21">
        <v>120</v>
      </c>
      <c r="AI359" s="21">
        <v>12</v>
      </c>
      <c r="AJ359" s="21">
        <v>10</v>
      </c>
      <c r="AK359" s="21">
        <v>1470</v>
      </c>
      <c r="AL359" s="21">
        <f>AH359*AG359^3/12-(AH359-AJ359)*(AG359-2*AI359)^3/12</f>
        <v>45861120</v>
      </c>
      <c r="AM359" s="24">
        <f>AH359*AG359^2/4-(AH359-AJ359)*(AG359-2*AI359)^2/4</f>
        <v>444960</v>
      </c>
      <c r="AN359" s="21">
        <v>6</v>
      </c>
      <c r="AO359" s="21">
        <v>140</v>
      </c>
      <c r="AP359" s="21">
        <v>260</v>
      </c>
      <c r="AQ359" s="21">
        <v>10</v>
      </c>
      <c r="AR359" s="21">
        <v>10</v>
      </c>
      <c r="AS359" s="306" t="s">
        <v>5659</v>
      </c>
      <c r="AT359" s="163" t="s">
        <v>4822</v>
      </c>
      <c r="AU359" s="21">
        <f>190/AV359/0.25</f>
        <v>47.5</v>
      </c>
      <c r="AV359" s="163">
        <v>16</v>
      </c>
      <c r="AW359" s="163">
        <f t="shared" si="186"/>
        <v>157</v>
      </c>
      <c r="AX359" s="21">
        <v>65</v>
      </c>
      <c r="AY359" s="21">
        <v>65</v>
      </c>
      <c r="AZ359" s="21">
        <v>65</v>
      </c>
      <c r="BA359" s="21">
        <v>80</v>
      </c>
      <c r="BB359" s="21">
        <v>0</v>
      </c>
      <c r="BC359" s="15" t="s">
        <v>4470</v>
      </c>
      <c r="BD359" s="163" t="s">
        <v>6209</v>
      </c>
      <c r="BE359" s="163" t="s">
        <v>6209</v>
      </c>
      <c r="BF359" s="163">
        <v>2</v>
      </c>
      <c r="BG359" s="18">
        <v>6</v>
      </c>
      <c r="BH359" s="202" t="s">
        <v>5792</v>
      </c>
      <c r="BI359" s="203" t="s">
        <v>5792</v>
      </c>
      <c r="BJ359" s="203" t="s">
        <v>5792</v>
      </c>
      <c r="BK359" s="203" t="s">
        <v>5792</v>
      </c>
      <c r="BL359" s="203" t="s">
        <v>5792</v>
      </c>
      <c r="BM359" s="203" t="s">
        <v>5792</v>
      </c>
      <c r="BN359" s="203" t="s">
        <v>5792</v>
      </c>
      <c r="BO359" s="203" t="s">
        <v>5792</v>
      </c>
      <c r="BP359" s="202" t="s">
        <v>5792</v>
      </c>
      <c r="BQ359" s="203" t="s">
        <v>5792</v>
      </c>
      <c r="BR359" s="203" t="s">
        <v>5792</v>
      </c>
      <c r="BS359" s="203" t="s">
        <v>5792</v>
      </c>
      <c r="BT359" s="203" t="s">
        <v>5792</v>
      </c>
      <c r="BU359" s="203" t="s">
        <v>5792</v>
      </c>
      <c r="BV359" s="218" t="s">
        <v>5792</v>
      </c>
      <c r="BW359" s="203" t="s">
        <v>5792</v>
      </c>
      <c r="BX359" s="203" t="s">
        <v>5792</v>
      </c>
      <c r="BY359" s="203" t="s">
        <v>5792</v>
      </c>
      <c r="BZ359" s="203" t="s">
        <v>5792</v>
      </c>
      <c r="CA359" s="203" t="s">
        <v>5792</v>
      </c>
      <c r="CB359" s="218" t="s">
        <v>5792</v>
      </c>
      <c r="CC359" s="306" t="s">
        <v>5661</v>
      </c>
      <c r="CD359" s="163">
        <v>235</v>
      </c>
      <c r="CE359" s="21">
        <v>507</v>
      </c>
      <c r="CF359" s="163">
        <v>630</v>
      </c>
      <c r="CG359" s="21">
        <v>730</v>
      </c>
      <c r="CH359" s="64">
        <v>199010</v>
      </c>
      <c r="CI359" s="306" t="s">
        <v>5661</v>
      </c>
      <c r="CJ359" s="163">
        <v>235</v>
      </c>
      <c r="CK359" s="21">
        <v>256</v>
      </c>
      <c r="CL359" s="163">
        <v>630</v>
      </c>
      <c r="CM359" s="21">
        <v>641</v>
      </c>
      <c r="CN359" s="64">
        <v>201100</v>
      </c>
      <c r="CO359" s="306" t="s">
        <v>5661</v>
      </c>
      <c r="CP359" s="163">
        <v>235</v>
      </c>
      <c r="CQ359" s="21">
        <v>289</v>
      </c>
      <c r="CR359" s="163">
        <v>630</v>
      </c>
      <c r="CS359" s="21">
        <v>658</v>
      </c>
      <c r="CT359" s="69">
        <v>201000</v>
      </c>
      <c r="CU359" s="207" t="s">
        <v>5792</v>
      </c>
      <c r="CV359" s="208" t="s">
        <v>5792</v>
      </c>
      <c r="CW359" s="208" t="s">
        <v>5792</v>
      </c>
      <c r="CX359" s="209" t="s">
        <v>5792</v>
      </c>
      <c r="CY359" s="207" t="s">
        <v>5792</v>
      </c>
      <c r="CZ359" s="208" t="s">
        <v>5792</v>
      </c>
      <c r="DA359" s="209" t="s">
        <v>5792</v>
      </c>
      <c r="DB359" s="283" t="s">
        <v>5792</v>
      </c>
      <c r="DC359" s="163" t="s">
        <v>5670</v>
      </c>
      <c r="DD359" s="163">
        <v>515</v>
      </c>
      <c r="DE359" s="21">
        <v>637</v>
      </c>
      <c r="DF359" s="163">
        <v>800</v>
      </c>
      <c r="DG359" s="21">
        <v>735</v>
      </c>
      <c r="DH359" s="67">
        <v>180000</v>
      </c>
      <c r="DI359" s="29" t="s">
        <v>5832</v>
      </c>
      <c r="DJ359" s="163" t="s">
        <v>4435</v>
      </c>
      <c r="DK359" s="297" t="s">
        <v>4566</v>
      </c>
    </row>
    <row r="360" spans="1:115" ht="16.2" thickBot="1">
      <c r="A360" s="143">
        <v>355</v>
      </c>
      <c r="B360" s="327"/>
      <c r="C360" s="327"/>
      <c r="D360" s="327"/>
      <c r="E360" s="330"/>
      <c r="F360" s="327"/>
      <c r="G360" s="330"/>
      <c r="H360" s="327"/>
      <c r="I360" s="327"/>
      <c r="J360" s="42" t="s">
        <v>4821</v>
      </c>
      <c r="K360" s="143" t="s">
        <v>4383</v>
      </c>
      <c r="L360" s="164" t="s">
        <v>5792</v>
      </c>
      <c r="M360" s="143" t="s">
        <v>4509</v>
      </c>
      <c r="N360" s="164" t="s">
        <v>4703</v>
      </c>
      <c r="O360" s="14" t="s">
        <v>4507</v>
      </c>
      <c r="P360" s="164" t="s">
        <v>4420</v>
      </c>
      <c r="Q360" s="164" t="s">
        <v>4420</v>
      </c>
      <c r="R360" s="164" t="s">
        <v>4420</v>
      </c>
      <c r="S360" s="164" t="s">
        <v>5792</v>
      </c>
      <c r="T360" s="164" t="s">
        <v>4420</v>
      </c>
      <c r="U360" s="164" t="s">
        <v>5792</v>
      </c>
      <c r="V360" s="164" t="s">
        <v>4559</v>
      </c>
      <c r="W360" s="14">
        <v>6</v>
      </c>
      <c r="X360" s="235">
        <v>0</v>
      </c>
      <c r="Y360" s="14">
        <v>0</v>
      </c>
      <c r="Z360" s="164" t="s">
        <v>5447</v>
      </c>
      <c r="AA360" s="23">
        <f>INDEX('[2]Cross-Section Database'!$C$2:$V$2928,MATCH(Z360,'[2]Cross-Section Database'!$B$2:$B$2928,0),3)</f>
        <v>150</v>
      </c>
      <c r="AB360" s="23">
        <f>INDEX('[2]Cross-Section Database'!$C$2:$V$2928,MATCH(Z360,'[2]Cross-Section Database'!$B$2:$B$2928,0),4)</f>
        <v>150</v>
      </c>
      <c r="AC360" s="56">
        <f>INDEX('[2]Cross-Section Database'!$C$2:$V$2928,MATCH(Z360,'[2]Cross-Section Database'!$B$2:$B$2928,0),6)</f>
        <v>6.3</v>
      </c>
      <c r="AD360" s="56">
        <f>INDEX('[2]Cross-Section Database'!$C$2:$V$2928,MATCH(Z360,'[2]Cross-Section Database'!$B$2:$B$2928,0),5)</f>
        <v>6.3</v>
      </c>
      <c r="AE360" s="23">
        <v>1500</v>
      </c>
      <c r="AF360" s="143" t="s">
        <v>4803</v>
      </c>
      <c r="AG360" s="23">
        <v>240</v>
      </c>
      <c r="AH360" s="23">
        <v>120</v>
      </c>
      <c r="AI360" s="23">
        <v>12</v>
      </c>
      <c r="AJ360" s="23">
        <v>10</v>
      </c>
      <c r="AK360" s="23">
        <v>1470</v>
      </c>
      <c r="AL360" s="23">
        <f>AH360*AG360^3/12-(AH360-AJ360)*(AG360-2*AI360)^3/12</f>
        <v>45861120</v>
      </c>
      <c r="AM360" s="25">
        <f>AH360*AG360^2/4-(AH360-AJ360)*(AG360-2*AI360)^2/4</f>
        <v>444960</v>
      </c>
      <c r="AN360" s="23">
        <v>10</v>
      </c>
      <c r="AO360" s="23">
        <v>140</v>
      </c>
      <c r="AP360" s="23">
        <v>260</v>
      </c>
      <c r="AQ360" s="23">
        <v>10</v>
      </c>
      <c r="AR360" s="23">
        <v>10</v>
      </c>
      <c r="AS360" s="143" t="s">
        <v>5659</v>
      </c>
      <c r="AT360" s="164" t="s">
        <v>4822</v>
      </c>
      <c r="AU360" s="23">
        <f>190/AV360/0.25</f>
        <v>47.5</v>
      </c>
      <c r="AV360" s="164">
        <v>16</v>
      </c>
      <c r="AW360" s="164">
        <f t="shared" si="186"/>
        <v>157</v>
      </c>
      <c r="AX360" s="23">
        <v>65</v>
      </c>
      <c r="AY360" s="23">
        <v>65</v>
      </c>
      <c r="AZ360" s="23">
        <v>65</v>
      </c>
      <c r="BA360" s="23">
        <v>80</v>
      </c>
      <c r="BB360" s="23">
        <v>0</v>
      </c>
      <c r="BC360" s="19" t="s">
        <v>4470</v>
      </c>
      <c r="BD360" s="164" t="s">
        <v>6209</v>
      </c>
      <c r="BE360" s="164" t="s">
        <v>6209</v>
      </c>
      <c r="BF360" s="164">
        <v>2</v>
      </c>
      <c r="BG360" s="14">
        <v>6</v>
      </c>
      <c r="BH360" s="197" t="s">
        <v>5792</v>
      </c>
      <c r="BI360" s="198" t="s">
        <v>5792</v>
      </c>
      <c r="BJ360" s="198" t="s">
        <v>5792</v>
      </c>
      <c r="BK360" s="198" t="s">
        <v>5792</v>
      </c>
      <c r="BL360" s="198" t="s">
        <v>5792</v>
      </c>
      <c r="BM360" s="198" t="s">
        <v>5792</v>
      </c>
      <c r="BN360" s="198" t="s">
        <v>5792</v>
      </c>
      <c r="BO360" s="198" t="s">
        <v>5792</v>
      </c>
      <c r="BP360" s="197" t="s">
        <v>5792</v>
      </c>
      <c r="BQ360" s="198" t="s">
        <v>5792</v>
      </c>
      <c r="BR360" s="198" t="s">
        <v>5792</v>
      </c>
      <c r="BS360" s="198" t="s">
        <v>5792</v>
      </c>
      <c r="BT360" s="198" t="s">
        <v>5792</v>
      </c>
      <c r="BU360" s="198" t="s">
        <v>5792</v>
      </c>
      <c r="BV360" s="220" t="s">
        <v>5792</v>
      </c>
      <c r="BW360" s="198" t="s">
        <v>5792</v>
      </c>
      <c r="BX360" s="198" t="s">
        <v>5792</v>
      </c>
      <c r="BY360" s="198" t="s">
        <v>5792</v>
      </c>
      <c r="BZ360" s="198" t="s">
        <v>5792</v>
      </c>
      <c r="CA360" s="198" t="s">
        <v>5792</v>
      </c>
      <c r="CB360" s="220" t="s">
        <v>5792</v>
      </c>
      <c r="CC360" s="143" t="s">
        <v>5661</v>
      </c>
      <c r="CD360" s="164">
        <v>235</v>
      </c>
      <c r="CE360" s="23">
        <v>334</v>
      </c>
      <c r="CF360" s="164">
        <v>630</v>
      </c>
      <c r="CG360" s="23">
        <v>640</v>
      </c>
      <c r="CH360" s="84">
        <v>200035</v>
      </c>
      <c r="CI360" s="143" t="s">
        <v>5661</v>
      </c>
      <c r="CJ360" s="164">
        <v>235</v>
      </c>
      <c r="CK360" s="23">
        <v>256</v>
      </c>
      <c r="CL360" s="164">
        <v>630</v>
      </c>
      <c r="CM360" s="23">
        <v>641</v>
      </c>
      <c r="CN360" s="84">
        <v>201100</v>
      </c>
      <c r="CO360" s="143" t="s">
        <v>5661</v>
      </c>
      <c r="CP360" s="164">
        <v>235</v>
      </c>
      <c r="CQ360" s="23">
        <v>276</v>
      </c>
      <c r="CR360" s="164">
        <v>630</v>
      </c>
      <c r="CS360" s="23">
        <v>636</v>
      </c>
      <c r="CT360" s="83">
        <v>195000</v>
      </c>
      <c r="CU360" s="210" t="s">
        <v>5792</v>
      </c>
      <c r="CV360" s="211" t="s">
        <v>5792</v>
      </c>
      <c r="CW360" s="211" t="s">
        <v>5792</v>
      </c>
      <c r="CX360" s="212" t="s">
        <v>5792</v>
      </c>
      <c r="CY360" s="210" t="s">
        <v>5792</v>
      </c>
      <c r="CZ360" s="211" t="s">
        <v>5792</v>
      </c>
      <c r="DA360" s="212" t="s">
        <v>5792</v>
      </c>
      <c r="DB360" s="284" t="s">
        <v>5792</v>
      </c>
      <c r="DC360" s="164" t="s">
        <v>5670</v>
      </c>
      <c r="DD360" s="164">
        <v>515</v>
      </c>
      <c r="DE360" s="23">
        <v>637</v>
      </c>
      <c r="DF360" s="164">
        <v>800</v>
      </c>
      <c r="DG360" s="23">
        <v>735</v>
      </c>
      <c r="DH360" s="70">
        <v>180000</v>
      </c>
      <c r="DI360" s="27" t="s">
        <v>4823</v>
      </c>
      <c r="DJ360" s="143" t="s">
        <v>4435</v>
      </c>
      <c r="DK360" s="298" t="s">
        <v>4566</v>
      </c>
    </row>
    <row r="361" spans="1:115">
      <c r="A361" s="305">
        <v>356</v>
      </c>
      <c r="B361" s="325">
        <v>59</v>
      </c>
      <c r="C361" s="325">
        <v>2020</v>
      </c>
      <c r="D361" s="325" t="s">
        <v>4675</v>
      </c>
      <c r="E361" s="328" t="s">
        <v>5676</v>
      </c>
      <c r="F361" s="325">
        <v>6</v>
      </c>
      <c r="G361" s="328" t="s">
        <v>5931</v>
      </c>
      <c r="H361" s="325" t="s">
        <v>5920</v>
      </c>
      <c r="I361" s="325" t="s">
        <v>6274</v>
      </c>
      <c r="J361" s="319" t="s">
        <v>5640</v>
      </c>
      <c r="K361" s="305" t="s">
        <v>4535</v>
      </c>
      <c r="L361" s="162" t="s">
        <v>6065</v>
      </c>
      <c r="M361" s="305" t="s">
        <v>4509</v>
      </c>
      <c r="N361" s="162" t="s">
        <v>4703</v>
      </c>
      <c r="O361" s="17" t="s">
        <v>4507</v>
      </c>
      <c r="P361" s="162" t="s">
        <v>4420</v>
      </c>
      <c r="Q361" s="162" t="s">
        <v>4470</v>
      </c>
      <c r="R361" s="162" t="s">
        <v>4420</v>
      </c>
      <c r="S361" s="162" t="s">
        <v>5792</v>
      </c>
      <c r="T361" s="162" t="s">
        <v>4420</v>
      </c>
      <c r="U361" s="162" t="s">
        <v>5792</v>
      </c>
      <c r="V361" s="162" t="s">
        <v>4559</v>
      </c>
      <c r="W361" s="88">
        <v>6</v>
      </c>
      <c r="X361" s="239">
        <v>0</v>
      </c>
      <c r="Y361" s="88">
        <v>1387</v>
      </c>
      <c r="Z361" s="162" t="s">
        <v>5502</v>
      </c>
      <c r="AA361" s="16">
        <f>INDEX('[2]Cross-Section Database'!$C$2:$V$2928,MATCH(Z361,'[2]Cross-Section Database'!$B$2:$B$2928,0),3)</f>
        <v>250</v>
      </c>
      <c r="AB361" s="16">
        <f>INDEX('[2]Cross-Section Database'!$C$2:$V$2928,MATCH(Z361,'[2]Cross-Section Database'!$B$2:$B$2928,0),4)</f>
        <v>250</v>
      </c>
      <c r="AC361" s="16">
        <f>INDEX('[2]Cross-Section Database'!$C$2:$V$2928,MATCH(Z361,'[2]Cross-Section Database'!$B$2:$B$2928,0),6)</f>
        <v>5</v>
      </c>
      <c r="AD361" s="16">
        <f>INDEX('[2]Cross-Section Database'!$C$2:$V$2928,MATCH(Z361,'[2]Cross-Section Database'!$B$2:$B$2928,0),5)</f>
        <v>5</v>
      </c>
      <c r="AE361" s="16">
        <v>1300</v>
      </c>
      <c r="AF361" s="305" t="s">
        <v>5598</v>
      </c>
      <c r="AG361" s="16">
        <f>INDEX('[2]Cross-Section Database'!$C$2:$V$23928,MATCH(AF361,'[2]Cross-Section Database'!$B$2:$B$3928,0),3)</f>
        <v>350</v>
      </c>
      <c r="AH361" s="16">
        <f>INDEX('[2]Cross-Section Database'!$C$2:$V$3928,MATCH(AF361,'[2]Cross-Section Database'!$B$2:$B$3928,0),4)</f>
        <v>175</v>
      </c>
      <c r="AI361" s="16">
        <f>INDEX('[2]Cross-Section Database'!$C$2:$V$3928,MATCH(AF361,'[2]Cross-Section Database'!$B$2:$B$3928,0),6)</f>
        <v>11</v>
      </c>
      <c r="AJ361" s="16">
        <f>INDEX('[2]Cross-Section Database'!$C$2:$V$3928,MATCH(AF361,'[2]Cross-Section Database'!$B$2:$B$3928,0),5)</f>
        <v>7</v>
      </c>
      <c r="AK361" s="16">
        <v>1200</v>
      </c>
      <c r="AL361" s="16">
        <f>INDEX('[2]Cross-Section Database'!$C$2:$V$3928,MATCH(AF361,'[2]Cross-Section Database'!$B$2:$B$3928,0),11)</f>
        <v>131234688.66666663</v>
      </c>
      <c r="AM361" s="26">
        <f>INDEX('[2]Cross-Section Database'!$C$2:$V$3928,MATCH(AF361,'[2]Cross-Section Database'!$B$2:$B$3928,0),12)</f>
        <v>840847</v>
      </c>
      <c r="AN361" s="102">
        <v>12</v>
      </c>
      <c r="AO361" s="16">
        <v>200</v>
      </c>
      <c r="AP361" s="16">
        <v>380</v>
      </c>
      <c r="AQ361" s="16">
        <v>15</v>
      </c>
      <c r="AR361" s="26">
        <v>15</v>
      </c>
      <c r="AS361" s="162" t="s">
        <v>5653</v>
      </c>
      <c r="AT361" s="162" t="s">
        <v>4651</v>
      </c>
      <c r="AU361" s="162">
        <v>70</v>
      </c>
      <c r="AV361" s="162">
        <v>16</v>
      </c>
      <c r="AW361" s="162">
        <f t="shared" si="186"/>
        <v>157</v>
      </c>
      <c r="AX361" s="16">
        <v>90</v>
      </c>
      <c r="AY361" s="16">
        <v>90</v>
      </c>
      <c r="AZ361" s="16">
        <v>100</v>
      </c>
      <c r="BA361" s="16">
        <v>120</v>
      </c>
      <c r="BB361" s="16">
        <v>0</v>
      </c>
      <c r="BC361" s="22" t="s">
        <v>4470</v>
      </c>
      <c r="BD361" s="162" t="s">
        <v>6209</v>
      </c>
      <c r="BE361" s="162" t="s">
        <v>6209</v>
      </c>
      <c r="BF361" s="162">
        <v>2</v>
      </c>
      <c r="BG361" s="17">
        <v>6</v>
      </c>
      <c r="BH361" s="200" t="s">
        <v>5792</v>
      </c>
      <c r="BI361" s="201" t="s">
        <v>5792</v>
      </c>
      <c r="BJ361" s="201" t="s">
        <v>5792</v>
      </c>
      <c r="BK361" s="201" t="s">
        <v>5792</v>
      </c>
      <c r="BL361" s="201" t="s">
        <v>5792</v>
      </c>
      <c r="BM361" s="201" t="s">
        <v>5792</v>
      </c>
      <c r="BN361" s="201" t="s">
        <v>5792</v>
      </c>
      <c r="BO361" s="201" t="s">
        <v>5792</v>
      </c>
      <c r="BP361" s="200" t="s">
        <v>5792</v>
      </c>
      <c r="BQ361" s="201" t="s">
        <v>5792</v>
      </c>
      <c r="BR361" s="201" t="s">
        <v>5792</v>
      </c>
      <c r="BS361" s="201" t="s">
        <v>5792</v>
      </c>
      <c r="BT361" s="201" t="s">
        <v>5792</v>
      </c>
      <c r="BU361" s="201" t="s">
        <v>5792</v>
      </c>
      <c r="BV361" s="219" t="s">
        <v>5792</v>
      </c>
      <c r="BW361" s="200" t="s">
        <v>5792</v>
      </c>
      <c r="BX361" s="201" t="s">
        <v>5792</v>
      </c>
      <c r="BY361" s="201" t="s">
        <v>5792</v>
      </c>
      <c r="BZ361" s="201" t="s">
        <v>5792</v>
      </c>
      <c r="CA361" s="201" t="s">
        <v>5792</v>
      </c>
      <c r="CB361" s="219" t="s">
        <v>5792</v>
      </c>
      <c r="CC361" s="305" t="s">
        <v>6327</v>
      </c>
      <c r="CD361" s="162">
        <v>345</v>
      </c>
      <c r="CE361" s="16">
        <v>477.1</v>
      </c>
      <c r="CF361" s="162">
        <v>490</v>
      </c>
      <c r="CG361" s="16">
        <v>609.20000000000005</v>
      </c>
      <c r="CH361" s="81">
        <v>208750</v>
      </c>
      <c r="CI361" s="305" t="s">
        <v>6327</v>
      </c>
      <c r="CJ361" s="162">
        <v>345</v>
      </c>
      <c r="CK361" s="16">
        <v>412.5</v>
      </c>
      <c r="CL361" s="162">
        <v>490</v>
      </c>
      <c r="CM361" s="16">
        <v>592.54999999999995</v>
      </c>
      <c r="CN361" s="82">
        <v>202125</v>
      </c>
      <c r="CO361" s="305" t="s">
        <v>6327</v>
      </c>
      <c r="CP361" s="162">
        <v>345</v>
      </c>
      <c r="CQ361" s="16">
        <v>399.2</v>
      </c>
      <c r="CR361" s="162">
        <v>490</v>
      </c>
      <c r="CS361" s="16">
        <v>562.79999999999995</v>
      </c>
      <c r="CT361" s="81">
        <v>197290</v>
      </c>
      <c r="CU361" s="305" t="s">
        <v>5795</v>
      </c>
      <c r="CV361" s="16">
        <v>39.92</v>
      </c>
      <c r="CW361" s="76">
        <v>3</v>
      </c>
      <c r="CX361" s="96">
        <v>32700</v>
      </c>
      <c r="CY361" s="204" t="s">
        <v>5792</v>
      </c>
      <c r="CZ361" s="205" t="s">
        <v>5792</v>
      </c>
      <c r="DA361" s="206" t="s">
        <v>5792</v>
      </c>
      <c r="DB361" s="282" t="s">
        <v>5792</v>
      </c>
      <c r="DC361" s="162">
        <v>8.8000000000000007</v>
      </c>
      <c r="DD361" s="162">
        <v>640</v>
      </c>
      <c r="DE361" s="30">
        <v>730</v>
      </c>
      <c r="DF361" s="162">
        <v>800</v>
      </c>
      <c r="DG361" s="30">
        <v>940</v>
      </c>
      <c r="DH361" s="66">
        <v>200000</v>
      </c>
      <c r="DI361" s="28" t="s">
        <v>6031</v>
      </c>
      <c r="DJ361" s="162" t="s">
        <v>4435</v>
      </c>
      <c r="DK361" s="296" t="s">
        <v>4566</v>
      </c>
    </row>
    <row r="362" spans="1:115">
      <c r="A362" s="306">
        <v>357</v>
      </c>
      <c r="B362" s="326"/>
      <c r="C362" s="326"/>
      <c r="D362" s="326"/>
      <c r="E362" s="329"/>
      <c r="F362" s="326"/>
      <c r="G362" s="329"/>
      <c r="H362" s="326"/>
      <c r="I362" s="326"/>
      <c r="J362" s="314" t="s">
        <v>5641</v>
      </c>
      <c r="K362" s="306" t="s">
        <v>4535</v>
      </c>
      <c r="L362" s="163" t="s">
        <v>6065</v>
      </c>
      <c r="M362" s="306" t="s">
        <v>4509</v>
      </c>
      <c r="N362" s="163" t="s">
        <v>4703</v>
      </c>
      <c r="O362" s="18" t="s">
        <v>4507</v>
      </c>
      <c r="P362" s="163" t="s">
        <v>4420</v>
      </c>
      <c r="Q362" s="163" t="s">
        <v>4470</v>
      </c>
      <c r="R362" s="163" t="s">
        <v>4420</v>
      </c>
      <c r="S362" s="163" t="s">
        <v>5792</v>
      </c>
      <c r="T362" s="163" t="s">
        <v>4420</v>
      </c>
      <c r="U362" s="163" t="s">
        <v>5792</v>
      </c>
      <c r="V362" s="163" t="s">
        <v>4559</v>
      </c>
      <c r="W362" s="73">
        <v>6</v>
      </c>
      <c r="X362" s="230">
        <v>0</v>
      </c>
      <c r="Y362" s="73">
        <v>1387</v>
      </c>
      <c r="Z362" s="163" t="s">
        <v>5502</v>
      </c>
      <c r="AA362" s="21">
        <f>INDEX('[2]Cross-Section Database'!$C$2:$V$2928,MATCH(Z362,'[2]Cross-Section Database'!$B$2:$B$2928,0),3)</f>
        <v>250</v>
      </c>
      <c r="AB362" s="21">
        <f>INDEX('[2]Cross-Section Database'!$C$2:$V$2928,MATCH(Z362,'[2]Cross-Section Database'!$B$2:$B$2928,0),4)</f>
        <v>250</v>
      </c>
      <c r="AC362" s="21">
        <f>INDEX('[2]Cross-Section Database'!$C$2:$V$2928,MATCH(Z362,'[2]Cross-Section Database'!$B$2:$B$2928,0),6)</f>
        <v>5</v>
      </c>
      <c r="AD362" s="21">
        <f>INDEX('[2]Cross-Section Database'!$C$2:$V$2928,MATCH(Z362,'[2]Cross-Section Database'!$B$2:$B$2928,0),5)</f>
        <v>5</v>
      </c>
      <c r="AE362" s="21">
        <v>1300</v>
      </c>
      <c r="AF362" s="306" t="s">
        <v>5598</v>
      </c>
      <c r="AG362" s="21">
        <f>INDEX('[2]Cross-Section Database'!$C$2:$V$23928,MATCH(AF362,'[2]Cross-Section Database'!$B$2:$B$3928,0),3)</f>
        <v>350</v>
      </c>
      <c r="AH362" s="21">
        <f>INDEX('[2]Cross-Section Database'!$C$2:$V$3928,MATCH(AF362,'[2]Cross-Section Database'!$B$2:$B$3928,0),4)</f>
        <v>175</v>
      </c>
      <c r="AI362" s="21">
        <f>INDEX('[2]Cross-Section Database'!$C$2:$V$3928,MATCH(AF362,'[2]Cross-Section Database'!$B$2:$B$3928,0),6)</f>
        <v>11</v>
      </c>
      <c r="AJ362" s="21">
        <f>INDEX('[2]Cross-Section Database'!$C$2:$V$3928,MATCH(AF362,'[2]Cross-Section Database'!$B$2:$B$3928,0),5)</f>
        <v>7</v>
      </c>
      <c r="AK362" s="21">
        <v>1200</v>
      </c>
      <c r="AL362" s="21">
        <f>INDEX('[2]Cross-Section Database'!$C$2:$V$3928,MATCH(AF362,'[2]Cross-Section Database'!$B$2:$B$3928,0),11)</f>
        <v>131234688.66666663</v>
      </c>
      <c r="AM362" s="24">
        <f>INDEX('[2]Cross-Section Database'!$C$2:$V$3928,MATCH(AF362,'[2]Cross-Section Database'!$B$2:$B$3928,0),12)</f>
        <v>840847</v>
      </c>
      <c r="AN362" s="103">
        <v>24</v>
      </c>
      <c r="AO362" s="21">
        <v>200</v>
      </c>
      <c r="AP362" s="21">
        <v>380</v>
      </c>
      <c r="AQ362" s="21">
        <v>15</v>
      </c>
      <c r="AR362" s="24">
        <v>15</v>
      </c>
      <c r="AS362" s="163" t="s">
        <v>5653</v>
      </c>
      <c r="AT362" s="163" t="s">
        <v>4651</v>
      </c>
      <c r="AU362" s="163">
        <v>70</v>
      </c>
      <c r="AV362" s="163">
        <v>16</v>
      </c>
      <c r="AW362" s="163">
        <f t="shared" si="186"/>
        <v>157</v>
      </c>
      <c r="AX362" s="21">
        <v>90</v>
      </c>
      <c r="AY362" s="21">
        <v>90</v>
      </c>
      <c r="AZ362" s="21">
        <v>100</v>
      </c>
      <c r="BA362" s="21">
        <v>120</v>
      </c>
      <c r="BB362" s="21">
        <v>0</v>
      </c>
      <c r="BC362" s="15" t="s">
        <v>4470</v>
      </c>
      <c r="BD362" s="163" t="s">
        <v>6209</v>
      </c>
      <c r="BE362" s="163" t="s">
        <v>6209</v>
      </c>
      <c r="BF362" s="163">
        <v>2</v>
      </c>
      <c r="BG362" s="18">
        <v>6</v>
      </c>
      <c r="BH362" s="202" t="s">
        <v>5792</v>
      </c>
      <c r="BI362" s="203" t="s">
        <v>5792</v>
      </c>
      <c r="BJ362" s="203" t="s">
        <v>5792</v>
      </c>
      <c r="BK362" s="203" t="s">
        <v>5792</v>
      </c>
      <c r="BL362" s="203" t="s">
        <v>5792</v>
      </c>
      <c r="BM362" s="203" t="s">
        <v>5792</v>
      </c>
      <c r="BN362" s="203" t="s">
        <v>5792</v>
      </c>
      <c r="BO362" s="203" t="s">
        <v>5792</v>
      </c>
      <c r="BP362" s="202" t="s">
        <v>5792</v>
      </c>
      <c r="BQ362" s="203" t="s">
        <v>5792</v>
      </c>
      <c r="BR362" s="203" t="s">
        <v>5792</v>
      </c>
      <c r="BS362" s="203" t="s">
        <v>5792</v>
      </c>
      <c r="BT362" s="203" t="s">
        <v>5792</v>
      </c>
      <c r="BU362" s="203" t="s">
        <v>5792</v>
      </c>
      <c r="BV362" s="218" t="s">
        <v>5792</v>
      </c>
      <c r="BW362" s="202" t="s">
        <v>5792</v>
      </c>
      <c r="BX362" s="203" t="s">
        <v>5792</v>
      </c>
      <c r="BY362" s="203" t="s">
        <v>5792</v>
      </c>
      <c r="BZ362" s="203" t="s">
        <v>5792</v>
      </c>
      <c r="CA362" s="203" t="s">
        <v>5792</v>
      </c>
      <c r="CB362" s="218" t="s">
        <v>5792</v>
      </c>
      <c r="CC362" s="306" t="s">
        <v>4748</v>
      </c>
      <c r="CD362" s="163">
        <v>345</v>
      </c>
      <c r="CE362" s="21">
        <v>477.1</v>
      </c>
      <c r="CF362" s="163">
        <v>490</v>
      </c>
      <c r="CG362" s="21">
        <v>609.20000000000005</v>
      </c>
      <c r="CH362" s="69">
        <v>208750</v>
      </c>
      <c r="CI362" s="306" t="s">
        <v>4748</v>
      </c>
      <c r="CJ362" s="163">
        <v>345</v>
      </c>
      <c r="CK362" s="21">
        <v>412.5</v>
      </c>
      <c r="CL362" s="163">
        <v>490</v>
      </c>
      <c r="CM362" s="21">
        <v>592.54999999999995</v>
      </c>
      <c r="CN362" s="64">
        <v>202125</v>
      </c>
      <c r="CO362" s="306" t="s">
        <v>4748</v>
      </c>
      <c r="CP362" s="163">
        <v>345</v>
      </c>
      <c r="CQ362" s="21">
        <v>399.2</v>
      </c>
      <c r="CR362" s="163">
        <v>490</v>
      </c>
      <c r="CS362" s="21">
        <v>562.79999999999995</v>
      </c>
      <c r="CT362" s="69">
        <v>197290</v>
      </c>
      <c r="CU362" s="92" t="s">
        <v>5795</v>
      </c>
      <c r="CV362" s="21">
        <v>39.92</v>
      </c>
      <c r="CW362" s="61">
        <v>3</v>
      </c>
      <c r="CX362" s="69">
        <v>32700</v>
      </c>
      <c r="CY362" s="207" t="s">
        <v>5792</v>
      </c>
      <c r="CZ362" s="208" t="s">
        <v>5792</v>
      </c>
      <c r="DA362" s="209" t="s">
        <v>5792</v>
      </c>
      <c r="DB362" s="283" t="s">
        <v>5792</v>
      </c>
      <c r="DC362" s="163">
        <v>8.8000000000000007</v>
      </c>
      <c r="DD362" s="163">
        <v>640</v>
      </c>
      <c r="DE362" s="32">
        <v>730</v>
      </c>
      <c r="DF362" s="163">
        <v>800</v>
      </c>
      <c r="DG362" s="32">
        <v>940</v>
      </c>
      <c r="DH362" s="67">
        <v>200000</v>
      </c>
      <c r="DI362" s="29" t="s">
        <v>5650</v>
      </c>
      <c r="DJ362" s="163" t="s">
        <v>4435</v>
      </c>
      <c r="DK362" s="297" t="s">
        <v>4566</v>
      </c>
    </row>
    <row r="363" spans="1:115">
      <c r="A363" s="306">
        <v>358</v>
      </c>
      <c r="B363" s="326"/>
      <c r="C363" s="326"/>
      <c r="D363" s="326"/>
      <c r="E363" s="329"/>
      <c r="F363" s="326"/>
      <c r="G363" s="329"/>
      <c r="H363" s="326"/>
      <c r="I363" s="326"/>
      <c r="J363" s="314" t="s">
        <v>5642</v>
      </c>
      <c r="K363" s="306" t="s">
        <v>4535</v>
      </c>
      <c r="L363" s="163" t="s">
        <v>6065</v>
      </c>
      <c r="M363" s="306" t="s">
        <v>4509</v>
      </c>
      <c r="N363" s="163" t="s">
        <v>4703</v>
      </c>
      <c r="O363" s="18" t="s">
        <v>4507</v>
      </c>
      <c r="P363" s="163" t="s">
        <v>4420</v>
      </c>
      <c r="Q363" s="163" t="s">
        <v>4470</v>
      </c>
      <c r="R363" s="163" t="s">
        <v>4420</v>
      </c>
      <c r="S363" s="163" t="s">
        <v>5792</v>
      </c>
      <c r="T363" s="163" t="s">
        <v>4420</v>
      </c>
      <c r="U363" s="163" t="s">
        <v>5792</v>
      </c>
      <c r="V363" s="163" t="s">
        <v>4559</v>
      </c>
      <c r="W363" s="73">
        <v>6</v>
      </c>
      <c r="X363" s="230">
        <v>0</v>
      </c>
      <c r="Y363" s="73">
        <v>1387</v>
      </c>
      <c r="Z363" s="163" t="s">
        <v>5502</v>
      </c>
      <c r="AA363" s="21">
        <f>INDEX('[2]Cross-Section Database'!$C$2:$V$2928,MATCH(Z363,'[2]Cross-Section Database'!$B$2:$B$2928,0),3)</f>
        <v>250</v>
      </c>
      <c r="AB363" s="21">
        <f>INDEX('[2]Cross-Section Database'!$C$2:$V$2928,MATCH(Z363,'[2]Cross-Section Database'!$B$2:$B$2928,0),4)</f>
        <v>250</v>
      </c>
      <c r="AC363" s="21">
        <f>INDEX('[2]Cross-Section Database'!$C$2:$V$2928,MATCH(Z363,'[2]Cross-Section Database'!$B$2:$B$2928,0),6)</f>
        <v>5</v>
      </c>
      <c r="AD363" s="21">
        <f>INDEX('[2]Cross-Section Database'!$C$2:$V$2928,MATCH(Z363,'[2]Cross-Section Database'!$B$2:$B$2928,0),5)</f>
        <v>5</v>
      </c>
      <c r="AE363" s="21">
        <v>1300</v>
      </c>
      <c r="AF363" s="306" t="s">
        <v>5598</v>
      </c>
      <c r="AG363" s="21">
        <f>INDEX('[2]Cross-Section Database'!$C$2:$V$23928,MATCH(AF363,'[2]Cross-Section Database'!$B$2:$B$3928,0),3)</f>
        <v>350</v>
      </c>
      <c r="AH363" s="21">
        <f>INDEX('[2]Cross-Section Database'!$C$2:$V$3928,MATCH(AF363,'[2]Cross-Section Database'!$B$2:$B$3928,0),4)</f>
        <v>175</v>
      </c>
      <c r="AI363" s="21">
        <f>INDEX('[2]Cross-Section Database'!$C$2:$V$3928,MATCH(AF363,'[2]Cross-Section Database'!$B$2:$B$3928,0),6)</f>
        <v>11</v>
      </c>
      <c r="AJ363" s="21">
        <f>INDEX('[2]Cross-Section Database'!$C$2:$V$3928,MATCH(AF363,'[2]Cross-Section Database'!$B$2:$B$3928,0),5)</f>
        <v>7</v>
      </c>
      <c r="AK363" s="21">
        <v>1200</v>
      </c>
      <c r="AL363" s="21">
        <f>INDEX('[2]Cross-Section Database'!$C$2:$V$3928,MATCH(AF363,'[2]Cross-Section Database'!$B$2:$B$3928,0),11)</f>
        <v>131234688.66666663</v>
      </c>
      <c r="AM363" s="24">
        <f>INDEX('[2]Cross-Section Database'!$C$2:$V$3928,MATCH(AF363,'[2]Cross-Section Database'!$B$2:$B$3928,0),12)</f>
        <v>840847</v>
      </c>
      <c r="AN363" s="103">
        <v>12</v>
      </c>
      <c r="AO363" s="21">
        <v>200</v>
      </c>
      <c r="AP363" s="21">
        <v>380</v>
      </c>
      <c r="AQ363" s="21">
        <v>15</v>
      </c>
      <c r="AR363" s="24">
        <v>15</v>
      </c>
      <c r="AS363" s="163" t="s">
        <v>5653</v>
      </c>
      <c r="AT363" s="163" t="s">
        <v>4651</v>
      </c>
      <c r="AU363" s="163">
        <v>70</v>
      </c>
      <c r="AV363" s="163">
        <v>16</v>
      </c>
      <c r="AW363" s="163">
        <f t="shared" si="186"/>
        <v>157</v>
      </c>
      <c r="AX363" s="21">
        <v>90</v>
      </c>
      <c r="AY363" s="21">
        <v>90</v>
      </c>
      <c r="AZ363" s="21">
        <v>100</v>
      </c>
      <c r="BA363" s="21">
        <v>120</v>
      </c>
      <c r="BB363" s="21">
        <v>0</v>
      </c>
      <c r="BC363" s="15" t="s">
        <v>4470</v>
      </c>
      <c r="BD363" s="163" t="s">
        <v>6209</v>
      </c>
      <c r="BE363" s="163" t="s">
        <v>6209</v>
      </c>
      <c r="BF363" s="163">
        <v>2</v>
      </c>
      <c r="BG363" s="18">
        <v>6</v>
      </c>
      <c r="BH363" s="202" t="s">
        <v>5792</v>
      </c>
      <c r="BI363" s="203" t="s">
        <v>5792</v>
      </c>
      <c r="BJ363" s="203" t="s">
        <v>5792</v>
      </c>
      <c r="BK363" s="203" t="s">
        <v>5792</v>
      </c>
      <c r="BL363" s="203" t="s">
        <v>5792</v>
      </c>
      <c r="BM363" s="203" t="s">
        <v>5792</v>
      </c>
      <c r="BN363" s="203" t="s">
        <v>5792</v>
      </c>
      <c r="BO363" s="203" t="s">
        <v>5792</v>
      </c>
      <c r="BP363" s="202" t="s">
        <v>5792</v>
      </c>
      <c r="BQ363" s="203" t="s">
        <v>5792</v>
      </c>
      <c r="BR363" s="203" t="s">
        <v>5792</v>
      </c>
      <c r="BS363" s="203" t="s">
        <v>5792</v>
      </c>
      <c r="BT363" s="203" t="s">
        <v>5792</v>
      </c>
      <c r="BU363" s="203" t="s">
        <v>5792</v>
      </c>
      <c r="BV363" s="218" t="s">
        <v>5792</v>
      </c>
      <c r="BW363" s="202" t="s">
        <v>5792</v>
      </c>
      <c r="BX363" s="203" t="s">
        <v>5792</v>
      </c>
      <c r="BY363" s="203" t="s">
        <v>5792</v>
      </c>
      <c r="BZ363" s="203" t="s">
        <v>5792</v>
      </c>
      <c r="CA363" s="203" t="s">
        <v>5792</v>
      </c>
      <c r="CB363" s="218" t="s">
        <v>5792</v>
      </c>
      <c r="CC363" s="306" t="s">
        <v>4748</v>
      </c>
      <c r="CD363" s="163">
        <v>345</v>
      </c>
      <c r="CE363" s="21">
        <v>477.1</v>
      </c>
      <c r="CF363" s="163">
        <v>490</v>
      </c>
      <c r="CG363" s="21">
        <v>609.20000000000005</v>
      </c>
      <c r="CH363" s="69">
        <v>208750</v>
      </c>
      <c r="CI363" s="306" t="s">
        <v>4748</v>
      </c>
      <c r="CJ363" s="163">
        <v>345</v>
      </c>
      <c r="CK363" s="21">
        <v>412.5</v>
      </c>
      <c r="CL363" s="163">
        <v>490</v>
      </c>
      <c r="CM363" s="21">
        <v>592.54999999999995</v>
      </c>
      <c r="CN363" s="64">
        <v>202125</v>
      </c>
      <c r="CO363" s="306" t="s">
        <v>4748</v>
      </c>
      <c r="CP363" s="163">
        <v>345</v>
      </c>
      <c r="CQ363" s="21">
        <v>399.2</v>
      </c>
      <c r="CR363" s="163">
        <v>490</v>
      </c>
      <c r="CS363" s="21">
        <v>562.79999999999995</v>
      </c>
      <c r="CT363" s="69">
        <v>197290</v>
      </c>
      <c r="CU363" s="92" t="s">
        <v>5795</v>
      </c>
      <c r="CV363" s="21">
        <v>39.92</v>
      </c>
      <c r="CW363" s="61">
        <v>3</v>
      </c>
      <c r="CX363" s="69">
        <v>32700</v>
      </c>
      <c r="CY363" s="207" t="s">
        <v>5792</v>
      </c>
      <c r="CZ363" s="208" t="s">
        <v>5792</v>
      </c>
      <c r="DA363" s="209" t="s">
        <v>5792</v>
      </c>
      <c r="DB363" s="283" t="s">
        <v>5792</v>
      </c>
      <c r="DC363" s="163">
        <v>8.8000000000000007</v>
      </c>
      <c r="DD363" s="163">
        <v>640</v>
      </c>
      <c r="DE363" s="32">
        <v>730</v>
      </c>
      <c r="DF363" s="163">
        <v>800</v>
      </c>
      <c r="DG363" s="32">
        <v>940</v>
      </c>
      <c r="DH363" s="67">
        <v>200000</v>
      </c>
      <c r="DI363" s="29" t="s">
        <v>6031</v>
      </c>
      <c r="DJ363" s="163" t="s">
        <v>4435</v>
      </c>
      <c r="DK363" s="297" t="s">
        <v>6014</v>
      </c>
    </row>
    <row r="364" spans="1:115">
      <c r="A364" s="306">
        <v>359</v>
      </c>
      <c r="B364" s="326"/>
      <c r="C364" s="326"/>
      <c r="D364" s="326"/>
      <c r="E364" s="329"/>
      <c r="F364" s="326"/>
      <c r="G364" s="329"/>
      <c r="H364" s="326"/>
      <c r="I364" s="326"/>
      <c r="J364" s="314" t="s">
        <v>5643</v>
      </c>
      <c r="K364" s="306" t="s">
        <v>4535</v>
      </c>
      <c r="L364" s="163" t="s">
        <v>6065</v>
      </c>
      <c r="M364" s="306" t="s">
        <v>4509</v>
      </c>
      <c r="N364" s="163" t="s">
        <v>4703</v>
      </c>
      <c r="O364" s="18" t="s">
        <v>4507</v>
      </c>
      <c r="P364" s="163" t="s">
        <v>4420</v>
      </c>
      <c r="Q364" s="163" t="s">
        <v>4470</v>
      </c>
      <c r="R364" s="163" t="s">
        <v>4420</v>
      </c>
      <c r="S364" s="163" t="s">
        <v>5792</v>
      </c>
      <c r="T364" s="163" t="s">
        <v>4420</v>
      </c>
      <c r="U364" s="163" t="s">
        <v>5792</v>
      </c>
      <c r="V364" s="163" t="s">
        <v>4559</v>
      </c>
      <c r="W364" s="73">
        <v>6</v>
      </c>
      <c r="X364" s="230">
        <v>0</v>
      </c>
      <c r="Y364" s="73">
        <v>1387</v>
      </c>
      <c r="Z364" s="163" t="s">
        <v>5502</v>
      </c>
      <c r="AA364" s="21">
        <f>INDEX('[2]Cross-Section Database'!$C$2:$V$2928,MATCH(Z364,'[2]Cross-Section Database'!$B$2:$B$2928,0),3)</f>
        <v>250</v>
      </c>
      <c r="AB364" s="21">
        <f>INDEX('[2]Cross-Section Database'!$C$2:$V$2928,MATCH(Z364,'[2]Cross-Section Database'!$B$2:$B$2928,0),4)</f>
        <v>250</v>
      </c>
      <c r="AC364" s="21">
        <f>INDEX('[2]Cross-Section Database'!$C$2:$V$2928,MATCH(Z364,'[2]Cross-Section Database'!$B$2:$B$2928,0),6)</f>
        <v>5</v>
      </c>
      <c r="AD364" s="21">
        <f>INDEX('[2]Cross-Section Database'!$C$2:$V$2928,MATCH(Z364,'[2]Cross-Section Database'!$B$2:$B$2928,0),5)</f>
        <v>5</v>
      </c>
      <c r="AE364" s="21">
        <v>1300</v>
      </c>
      <c r="AF364" s="306" t="s">
        <v>5598</v>
      </c>
      <c r="AG364" s="21">
        <f>INDEX('[2]Cross-Section Database'!$C$2:$V$23928,MATCH(AF364,'[2]Cross-Section Database'!$B$2:$B$3928,0),3)</f>
        <v>350</v>
      </c>
      <c r="AH364" s="21">
        <f>INDEX('[2]Cross-Section Database'!$C$2:$V$3928,MATCH(AF364,'[2]Cross-Section Database'!$B$2:$B$3928,0),4)</f>
        <v>175</v>
      </c>
      <c r="AI364" s="21">
        <f>INDEX('[2]Cross-Section Database'!$C$2:$V$3928,MATCH(AF364,'[2]Cross-Section Database'!$B$2:$B$3928,0),6)</f>
        <v>11</v>
      </c>
      <c r="AJ364" s="21">
        <f>INDEX('[2]Cross-Section Database'!$C$2:$V$3928,MATCH(AF364,'[2]Cross-Section Database'!$B$2:$B$3928,0),5)</f>
        <v>7</v>
      </c>
      <c r="AK364" s="21">
        <v>1200</v>
      </c>
      <c r="AL364" s="21">
        <f>INDEX('[2]Cross-Section Database'!$C$2:$V$3928,MATCH(AF364,'[2]Cross-Section Database'!$B$2:$B$3928,0),11)</f>
        <v>131234688.66666663</v>
      </c>
      <c r="AM364" s="24">
        <f>INDEX('[2]Cross-Section Database'!$C$2:$V$3928,MATCH(AF364,'[2]Cross-Section Database'!$B$2:$B$3928,0),12)</f>
        <v>840847</v>
      </c>
      <c r="AN364" s="103">
        <v>24</v>
      </c>
      <c r="AO364" s="21">
        <v>200</v>
      </c>
      <c r="AP364" s="21">
        <v>380</v>
      </c>
      <c r="AQ364" s="21">
        <v>15</v>
      </c>
      <c r="AR364" s="24">
        <v>15</v>
      </c>
      <c r="AS364" s="163" t="s">
        <v>5653</v>
      </c>
      <c r="AT364" s="163" t="s">
        <v>4651</v>
      </c>
      <c r="AU364" s="163">
        <v>70</v>
      </c>
      <c r="AV364" s="163">
        <v>16</v>
      </c>
      <c r="AW364" s="163">
        <f t="shared" si="186"/>
        <v>157</v>
      </c>
      <c r="AX364" s="21">
        <v>90</v>
      </c>
      <c r="AY364" s="21">
        <v>90</v>
      </c>
      <c r="AZ364" s="21">
        <v>100</v>
      </c>
      <c r="BA364" s="21">
        <v>120</v>
      </c>
      <c r="BB364" s="21">
        <v>0</v>
      </c>
      <c r="BC364" s="15" t="s">
        <v>4470</v>
      </c>
      <c r="BD364" s="163" t="s">
        <v>6209</v>
      </c>
      <c r="BE364" s="163" t="s">
        <v>6209</v>
      </c>
      <c r="BF364" s="163">
        <v>2</v>
      </c>
      <c r="BG364" s="18">
        <v>6</v>
      </c>
      <c r="BH364" s="202" t="s">
        <v>5792</v>
      </c>
      <c r="BI364" s="203" t="s">
        <v>5792</v>
      </c>
      <c r="BJ364" s="203" t="s">
        <v>5792</v>
      </c>
      <c r="BK364" s="203" t="s">
        <v>5792</v>
      </c>
      <c r="BL364" s="203" t="s">
        <v>5792</v>
      </c>
      <c r="BM364" s="203" t="s">
        <v>5792</v>
      </c>
      <c r="BN364" s="203" t="s">
        <v>5792</v>
      </c>
      <c r="BO364" s="203" t="s">
        <v>5792</v>
      </c>
      <c r="BP364" s="202" t="s">
        <v>5792</v>
      </c>
      <c r="BQ364" s="203" t="s">
        <v>5792</v>
      </c>
      <c r="BR364" s="203" t="s">
        <v>5792</v>
      </c>
      <c r="BS364" s="203" t="s">
        <v>5792</v>
      </c>
      <c r="BT364" s="203" t="s">
        <v>5792</v>
      </c>
      <c r="BU364" s="203" t="s">
        <v>5792</v>
      </c>
      <c r="BV364" s="218" t="s">
        <v>5792</v>
      </c>
      <c r="BW364" s="202" t="s">
        <v>5792</v>
      </c>
      <c r="BX364" s="203" t="s">
        <v>5792</v>
      </c>
      <c r="BY364" s="203" t="s">
        <v>5792</v>
      </c>
      <c r="BZ364" s="203" t="s">
        <v>5792</v>
      </c>
      <c r="CA364" s="203" t="s">
        <v>5792</v>
      </c>
      <c r="CB364" s="218" t="s">
        <v>5792</v>
      </c>
      <c r="CC364" s="306" t="s">
        <v>4748</v>
      </c>
      <c r="CD364" s="163">
        <v>345</v>
      </c>
      <c r="CE364" s="21">
        <v>477.1</v>
      </c>
      <c r="CF364" s="163">
        <v>490</v>
      </c>
      <c r="CG364" s="21">
        <v>609.20000000000005</v>
      </c>
      <c r="CH364" s="69">
        <v>208750</v>
      </c>
      <c r="CI364" s="306" t="s">
        <v>4748</v>
      </c>
      <c r="CJ364" s="163">
        <v>345</v>
      </c>
      <c r="CK364" s="21">
        <v>412.5</v>
      </c>
      <c r="CL364" s="163">
        <v>490</v>
      </c>
      <c r="CM364" s="21">
        <v>592.54999999999995</v>
      </c>
      <c r="CN364" s="64">
        <v>202125</v>
      </c>
      <c r="CO364" s="306" t="s">
        <v>4748</v>
      </c>
      <c r="CP364" s="163">
        <v>345</v>
      </c>
      <c r="CQ364" s="21">
        <v>399.2</v>
      </c>
      <c r="CR364" s="163">
        <v>490</v>
      </c>
      <c r="CS364" s="21">
        <v>562.79999999999995</v>
      </c>
      <c r="CT364" s="69">
        <v>197290</v>
      </c>
      <c r="CU364" s="306" t="s">
        <v>5795</v>
      </c>
      <c r="CV364" s="21">
        <v>39.92</v>
      </c>
      <c r="CW364" s="61">
        <v>3</v>
      </c>
      <c r="CX364" s="69">
        <v>32700</v>
      </c>
      <c r="CY364" s="207" t="s">
        <v>5792</v>
      </c>
      <c r="CZ364" s="208" t="s">
        <v>5792</v>
      </c>
      <c r="DA364" s="209" t="s">
        <v>5792</v>
      </c>
      <c r="DB364" s="283" t="s">
        <v>5792</v>
      </c>
      <c r="DC364" s="163">
        <v>8.8000000000000007</v>
      </c>
      <c r="DD364" s="163">
        <v>640</v>
      </c>
      <c r="DE364" s="32">
        <v>730</v>
      </c>
      <c r="DF364" s="163">
        <v>800</v>
      </c>
      <c r="DG364" s="32">
        <v>940</v>
      </c>
      <c r="DH364" s="67">
        <v>200000</v>
      </c>
      <c r="DI364" s="29" t="s">
        <v>5649</v>
      </c>
      <c r="DJ364" s="163" t="s">
        <v>4435</v>
      </c>
      <c r="DK364" s="297" t="s">
        <v>6014</v>
      </c>
    </row>
    <row r="365" spans="1:115">
      <c r="A365" s="306">
        <v>360</v>
      </c>
      <c r="B365" s="326"/>
      <c r="C365" s="326"/>
      <c r="D365" s="326"/>
      <c r="E365" s="329"/>
      <c r="F365" s="326"/>
      <c r="G365" s="329"/>
      <c r="H365" s="326"/>
      <c r="I365" s="326"/>
      <c r="J365" s="314" t="s">
        <v>5644</v>
      </c>
      <c r="K365" s="306" t="s">
        <v>4535</v>
      </c>
      <c r="L365" s="163" t="s">
        <v>6065</v>
      </c>
      <c r="M365" s="306" t="s">
        <v>4509</v>
      </c>
      <c r="N365" s="163" t="s">
        <v>4703</v>
      </c>
      <c r="O365" s="18" t="s">
        <v>4507</v>
      </c>
      <c r="P365" s="163" t="s">
        <v>4420</v>
      </c>
      <c r="Q365" s="163" t="s">
        <v>4470</v>
      </c>
      <c r="R365" s="163" t="s">
        <v>4420</v>
      </c>
      <c r="S365" s="163" t="s">
        <v>5792</v>
      </c>
      <c r="T365" s="163" t="s">
        <v>4420</v>
      </c>
      <c r="U365" s="163" t="s">
        <v>5792</v>
      </c>
      <c r="V365" s="163" t="s">
        <v>4559</v>
      </c>
      <c r="W365" s="73">
        <v>6</v>
      </c>
      <c r="X365" s="230">
        <v>0</v>
      </c>
      <c r="Y365" s="73">
        <v>1387</v>
      </c>
      <c r="Z365" s="163" t="s">
        <v>5502</v>
      </c>
      <c r="AA365" s="21">
        <f>INDEX('[2]Cross-Section Database'!$C$2:$V$2928,MATCH(Z365,'[2]Cross-Section Database'!$B$2:$B$2928,0),3)</f>
        <v>250</v>
      </c>
      <c r="AB365" s="21">
        <f>INDEX('[2]Cross-Section Database'!$C$2:$V$2928,MATCH(Z365,'[2]Cross-Section Database'!$B$2:$B$2928,0),4)</f>
        <v>250</v>
      </c>
      <c r="AC365" s="21">
        <f>INDEX('[2]Cross-Section Database'!$C$2:$V$2928,MATCH(Z365,'[2]Cross-Section Database'!$B$2:$B$2928,0),6)</f>
        <v>5</v>
      </c>
      <c r="AD365" s="21">
        <f>INDEX('[2]Cross-Section Database'!$C$2:$V$2928,MATCH(Z365,'[2]Cross-Section Database'!$B$2:$B$2928,0),5)</f>
        <v>5</v>
      </c>
      <c r="AE365" s="21">
        <v>1300</v>
      </c>
      <c r="AF365" s="306" t="s">
        <v>5598</v>
      </c>
      <c r="AG365" s="21">
        <f>INDEX('[2]Cross-Section Database'!$C$2:$V$23928,MATCH(AF365,'[2]Cross-Section Database'!$B$2:$B$3928,0),3)</f>
        <v>350</v>
      </c>
      <c r="AH365" s="21">
        <f>INDEX('[2]Cross-Section Database'!$C$2:$V$3928,MATCH(AF365,'[2]Cross-Section Database'!$B$2:$B$3928,0),4)</f>
        <v>175</v>
      </c>
      <c r="AI365" s="21">
        <f>INDEX('[2]Cross-Section Database'!$C$2:$V$3928,MATCH(AF365,'[2]Cross-Section Database'!$B$2:$B$3928,0),6)</f>
        <v>11</v>
      </c>
      <c r="AJ365" s="21">
        <f>INDEX('[2]Cross-Section Database'!$C$2:$V$3928,MATCH(AF365,'[2]Cross-Section Database'!$B$2:$B$3928,0),5)</f>
        <v>7</v>
      </c>
      <c r="AK365" s="21">
        <v>1200</v>
      </c>
      <c r="AL365" s="21">
        <f>INDEX('[2]Cross-Section Database'!$C$2:$V$3928,MATCH(AF365,'[2]Cross-Section Database'!$B$2:$B$3928,0),11)</f>
        <v>131234688.66666663</v>
      </c>
      <c r="AM365" s="24">
        <f>INDEX('[2]Cross-Section Database'!$C$2:$V$3928,MATCH(AF365,'[2]Cross-Section Database'!$B$2:$B$3928,0),12)</f>
        <v>840847</v>
      </c>
      <c r="AN365" s="103">
        <v>24</v>
      </c>
      <c r="AO365" s="21">
        <v>200</v>
      </c>
      <c r="AP365" s="21">
        <v>380</v>
      </c>
      <c r="AQ365" s="21">
        <v>15</v>
      </c>
      <c r="AR365" s="24">
        <v>15</v>
      </c>
      <c r="AS365" s="163" t="s">
        <v>5671</v>
      </c>
      <c r="AT365" s="163" t="s">
        <v>4651</v>
      </c>
      <c r="AU365" s="163">
        <v>70</v>
      </c>
      <c r="AV365" s="163">
        <v>16</v>
      </c>
      <c r="AW365" s="163">
        <f t="shared" si="186"/>
        <v>157</v>
      </c>
      <c r="AX365" s="21">
        <v>90</v>
      </c>
      <c r="AY365" s="21">
        <v>90</v>
      </c>
      <c r="AZ365" s="21">
        <v>100</v>
      </c>
      <c r="BA365" s="21">
        <v>120</v>
      </c>
      <c r="BB365" s="21">
        <v>0</v>
      </c>
      <c r="BC365" s="15" t="s">
        <v>4470</v>
      </c>
      <c r="BD365" s="163" t="s">
        <v>6209</v>
      </c>
      <c r="BE365" s="163" t="s">
        <v>6209</v>
      </c>
      <c r="BF365" s="163">
        <v>2</v>
      </c>
      <c r="BG365" s="18">
        <v>6</v>
      </c>
      <c r="BH365" s="202" t="s">
        <v>5792</v>
      </c>
      <c r="BI365" s="203" t="s">
        <v>5792</v>
      </c>
      <c r="BJ365" s="203" t="s">
        <v>5792</v>
      </c>
      <c r="BK365" s="203" t="s">
        <v>5792</v>
      </c>
      <c r="BL365" s="203" t="s">
        <v>5792</v>
      </c>
      <c r="BM365" s="203" t="s">
        <v>5792</v>
      </c>
      <c r="BN365" s="203" t="s">
        <v>5792</v>
      </c>
      <c r="BO365" s="203" t="s">
        <v>5792</v>
      </c>
      <c r="BP365" s="202" t="s">
        <v>5792</v>
      </c>
      <c r="BQ365" s="203" t="s">
        <v>5792</v>
      </c>
      <c r="BR365" s="203" t="s">
        <v>5792</v>
      </c>
      <c r="BS365" s="203" t="s">
        <v>5792</v>
      </c>
      <c r="BT365" s="203" t="s">
        <v>5792</v>
      </c>
      <c r="BU365" s="203" t="s">
        <v>5792</v>
      </c>
      <c r="BV365" s="218" t="s">
        <v>5792</v>
      </c>
      <c r="BW365" s="202" t="s">
        <v>5792</v>
      </c>
      <c r="BX365" s="203" t="s">
        <v>5792</v>
      </c>
      <c r="BY365" s="203" t="s">
        <v>5792</v>
      </c>
      <c r="BZ365" s="203" t="s">
        <v>5792</v>
      </c>
      <c r="CA365" s="203" t="s">
        <v>5792</v>
      </c>
      <c r="CB365" s="218" t="s">
        <v>5792</v>
      </c>
      <c r="CC365" s="306" t="s">
        <v>4748</v>
      </c>
      <c r="CD365" s="163">
        <v>345</v>
      </c>
      <c r="CE365" s="21">
        <v>477.1</v>
      </c>
      <c r="CF365" s="163">
        <v>490</v>
      </c>
      <c r="CG365" s="21">
        <v>609.20000000000005</v>
      </c>
      <c r="CH365" s="69">
        <v>208750</v>
      </c>
      <c r="CI365" s="306" t="s">
        <v>4748</v>
      </c>
      <c r="CJ365" s="163">
        <v>345</v>
      </c>
      <c r="CK365" s="21">
        <v>412.5</v>
      </c>
      <c r="CL365" s="163">
        <v>490</v>
      </c>
      <c r="CM365" s="21">
        <v>592.54999999999995</v>
      </c>
      <c r="CN365" s="64">
        <v>202125</v>
      </c>
      <c r="CO365" s="306" t="s">
        <v>4748</v>
      </c>
      <c r="CP365" s="163">
        <v>345</v>
      </c>
      <c r="CQ365" s="21">
        <v>399.2</v>
      </c>
      <c r="CR365" s="163">
        <v>490</v>
      </c>
      <c r="CS365" s="21">
        <v>562.79999999999995</v>
      </c>
      <c r="CT365" s="69">
        <v>197290</v>
      </c>
      <c r="CU365" s="306" t="s">
        <v>5795</v>
      </c>
      <c r="CV365" s="21">
        <v>39.92</v>
      </c>
      <c r="CW365" s="61">
        <v>3</v>
      </c>
      <c r="CX365" s="69">
        <v>32700</v>
      </c>
      <c r="CY365" s="207" t="s">
        <v>5792</v>
      </c>
      <c r="CZ365" s="208" t="s">
        <v>5792</v>
      </c>
      <c r="DA365" s="209" t="s">
        <v>5792</v>
      </c>
      <c r="DB365" s="283" t="s">
        <v>5792</v>
      </c>
      <c r="DC365" s="163">
        <v>8.8000000000000007</v>
      </c>
      <c r="DD365" s="163">
        <v>640</v>
      </c>
      <c r="DE365" s="32">
        <v>730</v>
      </c>
      <c r="DF365" s="163">
        <v>800</v>
      </c>
      <c r="DG365" s="32">
        <v>940</v>
      </c>
      <c r="DH365" s="67">
        <v>200000</v>
      </c>
      <c r="DI365" s="29" t="s">
        <v>5649</v>
      </c>
      <c r="DJ365" s="163" t="s">
        <v>4435</v>
      </c>
      <c r="DK365" s="297" t="s">
        <v>6014</v>
      </c>
    </row>
    <row r="366" spans="1:115" ht="16.2" thickBot="1">
      <c r="A366" s="143">
        <v>361</v>
      </c>
      <c r="B366" s="327"/>
      <c r="C366" s="327"/>
      <c r="D366" s="327"/>
      <c r="E366" s="330"/>
      <c r="F366" s="327"/>
      <c r="G366" s="330"/>
      <c r="H366" s="327"/>
      <c r="I366" s="327"/>
      <c r="J366" s="315" t="s">
        <v>5645</v>
      </c>
      <c r="K366" s="143" t="s">
        <v>4535</v>
      </c>
      <c r="L366" s="164" t="s">
        <v>6065</v>
      </c>
      <c r="M366" s="143" t="s">
        <v>4509</v>
      </c>
      <c r="N366" s="164" t="s">
        <v>4703</v>
      </c>
      <c r="O366" s="14" t="s">
        <v>4507</v>
      </c>
      <c r="P366" s="164" t="s">
        <v>4420</v>
      </c>
      <c r="Q366" s="164" t="s">
        <v>4470</v>
      </c>
      <c r="R366" s="164" t="s">
        <v>4420</v>
      </c>
      <c r="S366" s="164" t="s">
        <v>5792</v>
      </c>
      <c r="T366" s="164" t="s">
        <v>4420</v>
      </c>
      <c r="U366" s="164" t="s">
        <v>5792</v>
      </c>
      <c r="V366" s="164" t="s">
        <v>4559</v>
      </c>
      <c r="W366" s="118">
        <v>6</v>
      </c>
      <c r="X366" s="235">
        <v>0</v>
      </c>
      <c r="Y366" s="118">
        <v>1387</v>
      </c>
      <c r="Z366" s="164" t="s">
        <v>5502</v>
      </c>
      <c r="AA366" s="23">
        <f>INDEX('[2]Cross-Section Database'!$C$2:$V$2928,MATCH(Z366,'[2]Cross-Section Database'!$B$2:$B$2928,0),3)</f>
        <v>250</v>
      </c>
      <c r="AB366" s="23">
        <f>INDEX('[2]Cross-Section Database'!$C$2:$V$2928,MATCH(Z366,'[2]Cross-Section Database'!$B$2:$B$2928,0),4)</f>
        <v>250</v>
      </c>
      <c r="AC366" s="23">
        <f>INDEX('[2]Cross-Section Database'!$C$2:$V$2928,MATCH(Z366,'[2]Cross-Section Database'!$B$2:$B$2928,0),6)</f>
        <v>5</v>
      </c>
      <c r="AD366" s="23">
        <f>INDEX('[2]Cross-Section Database'!$C$2:$V$2928,MATCH(Z366,'[2]Cross-Section Database'!$B$2:$B$2928,0),5)</f>
        <v>5</v>
      </c>
      <c r="AE366" s="23">
        <v>1300</v>
      </c>
      <c r="AF366" s="143" t="s">
        <v>5596</v>
      </c>
      <c r="AG366" s="23">
        <f>INDEX('[2]Cross-Section Database'!$C$2:$V$23928,MATCH(AF366,'[2]Cross-Section Database'!$B$2:$B$3928,0),3)</f>
        <v>300</v>
      </c>
      <c r="AH366" s="23">
        <f>INDEX('[2]Cross-Section Database'!$C$2:$V$3928,MATCH(AF366,'[2]Cross-Section Database'!$B$2:$B$3928,0),4)</f>
        <v>150</v>
      </c>
      <c r="AI366" s="23">
        <f>INDEX('[2]Cross-Section Database'!$C$2:$V$3928,MATCH(AF366,'[2]Cross-Section Database'!$B$2:$B$3928,0),6)</f>
        <v>9</v>
      </c>
      <c r="AJ366" s="23">
        <f>INDEX('[2]Cross-Section Database'!$C$2:$V$3928,MATCH(AF366,'[2]Cross-Section Database'!$B$2:$B$3928,0),5)</f>
        <v>6.5</v>
      </c>
      <c r="AK366" s="23">
        <v>1200</v>
      </c>
      <c r="AL366" s="23">
        <f>INDEX('[2]Cross-Section Database'!$C$2:$V$3928,MATCH(AF366,'[2]Cross-Section Database'!$B$2:$B$3928,0),11)</f>
        <v>69325191</v>
      </c>
      <c r="AM366" s="25">
        <f>INDEX('[2]Cross-Section Database'!$C$2:$V$3928,MATCH(AF366,'[2]Cross-Section Database'!$B$2:$B$3928,0),12)</f>
        <v>522076.5</v>
      </c>
      <c r="AN366" s="104">
        <v>24</v>
      </c>
      <c r="AO366" s="23">
        <v>200</v>
      </c>
      <c r="AP366" s="23">
        <v>330</v>
      </c>
      <c r="AQ366" s="23">
        <v>15</v>
      </c>
      <c r="AR366" s="25">
        <v>15</v>
      </c>
      <c r="AS366" s="164" t="s">
        <v>5653</v>
      </c>
      <c r="AT366" s="164" t="s">
        <v>4651</v>
      </c>
      <c r="AU366" s="164">
        <v>70</v>
      </c>
      <c r="AV366" s="164">
        <v>16</v>
      </c>
      <c r="AW366" s="164">
        <f t="shared" si="186"/>
        <v>157</v>
      </c>
      <c r="AX366" s="23">
        <v>65</v>
      </c>
      <c r="AY366" s="23">
        <v>65</v>
      </c>
      <c r="AZ366" s="23">
        <v>100</v>
      </c>
      <c r="BA366" s="23">
        <v>120</v>
      </c>
      <c r="BB366" s="23">
        <v>0</v>
      </c>
      <c r="BC366" s="19" t="s">
        <v>4470</v>
      </c>
      <c r="BD366" s="164" t="s">
        <v>6209</v>
      </c>
      <c r="BE366" s="164" t="s">
        <v>6209</v>
      </c>
      <c r="BF366" s="164">
        <v>2</v>
      </c>
      <c r="BG366" s="14">
        <v>6</v>
      </c>
      <c r="BH366" s="197" t="s">
        <v>5792</v>
      </c>
      <c r="BI366" s="198" t="s">
        <v>5792</v>
      </c>
      <c r="BJ366" s="198" t="s">
        <v>5792</v>
      </c>
      <c r="BK366" s="198" t="s">
        <v>5792</v>
      </c>
      <c r="BL366" s="198" t="s">
        <v>5792</v>
      </c>
      <c r="BM366" s="198" t="s">
        <v>5792</v>
      </c>
      <c r="BN366" s="198" t="s">
        <v>5792</v>
      </c>
      <c r="BO366" s="198" t="s">
        <v>5792</v>
      </c>
      <c r="BP366" s="197" t="s">
        <v>5792</v>
      </c>
      <c r="BQ366" s="198" t="s">
        <v>5792</v>
      </c>
      <c r="BR366" s="198" t="s">
        <v>5792</v>
      </c>
      <c r="BS366" s="198" t="s">
        <v>5792</v>
      </c>
      <c r="BT366" s="198" t="s">
        <v>5792</v>
      </c>
      <c r="BU366" s="198" t="s">
        <v>5792</v>
      </c>
      <c r="BV366" s="220" t="s">
        <v>5792</v>
      </c>
      <c r="BW366" s="197" t="s">
        <v>5792</v>
      </c>
      <c r="BX366" s="198" t="s">
        <v>5792</v>
      </c>
      <c r="BY366" s="198" t="s">
        <v>5792</v>
      </c>
      <c r="BZ366" s="198" t="s">
        <v>5792</v>
      </c>
      <c r="CA366" s="198" t="s">
        <v>5792</v>
      </c>
      <c r="CB366" s="220" t="s">
        <v>5792</v>
      </c>
      <c r="CC366" s="143" t="s">
        <v>4748</v>
      </c>
      <c r="CD366" s="164">
        <v>345</v>
      </c>
      <c r="CE366" s="23">
        <v>477.1</v>
      </c>
      <c r="CF366" s="164">
        <v>490</v>
      </c>
      <c r="CG366" s="23">
        <v>609.20000000000005</v>
      </c>
      <c r="CH366" s="83">
        <v>208750</v>
      </c>
      <c r="CI366" s="143" t="s">
        <v>5651</v>
      </c>
      <c r="CJ366" s="164">
        <v>235</v>
      </c>
      <c r="CK366" s="23">
        <v>261.89999999999998</v>
      </c>
      <c r="CL366" s="164">
        <v>370</v>
      </c>
      <c r="CM366" s="23">
        <v>401.35</v>
      </c>
      <c r="CN366" s="84">
        <v>194730</v>
      </c>
      <c r="CO366" s="143" t="s">
        <v>4748</v>
      </c>
      <c r="CP366" s="164">
        <v>345</v>
      </c>
      <c r="CQ366" s="23">
        <v>408.5</v>
      </c>
      <c r="CR366" s="164">
        <v>490</v>
      </c>
      <c r="CS366" s="23">
        <v>534.5</v>
      </c>
      <c r="CT366" s="83">
        <v>198260</v>
      </c>
      <c r="CU366" s="143" t="s">
        <v>5795</v>
      </c>
      <c r="CV366" s="23">
        <v>39.92</v>
      </c>
      <c r="CW366" s="77">
        <v>3</v>
      </c>
      <c r="CX366" s="83">
        <v>32700</v>
      </c>
      <c r="CY366" s="210" t="s">
        <v>5792</v>
      </c>
      <c r="CZ366" s="211" t="s">
        <v>5792</v>
      </c>
      <c r="DA366" s="212" t="s">
        <v>5792</v>
      </c>
      <c r="DB366" s="284" t="s">
        <v>5792</v>
      </c>
      <c r="DC366" s="164">
        <v>8.8000000000000007</v>
      </c>
      <c r="DD366" s="164">
        <v>640</v>
      </c>
      <c r="DE366" s="34">
        <v>730</v>
      </c>
      <c r="DF366" s="164">
        <v>800</v>
      </c>
      <c r="DG366" s="34">
        <v>940</v>
      </c>
      <c r="DH366" s="77">
        <v>200000</v>
      </c>
      <c r="DI366" s="27" t="s">
        <v>5648</v>
      </c>
      <c r="DJ366" s="143" t="s">
        <v>4435</v>
      </c>
      <c r="DK366" s="298" t="s">
        <v>6014</v>
      </c>
    </row>
  </sheetData>
  <sheetProtection algorithmName="SHA-512" hashValue="6gq/Ra8O7ag03wLtuCnQqlRkt8hNueWsF/tuIpe6rMSYMuY1Kf799Xypio31ker9GhUVTzODkXXiOuZNWqCEbw==" saltValue="NBUaljQpIQtxv6V8SsyTgw==" spinCount="100000" sheet="1" objects="1" scenarios="1"/>
  <mergeCells count="571"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G6:G29"/>
    <mergeCell ref="G30:G35"/>
    <mergeCell ref="G36:G47"/>
    <mergeCell ref="G48:G52"/>
    <mergeCell ref="G54:G76"/>
    <mergeCell ref="G77:G80"/>
    <mergeCell ref="G81:G86"/>
    <mergeCell ref="G87:G100"/>
    <mergeCell ref="C81:C86"/>
    <mergeCell ref="D81:D86"/>
    <mergeCell ref="E81:E86"/>
    <mergeCell ref="F81:F86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87:C100"/>
    <mergeCell ref="D87:D100"/>
    <mergeCell ref="E87:E100"/>
    <mergeCell ref="F87:F100"/>
    <mergeCell ref="H87:H100"/>
    <mergeCell ref="H81:H86"/>
    <mergeCell ref="C101:C108"/>
    <mergeCell ref="D101:D108"/>
    <mergeCell ref="E101:E108"/>
    <mergeCell ref="F101:F108"/>
    <mergeCell ref="H101:H108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BR4:BR5"/>
    <mergeCell ref="BS4:BS5"/>
    <mergeCell ref="BU4:BU5"/>
    <mergeCell ref="BV4:BV5"/>
    <mergeCell ref="BW4:BW5"/>
    <mergeCell ref="CA4:CA5"/>
    <mergeCell ref="BF4:BF5"/>
    <mergeCell ref="BH4:BH5"/>
    <mergeCell ref="CX4:CX5"/>
    <mergeCell ref="DJ1:DJ5"/>
    <mergeCell ref="DI1:DI5"/>
    <mergeCell ref="DC4:DC5"/>
    <mergeCell ref="DD4:DD5"/>
    <mergeCell ref="DE4:DE5"/>
    <mergeCell ref="DF4:DF5"/>
    <mergeCell ref="CS4:CS5"/>
    <mergeCell ref="DG4:DG5"/>
    <mergeCell ref="CZ4:CZ5"/>
    <mergeCell ref="DB4:DB5"/>
    <mergeCell ref="CY4:CY5"/>
    <mergeCell ref="CN4:CN5"/>
    <mergeCell ref="Z4:Z5"/>
    <mergeCell ref="AA4:AA5"/>
    <mergeCell ref="AB4:AB5"/>
    <mergeCell ref="AC4:AC5"/>
    <mergeCell ref="AD4:AD5"/>
    <mergeCell ref="BE4:BE5"/>
    <mergeCell ref="AS4:AS5"/>
    <mergeCell ref="AT4:AT5"/>
    <mergeCell ref="AU4:AU5"/>
    <mergeCell ref="AV4:AV5"/>
    <mergeCell ref="AW4:AW5"/>
    <mergeCell ref="BG4:BG5"/>
    <mergeCell ref="BI4:BI5"/>
    <mergeCell ref="BN4:BN5"/>
    <mergeCell ref="BP4:BP5"/>
    <mergeCell ref="BM4:BM5"/>
    <mergeCell ref="AN4:AN5"/>
    <mergeCell ref="BQ4:BQ5"/>
    <mergeCell ref="BK4:BK5"/>
    <mergeCell ref="BL4:BL5"/>
    <mergeCell ref="BC4:BC5"/>
    <mergeCell ref="BD4:BD5"/>
    <mergeCell ref="AO4:AO5"/>
    <mergeCell ref="AP4:AP5"/>
    <mergeCell ref="BO4:BO5"/>
    <mergeCell ref="BZ4:BZ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BT4:BT5"/>
    <mergeCell ref="AH4:AH5"/>
    <mergeCell ref="AI4:AI5"/>
    <mergeCell ref="AJ4:AJ5"/>
    <mergeCell ref="AX4:AX5"/>
    <mergeCell ref="AK4:AK5"/>
    <mergeCell ref="AL4:AL5"/>
    <mergeCell ref="BJ4:BJ5"/>
    <mergeCell ref="V4:V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CH4:CH5"/>
    <mergeCell ref="CI4:CI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56:B159"/>
    <mergeCell ref="B160:B165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I160:I165"/>
    <mergeCell ref="I166:I169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C6:C29"/>
    <mergeCell ref="D6:D29"/>
    <mergeCell ref="E6:E29"/>
    <mergeCell ref="F6:F29"/>
    <mergeCell ref="H6:H29"/>
    <mergeCell ref="C48:C52"/>
    <mergeCell ref="D48:D52"/>
    <mergeCell ref="E48:E52"/>
    <mergeCell ref="F48:F52"/>
    <mergeCell ref="H48:H52"/>
    <mergeCell ref="C54:C76"/>
    <mergeCell ref="I115:I118"/>
    <mergeCell ref="I119:I121"/>
    <mergeCell ref="I122:I127"/>
    <mergeCell ref="I128:I130"/>
    <mergeCell ref="I132:I136"/>
    <mergeCell ref="I137:I138"/>
    <mergeCell ref="I139:I145"/>
    <mergeCell ref="I146:I155"/>
    <mergeCell ref="I156:I159"/>
    <mergeCell ref="I48:I52"/>
    <mergeCell ref="I54:I76"/>
    <mergeCell ref="I77:I80"/>
    <mergeCell ref="I81:I86"/>
    <mergeCell ref="I87:I100"/>
    <mergeCell ref="I101:I108"/>
    <mergeCell ref="T4:T5"/>
    <mergeCell ref="U4:U5"/>
    <mergeCell ref="I109:I114"/>
    <mergeCell ref="W4:W5"/>
    <mergeCell ref="X4:X5"/>
    <mergeCell ref="AM4:AM5"/>
    <mergeCell ref="AE4:AE5"/>
    <mergeCell ref="AF4:AF5"/>
    <mergeCell ref="AG4:AG5"/>
    <mergeCell ref="I6:I29"/>
    <mergeCell ref="I30:I35"/>
    <mergeCell ref="I36:I47"/>
    <mergeCell ref="A1:Y3"/>
    <mergeCell ref="Z1:CB2"/>
    <mergeCell ref="CC1:DH2"/>
    <mergeCell ref="DK1:DK5"/>
    <mergeCell ref="Z3:AE3"/>
    <mergeCell ref="AF3:AM3"/>
    <mergeCell ref="AN3:AR3"/>
    <mergeCell ref="AS3:BG3"/>
    <mergeCell ref="BH3:BO3"/>
    <mergeCell ref="BP3:BV3"/>
    <mergeCell ref="BW3:CB3"/>
    <mergeCell ref="CC3:CH3"/>
    <mergeCell ref="CI3:CN3"/>
    <mergeCell ref="CO3:CT3"/>
    <mergeCell ref="CU3:CX3"/>
    <mergeCell ref="CY3:DA3"/>
    <mergeCell ref="DC3:DH3"/>
    <mergeCell ref="DH4:DH5"/>
    <mergeCell ref="DA4:DA5"/>
    <mergeCell ref="BX4:BX5"/>
    <mergeCell ref="BY4:BY5"/>
    <mergeCell ref="P4:P5"/>
    <mergeCell ref="Q4:Q5"/>
    <mergeCell ref="S4:S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44:B347"/>
    <mergeCell ref="C344:C347"/>
    <mergeCell ref="D344:D347"/>
    <mergeCell ref="E344:E347"/>
    <mergeCell ref="F344:F347"/>
    <mergeCell ref="G344:G347"/>
    <mergeCell ref="H344:H347"/>
    <mergeCell ref="I344:I347"/>
  </mergeCells>
  <conditionalFormatting sqref="U168">
    <cfRule type="cellIs" dxfId="88" priority="82" operator="equal">
      <formula>"NA"</formula>
    </cfRule>
  </conditionalFormatting>
  <conditionalFormatting sqref="S168">
    <cfRule type="cellIs" dxfId="87" priority="81" operator="equal">
      <formula>"NA"</formula>
    </cfRule>
  </conditionalFormatting>
  <conditionalFormatting sqref="L160:L165 L169 L172:L259">
    <cfRule type="cellIs" dxfId="86" priority="80" operator="equal">
      <formula>"NA"</formula>
    </cfRule>
  </conditionalFormatting>
  <conditionalFormatting sqref="L6:L159">
    <cfRule type="cellIs" dxfId="85" priority="79" operator="equal">
      <formula>"NA"</formula>
    </cfRule>
  </conditionalFormatting>
  <conditionalFormatting sqref="L271:L274">
    <cfRule type="cellIs" dxfId="84" priority="78" operator="equal">
      <formula>"NA"</formula>
    </cfRule>
  </conditionalFormatting>
  <conditionalFormatting sqref="L166:L167">
    <cfRule type="cellIs" dxfId="83" priority="77" operator="equal">
      <formula>"NA"</formula>
    </cfRule>
  </conditionalFormatting>
  <conditionalFormatting sqref="L168">
    <cfRule type="cellIs" dxfId="82" priority="76" operator="equal">
      <formula>"NA"</formula>
    </cfRule>
  </conditionalFormatting>
  <conditionalFormatting sqref="BR4:BR169 BR356:BR366 BR172:BR304 BR310:BR351">
    <cfRule type="cellIs" dxfId="81" priority="70" operator="equal">
      <formula>"NA"</formula>
    </cfRule>
  </conditionalFormatting>
  <conditionalFormatting sqref="DB4:DB5">
    <cfRule type="cellIs" dxfId="80" priority="69" operator="equal">
      <formula>"NA"</formula>
    </cfRule>
  </conditionalFormatting>
  <conditionalFormatting sqref="DB6:DB169 DB356:DB366 DB172:DB351">
    <cfRule type="cellIs" dxfId="79" priority="68" operator="equal">
      <formula>"NA"</formula>
    </cfRule>
  </conditionalFormatting>
  <conditionalFormatting sqref="I4:I5">
    <cfRule type="cellIs" dxfId="78" priority="67" operator="equal">
      <formula>"NA"</formula>
    </cfRule>
  </conditionalFormatting>
  <conditionalFormatting sqref="I6:I169 I356:I366">
    <cfRule type="cellIs" dxfId="77" priority="66" operator="equal">
      <formula>"NA"</formula>
    </cfRule>
  </conditionalFormatting>
  <conditionalFormatting sqref="B352:H355">
    <cfRule type="cellIs" dxfId="76" priority="65" operator="equal">
      <formula>"NA"</formula>
    </cfRule>
  </conditionalFormatting>
  <conditionalFormatting sqref="I352:I355">
    <cfRule type="cellIs" dxfId="75" priority="64" operator="equal">
      <formula>"NA"</formula>
    </cfRule>
  </conditionalFormatting>
  <conditionalFormatting sqref="M352:O355">
    <cfRule type="cellIs" dxfId="74" priority="63" operator="equal">
      <formula>"NA"</formula>
    </cfRule>
  </conditionalFormatting>
  <conditionalFormatting sqref="L352:L353">
    <cfRule type="cellIs" dxfId="73" priority="61" operator="equal">
      <formula>"NA"</formula>
    </cfRule>
  </conditionalFormatting>
  <conditionalFormatting sqref="L354">
    <cfRule type="cellIs" dxfId="72" priority="59" operator="equal">
      <formula>"NA"</formula>
    </cfRule>
  </conditionalFormatting>
  <conditionalFormatting sqref="Z352:AE355">
    <cfRule type="cellIs" dxfId="71" priority="54" operator="equal">
      <formula>"NA"</formula>
    </cfRule>
  </conditionalFormatting>
  <conditionalFormatting sqref="BD352:BG352">
    <cfRule type="cellIs" dxfId="70" priority="52" operator="equal">
      <formula>"NA"</formula>
    </cfRule>
  </conditionalFormatting>
  <conditionalFormatting sqref="BY352:BY355">
    <cfRule type="cellIs" dxfId="69" priority="50" operator="equal">
      <formula>"NA"</formula>
    </cfRule>
  </conditionalFormatting>
  <conditionalFormatting sqref="BK352:BM355">
    <cfRule type="cellIs" dxfId="68" priority="49" operator="equal">
      <formula>"NA"</formula>
    </cfRule>
  </conditionalFormatting>
  <conditionalFormatting sqref="BR352:BR355">
    <cfRule type="cellIs" dxfId="67" priority="48" operator="equal">
      <formula>"NA"</formula>
    </cfRule>
  </conditionalFormatting>
  <conditionalFormatting sqref="BC362:BG363">
    <cfRule type="cellIs" dxfId="66" priority="47" operator="equal">
      <formula>"NA"</formula>
    </cfRule>
  </conditionalFormatting>
  <conditionalFormatting sqref="BC361:BG361">
    <cfRule type="cellIs" dxfId="65" priority="46" operator="equal">
      <formula>"NA"</formula>
    </cfRule>
  </conditionalFormatting>
  <conditionalFormatting sqref="CC352:CH355">
    <cfRule type="cellIs" dxfId="64" priority="45" operator="equal">
      <formula>"NA"</formula>
    </cfRule>
  </conditionalFormatting>
  <conditionalFormatting sqref="CI352:CN355">
    <cfRule type="cellIs" dxfId="63" priority="44" operator="equal">
      <formula>"NA"</formula>
    </cfRule>
  </conditionalFormatting>
  <conditionalFormatting sqref="CO352:CT355">
    <cfRule type="cellIs" dxfId="62" priority="43" operator="equal">
      <formula>"NA"</formula>
    </cfRule>
  </conditionalFormatting>
  <conditionalFormatting sqref="CU352:DA355">
    <cfRule type="cellIs" dxfId="61" priority="42" operator="equal">
      <formula>"NA"</formula>
    </cfRule>
  </conditionalFormatting>
  <conditionalFormatting sqref="DB352:DB355">
    <cfRule type="cellIs" dxfId="60" priority="41" operator="equal">
      <formula>"NA"</formula>
    </cfRule>
  </conditionalFormatting>
  <conditionalFormatting sqref="DC352:DH353">
    <cfRule type="cellIs" dxfId="59" priority="40" operator="equal">
      <formula>"NA"</formula>
    </cfRule>
  </conditionalFormatting>
  <conditionalFormatting sqref="DI352:DK355">
    <cfRule type="cellIs" dxfId="58" priority="39" operator="equal">
      <formula>"NA"</formula>
    </cfRule>
  </conditionalFormatting>
  <conditionalFormatting sqref="AT353:AU355 AT352">
    <cfRule type="cellIs" dxfId="57" priority="38" operator="equal">
      <formula>"NA"</formula>
    </cfRule>
  </conditionalFormatting>
  <conditionalFormatting sqref="AU352">
    <cfRule type="cellIs" dxfId="56" priority="37" operator="equal">
      <formula>"NA"</formula>
    </cfRule>
  </conditionalFormatting>
  <conditionalFormatting sqref="K170:AE171">
    <cfRule type="cellIs" dxfId="55" priority="33" operator="equal">
      <formula>"NA"</formula>
    </cfRule>
  </conditionalFormatting>
  <conditionalFormatting sqref="A166:A169 A172:A298">
    <cfRule type="cellIs" dxfId="54" priority="32" operator="equal">
      <formula>"NA"</formula>
    </cfRule>
  </conditionalFormatting>
  <conditionalFormatting sqref="BK170:BM171">
    <cfRule type="cellIs" dxfId="53" priority="28" operator="equal">
      <formula>"NA"</formula>
    </cfRule>
  </conditionalFormatting>
  <conditionalFormatting sqref="BR170:BR171">
    <cfRule type="cellIs" dxfId="52" priority="27" operator="equal">
      <formula>"NA"</formula>
    </cfRule>
  </conditionalFormatting>
  <conditionalFormatting sqref="CC170:CD171">
    <cfRule type="cellIs" dxfId="51" priority="26" operator="equal">
      <formula>"NA"</formula>
    </cfRule>
  </conditionalFormatting>
  <conditionalFormatting sqref="CH170:CH171">
    <cfRule type="cellIs" dxfId="50" priority="25" operator="equal">
      <formula>"NA"</formula>
    </cfRule>
  </conditionalFormatting>
  <conditionalFormatting sqref="CF170:CF171">
    <cfRule type="cellIs" dxfId="49" priority="24" operator="equal">
      <formula>"NA"</formula>
    </cfRule>
  </conditionalFormatting>
  <conditionalFormatting sqref="CE170:CE172">
    <cfRule type="cellIs" dxfId="48" priority="23" operator="equal">
      <formula>"NA"</formula>
    </cfRule>
  </conditionalFormatting>
  <conditionalFormatting sqref="CG170:CG172">
    <cfRule type="cellIs" dxfId="47" priority="22" operator="equal">
      <formula>"NA"</formula>
    </cfRule>
  </conditionalFormatting>
  <conditionalFormatting sqref="CI172:CJ172 CL172 CN172">
    <cfRule type="cellIs" dxfId="46" priority="21" operator="equal">
      <formula>"NA"</formula>
    </cfRule>
  </conditionalFormatting>
  <conditionalFormatting sqref="CI170:CJ171">
    <cfRule type="cellIs" dxfId="45" priority="20" operator="equal">
      <formula>"NA"</formula>
    </cfRule>
  </conditionalFormatting>
  <conditionalFormatting sqref="CN170:CN171">
    <cfRule type="cellIs" dxfId="44" priority="19" operator="equal">
      <formula>"NA"</formula>
    </cfRule>
  </conditionalFormatting>
  <conditionalFormatting sqref="CL170:CL171">
    <cfRule type="cellIs" dxfId="43" priority="18" operator="equal">
      <formula>"NA"</formula>
    </cfRule>
  </conditionalFormatting>
  <conditionalFormatting sqref="CK170:CK172">
    <cfRule type="cellIs" dxfId="42" priority="17" operator="equal">
      <formula>"NA"</formula>
    </cfRule>
  </conditionalFormatting>
  <conditionalFormatting sqref="CM170:CM172">
    <cfRule type="cellIs" dxfId="41" priority="16" operator="equal">
      <formula>"NA"</formula>
    </cfRule>
  </conditionalFormatting>
  <conditionalFormatting sqref="CO172:CP172 CR172 CT172">
    <cfRule type="cellIs" dxfId="40" priority="15" operator="equal">
      <formula>"NA"</formula>
    </cfRule>
  </conditionalFormatting>
  <conditionalFormatting sqref="CO170:CP171">
    <cfRule type="cellIs" dxfId="39" priority="14" operator="equal">
      <formula>"NA"</formula>
    </cfRule>
  </conditionalFormatting>
  <conditionalFormatting sqref="CT170:CT171">
    <cfRule type="cellIs" dxfId="38" priority="13" operator="equal">
      <formula>"NA"</formula>
    </cfRule>
  </conditionalFormatting>
  <conditionalFormatting sqref="CR170:CR171">
    <cfRule type="cellIs" dxfId="37" priority="12" operator="equal">
      <formula>"NA"</formula>
    </cfRule>
  </conditionalFormatting>
  <conditionalFormatting sqref="CQ170:CQ172">
    <cfRule type="cellIs" dxfId="36" priority="11" operator="equal">
      <formula>"NA"</formula>
    </cfRule>
  </conditionalFormatting>
  <conditionalFormatting sqref="CS170:CS172">
    <cfRule type="cellIs" dxfId="35" priority="10" operator="equal">
      <formula>"NA"</formula>
    </cfRule>
  </conditionalFormatting>
  <conditionalFormatting sqref="DC170:DF171 CU170:DA171">
    <cfRule type="cellIs" dxfId="34" priority="9" operator="equal">
      <formula>"NA"</formula>
    </cfRule>
  </conditionalFormatting>
  <conditionalFormatting sqref="DB170:DB171">
    <cfRule type="cellIs" dxfId="33" priority="8" operator="equal">
      <formula>"NA"</formula>
    </cfRule>
  </conditionalFormatting>
  <conditionalFormatting sqref="DG170:DH171">
    <cfRule type="cellIs" dxfId="32" priority="7" operator="equal">
      <formula>"NA"</formula>
    </cfRule>
  </conditionalFormatting>
  <conditionalFormatting sqref="DI170:DK171">
    <cfRule type="cellIs" dxfId="31" priority="6" operator="equal">
      <formula>"NA"</formula>
    </cfRule>
  </conditionalFormatting>
  <conditionalFormatting sqref="BZ305:CB309 BN305:BQ309 BS305:BX309 BH305:BJ309">
    <cfRule type="cellIs" dxfId="30" priority="5" operator="equal">
      <formula>"NA"</formula>
    </cfRule>
  </conditionalFormatting>
  <conditionalFormatting sqref="BY305:BY309">
    <cfRule type="cellIs" dxfId="29" priority="4" operator="equal">
      <formula>"NA"</formula>
    </cfRule>
  </conditionalFormatting>
  <conditionalFormatting sqref="BK305:BM309">
    <cfRule type="cellIs" dxfId="28" priority="3" operator="equal">
      <formula>"NA"</formula>
    </cfRule>
  </conditionalFormatting>
  <conditionalFormatting sqref="BR305:BR309">
    <cfRule type="cellIs" dxfId="27" priority="2" operator="equal">
      <formula>"NA"</formula>
    </cfRule>
  </conditionalFormatting>
  <conditionalFormatting sqref="A299:A366">
    <cfRule type="cellIs" dxfId="26" priority="1" operator="equal">
      <formula>"NA"</formula>
    </cfRule>
  </conditionalFormatting>
  <conditionalFormatting sqref="AS182:AU183">
    <cfRule type="uniqueValues" dxfId="25" priority="89"/>
  </conditionalFormatting>
  <conditionalFormatting sqref="AS191:AS192">
    <cfRule type="uniqueValues" dxfId="24" priority="88"/>
  </conditionalFormatting>
  <conditionalFormatting sqref="U6:U165 S160:S165 U169 S169 L260:L270 U356:U366 L356:L366 S356:S366 S172:S270 L275:L351 S275:S351 U172:U351">
    <cfRule type="cellIs" dxfId="23" priority="87" operator="equal">
      <formula>"NA"</formula>
    </cfRule>
  </conditionalFormatting>
  <conditionalFormatting sqref="S6:S159">
    <cfRule type="cellIs" dxfId="22" priority="86" operator="equal">
      <formula>"NA"</formula>
    </cfRule>
  </conditionalFormatting>
  <conditionalFormatting sqref="S271:S274">
    <cfRule type="cellIs" dxfId="21" priority="85" operator="equal">
      <formula>"NA"</formula>
    </cfRule>
  </conditionalFormatting>
  <conditionalFormatting sqref="U166:U167">
    <cfRule type="cellIs" dxfId="20" priority="84" operator="equal">
      <formula>"NA"</formula>
    </cfRule>
  </conditionalFormatting>
  <conditionalFormatting sqref="S166:S167">
    <cfRule type="cellIs" dxfId="19" priority="83" operator="equal">
      <formula>"NA"</formula>
    </cfRule>
  </conditionalFormatting>
  <conditionalFormatting sqref="CA161:DA165 BZ4:DA160 BS161:BW165 BS166:BX169 BS4:BX160 BN4:BQ169 BF5:BJ5 BH361:BJ363 A1:DK3 J4:BJ4 J5:BC5 J361:BB363 J364:BJ366 DC4:DK169 J352:K355 AN352:AN355 AO352:AR354 AP355:AR355 AZ352:BC355 DC354:DH355 DC356:DK366 J356:BJ360 BZ356:DA366 B356:H366 BN356:BQ366 BS356:BX366 J6:BJ169 BN172:BQ304 BS172:BX304 J170:J171 J172:BJ172 B170:I170 A4:H165 B166:H169 BZ166:DA169 BZ172:CD172 CF172 CH172 CU172:DA172 B173:BJ304 B310:BJ351 J306:J309 B305:J305 BS310:BX351 BN310:BQ351 BZ173:DA304 BZ310:DA351 CC305:DA309 DC172:DK351 K305:BG309">
    <cfRule type="cellIs" dxfId="18" priority="75" operator="equal">
      <formula>"NA"</formula>
    </cfRule>
  </conditionalFormatting>
  <conditionalFormatting sqref="BX161:BX165 BZ161:BZ165">
    <cfRule type="cellIs" dxfId="17" priority="74" operator="equal">
      <formula>"NA"</formula>
    </cfRule>
  </conditionalFormatting>
  <conditionalFormatting sqref="BY4:BY160 BY166:BY169 BY356:BY366 BY172:BY304 BY310:BY351">
    <cfRule type="cellIs" dxfId="16" priority="73" operator="equal">
      <formula>"NA"</formula>
    </cfRule>
  </conditionalFormatting>
  <conditionalFormatting sqref="BY161:BY165">
    <cfRule type="cellIs" dxfId="15" priority="72" operator="equal">
      <formula>"NA"</formula>
    </cfRule>
  </conditionalFormatting>
  <conditionalFormatting sqref="BK4:BM169 BK356:BM366 BK172:BM304 BK310:BM351">
    <cfRule type="cellIs" dxfId="14" priority="71" operator="equal">
      <formula>"NA"</formula>
    </cfRule>
  </conditionalFormatting>
  <conditionalFormatting sqref="L352:L353">
    <cfRule type="cellIs" dxfId="13" priority="62" operator="equal">
      <formula>"NA"</formula>
    </cfRule>
  </conditionalFormatting>
  <conditionalFormatting sqref="L354">
    <cfRule type="cellIs" dxfId="12" priority="60" operator="equal">
      <formula>"NA"</formula>
    </cfRule>
  </conditionalFormatting>
  <conditionalFormatting sqref="L355">
    <cfRule type="cellIs" dxfId="11" priority="58" operator="equal">
      <formula>"NA"</formula>
    </cfRule>
  </conditionalFormatting>
  <conditionalFormatting sqref="L355">
    <cfRule type="cellIs" dxfId="10" priority="57" operator="equal">
      <formula>"NA"</formula>
    </cfRule>
  </conditionalFormatting>
  <conditionalFormatting sqref="S352:S355 U352:U355">
    <cfRule type="cellIs" dxfId="9" priority="56" operator="equal">
      <formula>"NA"</formula>
    </cfRule>
  </conditionalFormatting>
  <conditionalFormatting sqref="P352:U355">
    <cfRule type="cellIs" dxfId="8" priority="55" operator="equal">
      <formula>"NA"</formula>
    </cfRule>
  </conditionalFormatting>
  <conditionalFormatting sqref="BD353:BG355">
    <cfRule type="cellIs" dxfId="7" priority="53" operator="equal">
      <formula>"NA"</formula>
    </cfRule>
  </conditionalFormatting>
  <conditionalFormatting sqref="BS352:BX355 BN352:BQ355 BZ352:CB355 BH352:BJ355">
    <cfRule type="cellIs" dxfId="6" priority="51" operator="equal">
      <formula>"NA"</formula>
    </cfRule>
  </conditionalFormatting>
  <conditionalFormatting sqref="U170:U171">
    <cfRule type="cellIs" dxfId="5" priority="36" operator="equal">
      <formula>"NA"</formula>
    </cfRule>
  </conditionalFormatting>
  <conditionalFormatting sqref="S170:S171">
    <cfRule type="cellIs" dxfId="4" priority="35" operator="equal">
      <formula>"NA"</formula>
    </cfRule>
  </conditionalFormatting>
  <conditionalFormatting sqref="L170:L171">
    <cfRule type="cellIs" dxfId="3" priority="34" operator="equal">
      <formula>"NA"</formula>
    </cfRule>
  </conditionalFormatting>
  <conditionalFormatting sqref="A170:A171">
    <cfRule type="cellIs" dxfId="2" priority="31" operator="equal">
      <formula>"NA"</formula>
    </cfRule>
  </conditionalFormatting>
  <conditionalFormatting sqref="BS170:BX171 BN170:BQ171 BZ170:CB171 AF170:BJ171">
    <cfRule type="cellIs" dxfId="1" priority="30" operator="equal">
      <formula>"NA"</formula>
    </cfRule>
  </conditionalFormatting>
  <conditionalFormatting sqref="BY170:BY171">
    <cfRule type="cellIs" dxfId="0" priority="29" operator="equal">
      <formula>"NA"</formula>
    </cfRule>
  </conditionalFormatting>
  <hyperlinks>
    <hyperlink ref="BW334" r:id="rId1"/>
    <hyperlink ref="BW335" r:id="rId2"/>
    <hyperlink ref="BW336" r:id="rId3"/>
    <hyperlink ref="BW337" r:id="rId4"/>
    <hyperlink ref="BW356" r:id="rId5" display="Ф10@150"/>
    <hyperlink ref="BW357" r:id="rId6" display="Ф10@150"/>
    <hyperlink ref="BW347" r:id="rId7" display="Ф10@150"/>
    <hyperlink ref="BW345" r:id="rId8" display="Ф10@150"/>
    <hyperlink ref="BW346" r:id="rId9" display="Ф10@150"/>
    <hyperlink ref="BW271" r:id="rId10" display="Ф10@150"/>
    <hyperlink ref="BW311" r:id="rId11" display="Ф10@150"/>
    <hyperlink ref="BW312" r:id="rId12" display="Ф10@150"/>
    <hyperlink ref="BW332" r:id="rId13"/>
    <hyperlink ref="BW333" r:id="rId14"/>
    <hyperlink ref="BW329" r:id="rId15"/>
    <hyperlink ref="BW330" r:id="rId16"/>
    <hyperlink ref="BW292" r:id="rId17" display="Ф10@150"/>
    <hyperlink ref="BW294" r:id="rId18" display="Ф10@150"/>
    <hyperlink ref="BW293" r:id="rId19" display="Ф10@150"/>
    <hyperlink ref="BW137" r:id="rId20" display="Ф10@150"/>
    <hyperlink ref="BW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73" bestFit="1" customWidth="1"/>
    <col min="2" max="2" width="20.796875" style="173" bestFit="1" customWidth="1"/>
    <col min="3" max="16" width="8.796875" style="189"/>
    <col min="17" max="17" width="11" style="189" bestFit="1" customWidth="1"/>
    <col min="18" max="22" width="8.796875" style="189"/>
    <col min="23" max="23" width="8.796875" style="173"/>
    <col min="24" max="24" width="13.19921875" style="173" bestFit="1" customWidth="1"/>
    <col min="25" max="25" width="12.09765625" style="173" bestFit="1" customWidth="1"/>
    <col min="26" max="26" width="13.19921875" style="173" bestFit="1" customWidth="1"/>
    <col min="27" max="27" width="12.09765625" style="173" bestFit="1" customWidth="1"/>
    <col min="28" max="16384" width="8.796875" style="173"/>
  </cols>
  <sheetData>
    <row r="1" spans="1:22">
      <c r="A1" s="3" t="s">
        <v>13</v>
      </c>
      <c r="B1" s="4" t="s">
        <v>5048</v>
      </c>
      <c r="C1" s="180" t="s">
        <v>14</v>
      </c>
      <c r="D1" s="180" t="s">
        <v>5</v>
      </c>
      <c r="E1" s="180" t="s">
        <v>3869</v>
      </c>
      <c r="F1" s="180" t="s">
        <v>4394</v>
      </c>
      <c r="G1" s="180" t="s">
        <v>4396</v>
      </c>
      <c r="H1" s="180" t="s">
        <v>4395</v>
      </c>
      <c r="I1" s="180" t="s">
        <v>4437</v>
      </c>
      <c r="J1" s="180" t="s">
        <v>3868</v>
      </c>
      <c r="K1" s="180" t="s">
        <v>5049</v>
      </c>
      <c r="L1" s="180" t="s">
        <v>5050</v>
      </c>
      <c r="M1" s="180" t="s">
        <v>3870</v>
      </c>
      <c r="N1" s="180" t="s">
        <v>3872</v>
      </c>
      <c r="O1" s="180" t="s">
        <v>3871</v>
      </c>
      <c r="P1" s="180" t="s">
        <v>3873</v>
      </c>
      <c r="Q1" s="180" t="s">
        <v>3874</v>
      </c>
      <c r="R1" s="180" t="s">
        <v>3876</v>
      </c>
      <c r="S1" s="180" t="s">
        <v>3875</v>
      </c>
      <c r="T1" s="180" t="s">
        <v>3877</v>
      </c>
      <c r="U1" s="180" t="s">
        <v>9</v>
      </c>
      <c r="V1" s="180" t="s">
        <v>5051</v>
      </c>
    </row>
    <row r="2" spans="1:22">
      <c r="A2" s="2" t="s">
        <v>19</v>
      </c>
      <c r="B2" s="2" t="s">
        <v>20</v>
      </c>
      <c r="C2" s="181">
        <v>498.53359999999998</v>
      </c>
      <c r="D2" s="181">
        <v>63419.227999999996</v>
      </c>
      <c r="E2" s="181">
        <v>1117.5999999999999</v>
      </c>
      <c r="F2" s="181">
        <v>406.4</v>
      </c>
      <c r="G2" s="181">
        <v>25.907999999999998</v>
      </c>
      <c r="H2" s="181">
        <v>44.957999999999998</v>
      </c>
      <c r="I2" s="181">
        <v>0</v>
      </c>
      <c r="J2" s="181">
        <v>21.716999999999999</v>
      </c>
      <c r="K2" s="181">
        <v>4.51</v>
      </c>
      <c r="L2" s="181">
        <v>38.1</v>
      </c>
      <c r="M2" s="181">
        <v>12944797336.159998</v>
      </c>
      <c r="N2" s="181">
        <v>26547043.679999996</v>
      </c>
      <c r="O2" s="181">
        <v>23105760.239999998</v>
      </c>
      <c r="P2" s="181">
        <v>452.12</v>
      </c>
      <c r="Q2" s="181">
        <v>499477710.71999997</v>
      </c>
      <c r="R2" s="181">
        <v>3867347.1039999998</v>
      </c>
      <c r="S2" s="181">
        <v>2474446.6639999999</v>
      </c>
      <c r="T2" s="181">
        <v>88.899999999999991</v>
      </c>
      <c r="U2" s="181">
        <v>30967618.06464</v>
      </c>
      <c r="V2" s="181">
        <v>143935224465491.44</v>
      </c>
    </row>
    <row r="3" spans="1:22">
      <c r="A3" s="2" t="s">
        <v>21</v>
      </c>
      <c r="B3" s="2" t="s">
        <v>22</v>
      </c>
      <c r="C3" s="181">
        <v>431.56639999999999</v>
      </c>
      <c r="D3" s="181">
        <v>55354.727999999996</v>
      </c>
      <c r="E3" s="181">
        <v>1107.44</v>
      </c>
      <c r="F3" s="181">
        <v>401.32</v>
      </c>
      <c r="G3" s="181">
        <v>22.097999999999999</v>
      </c>
      <c r="H3" s="181">
        <v>40.131999999999998</v>
      </c>
      <c r="I3" s="181">
        <v>0</v>
      </c>
      <c r="J3" s="181">
        <v>21.780499999999996</v>
      </c>
      <c r="K3" s="181">
        <v>5.01</v>
      </c>
      <c r="L3" s="181">
        <v>44.7</v>
      </c>
      <c r="M3" s="181">
        <v>11279871633.759998</v>
      </c>
      <c r="N3" s="181">
        <v>23269630.879999999</v>
      </c>
      <c r="O3" s="181">
        <v>20319959.359999999</v>
      </c>
      <c r="P3" s="181">
        <v>452.12</v>
      </c>
      <c r="Q3" s="181">
        <v>437042996.87999994</v>
      </c>
      <c r="R3" s="181">
        <v>3375735.1839999999</v>
      </c>
      <c r="S3" s="181">
        <v>2163092.4479999999</v>
      </c>
      <c r="T3" s="181">
        <v>88.646000000000001</v>
      </c>
      <c r="U3" s="181">
        <v>21435918.418399997</v>
      </c>
      <c r="V3" s="181">
        <v>124600642074604.53</v>
      </c>
    </row>
    <row r="4" spans="1:22">
      <c r="A4" s="2" t="s">
        <v>23</v>
      </c>
      <c r="B4" s="2" t="s">
        <v>24</v>
      </c>
      <c r="C4" s="181">
        <v>389.89792</v>
      </c>
      <c r="D4" s="181">
        <v>49806.351999999999</v>
      </c>
      <c r="E4" s="181">
        <v>1099.82</v>
      </c>
      <c r="F4" s="181">
        <v>401.32</v>
      </c>
      <c r="G4" s="181">
        <v>20.065999999999999</v>
      </c>
      <c r="H4" s="181">
        <v>36.067999999999998</v>
      </c>
      <c r="I4" s="181">
        <v>0</v>
      </c>
      <c r="J4" s="181">
        <v>21.082000000000001</v>
      </c>
      <c r="K4" s="181">
        <v>5.55</v>
      </c>
      <c r="L4" s="181">
        <v>49.2</v>
      </c>
      <c r="M4" s="181">
        <v>10072800499.519999</v>
      </c>
      <c r="N4" s="181">
        <v>20811571.279999997</v>
      </c>
      <c r="O4" s="181">
        <v>18353511.68</v>
      </c>
      <c r="P4" s="181">
        <v>449.58</v>
      </c>
      <c r="Q4" s="181">
        <v>385846531.53119993</v>
      </c>
      <c r="R4" s="181">
        <v>2998832.7119999998</v>
      </c>
      <c r="S4" s="181">
        <v>1933673.5519999999</v>
      </c>
      <c r="T4" s="181">
        <v>87.884</v>
      </c>
      <c r="U4" s="181">
        <v>15691924.74512</v>
      </c>
      <c r="V4" s="181">
        <v>109294097681819.06</v>
      </c>
    </row>
    <row r="5" spans="1:22">
      <c r="A5" s="2" t="s">
        <v>25</v>
      </c>
      <c r="B5" s="2" t="s">
        <v>26</v>
      </c>
      <c r="C5" s="181">
        <v>342.27679999999998</v>
      </c>
      <c r="D5" s="181">
        <v>43677.332000000002</v>
      </c>
      <c r="E5" s="181">
        <v>1089.6599999999999</v>
      </c>
      <c r="F5" s="181">
        <v>401.32</v>
      </c>
      <c r="G5" s="181">
        <v>18.033999999999999</v>
      </c>
      <c r="H5" s="181">
        <v>30.987999999999996</v>
      </c>
      <c r="I5" s="181">
        <v>0</v>
      </c>
      <c r="J5" s="181">
        <v>21.3995</v>
      </c>
      <c r="K5" s="181">
        <v>6.45</v>
      </c>
      <c r="L5" s="181">
        <v>54.8</v>
      </c>
      <c r="M5" s="181">
        <v>8657613652.4799995</v>
      </c>
      <c r="N5" s="181">
        <v>18025770.399999999</v>
      </c>
      <c r="O5" s="181">
        <v>15911839.143999999</v>
      </c>
      <c r="P5" s="181">
        <v>444.5</v>
      </c>
      <c r="Q5" s="181">
        <v>331320214.77759999</v>
      </c>
      <c r="R5" s="181">
        <v>2572769.048</v>
      </c>
      <c r="S5" s="181">
        <v>1655093.4639999999</v>
      </c>
      <c r="T5" s="181">
        <v>87.122</v>
      </c>
      <c r="U5" s="181">
        <v>10364162.497439999</v>
      </c>
      <c r="V5" s="181">
        <v>92913409822873.203</v>
      </c>
    </row>
    <row r="6" spans="1:22">
      <c r="A6" s="2" t="s">
        <v>27</v>
      </c>
      <c r="B6" s="2" t="s">
        <v>28</v>
      </c>
      <c r="C6" s="181">
        <v>882.47888</v>
      </c>
      <c r="D6" s="181">
        <v>112257.84</v>
      </c>
      <c r="E6" s="181">
        <v>1092.2</v>
      </c>
      <c r="F6" s="181">
        <v>424.17999999999995</v>
      </c>
      <c r="G6" s="181">
        <v>45.466000000000001</v>
      </c>
      <c r="H6" s="181">
        <v>82.042000000000002</v>
      </c>
      <c r="I6" s="181">
        <v>0</v>
      </c>
      <c r="J6" s="181">
        <v>32.257999999999996</v>
      </c>
      <c r="K6" s="181">
        <v>2.58</v>
      </c>
      <c r="L6" s="181">
        <v>19.100000000000001</v>
      </c>
      <c r="M6" s="181">
        <v>20978063850.239998</v>
      </c>
      <c r="N6" s="181">
        <v>45228296.639999993</v>
      </c>
      <c r="O6" s="181">
        <v>38345729.759999998</v>
      </c>
      <c r="P6" s="181">
        <v>431.79999999999995</v>
      </c>
      <c r="Q6" s="181">
        <v>1048903192.5119998</v>
      </c>
      <c r="R6" s="181">
        <v>7882177.7839999991</v>
      </c>
      <c r="S6" s="181">
        <v>4948893.3279999997</v>
      </c>
      <c r="T6" s="181">
        <v>96.52</v>
      </c>
      <c r="U6" s="181">
        <v>185222984.39199999</v>
      </c>
      <c r="V6" s="181">
        <v>267461723073935.59</v>
      </c>
    </row>
    <row r="7" spans="1:22">
      <c r="A7" s="2" t="s">
        <v>29</v>
      </c>
      <c r="B7" s="2" t="s">
        <v>30</v>
      </c>
      <c r="C7" s="181">
        <v>748.54447999999991</v>
      </c>
      <c r="D7" s="181">
        <v>95483.68</v>
      </c>
      <c r="E7" s="181">
        <v>1069.3399999999999</v>
      </c>
      <c r="F7" s="181">
        <v>416.55999999999995</v>
      </c>
      <c r="G7" s="181">
        <v>39.116</v>
      </c>
      <c r="H7" s="181">
        <v>70.103999999999985</v>
      </c>
      <c r="I7" s="181">
        <v>0</v>
      </c>
      <c r="J7" s="181">
        <v>31.496000000000009</v>
      </c>
      <c r="K7" s="181">
        <v>2.97</v>
      </c>
      <c r="L7" s="181">
        <v>22.2</v>
      </c>
      <c r="M7" s="181">
        <v>17356850447.519997</v>
      </c>
      <c r="N7" s="181">
        <v>38017988.479999997</v>
      </c>
      <c r="O7" s="181">
        <v>32446386.719999999</v>
      </c>
      <c r="P7" s="181">
        <v>426.71999999999997</v>
      </c>
      <c r="Q7" s="181">
        <v>853274422.4799999</v>
      </c>
      <c r="R7" s="181">
        <v>6472890.2799999993</v>
      </c>
      <c r="S7" s="181">
        <v>4096765.9999999995</v>
      </c>
      <c r="T7" s="181">
        <v>94.488</v>
      </c>
      <c r="U7" s="181">
        <v>116128567.74239999</v>
      </c>
      <c r="V7" s="181">
        <v>212411870433215.94</v>
      </c>
    </row>
    <row r="8" spans="1:22">
      <c r="A8" s="2" t="s">
        <v>31</v>
      </c>
      <c r="B8" s="2" t="s">
        <v>32</v>
      </c>
      <c r="C8" s="181">
        <v>641.39695999999992</v>
      </c>
      <c r="D8" s="181">
        <v>81935.319999999992</v>
      </c>
      <c r="E8" s="181">
        <v>1049.02</v>
      </c>
      <c r="F8" s="181">
        <v>411.47999999999996</v>
      </c>
      <c r="G8" s="181">
        <v>34.036000000000001</v>
      </c>
      <c r="H8" s="181">
        <v>59.943999999999996</v>
      </c>
      <c r="I8" s="181">
        <v>0</v>
      </c>
      <c r="J8" s="181">
        <v>32.130999999999993</v>
      </c>
      <c r="K8" s="181">
        <v>3.44</v>
      </c>
      <c r="L8" s="181">
        <v>25.5</v>
      </c>
      <c r="M8" s="181">
        <v>14484853610.879999</v>
      </c>
      <c r="N8" s="181">
        <v>32118645.439999998</v>
      </c>
      <c r="O8" s="181">
        <v>27694138.159999996</v>
      </c>
      <c r="P8" s="181">
        <v>421.64</v>
      </c>
      <c r="Q8" s="181">
        <v>703431109.26399994</v>
      </c>
      <c r="R8" s="181">
        <v>5374956.9919999996</v>
      </c>
      <c r="S8" s="181">
        <v>3408509.3119999999</v>
      </c>
      <c r="T8" s="181">
        <v>92.71</v>
      </c>
      <c r="U8" s="181">
        <v>73672962.331199989</v>
      </c>
      <c r="V8" s="181">
        <v>171594418719121.34</v>
      </c>
    </row>
    <row r="9" spans="1:22">
      <c r="A9" s="2" t="s">
        <v>33</v>
      </c>
      <c r="B9" s="2" t="s">
        <v>34</v>
      </c>
      <c r="C9" s="181">
        <v>590.79951999999992</v>
      </c>
      <c r="D9" s="181">
        <v>75483.72</v>
      </c>
      <c r="E9" s="181">
        <v>1041.3999999999999</v>
      </c>
      <c r="F9" s="181">
        <v>408.94</v>
      </c>
      <c r="G9" s="181">
        <v>30.987999999999996</v>
      </c>
      <c r="H9" s="181">
        <v>55.88</v>
      </c>
      <c r="I9" s="181">
        <v>0</v>
      </c>
      <c r="J9" s="181">
        <v>33.019999999999989</v>
      </c>
      <c r="K9" s="181">
        <v>3.66</v>
      </c>
      <c r="L9" s="181">
        <v>28</v>
      </c>
      <c r="M9" s="181">
        <v>13319405619.199999</v>
      </c>
      <c r="N9" s="181">
        <v>29496715.199999996</v>
      </c>
      <c r="O9" s="181">
        <v>25563819.839999996</v>
      </c>
      <c r="P9" s="181">
        <v>421.64</v>
      </c>
      <c r="Q9" s="181">
        <v>640996395.42399991</v>
      </c>
      <c r="R9" s="181">
        <v>4916119.1999999993</v>
      </c>
      <c r="S9" s="181">
        <v>3129929.2239999999</v>
      </c>
      <c r="T9" s="181">
        <v>92.456000000000003</v>
      </c>
      <c r="U9" s="181">
        <v>59104862.435199991</v>
      </c>
      <c r="V9" s="181">
        <v>155213730860175.47</v>
      </c>
    </row>
    <row r="10" spans="1:22">
      <c r="A10" s="2" t="s">
        <v>35</v>
      </c>
      <c r="B10" s="2" t="s">
        <v>36</v>
      </c>
      <c r="C10" s="181">
        <v>553.59551999999996</v>
      </c>
      <c r="D10" s="181">
        <v>70322.44</v>
      </c>
      <c r="E10" s="181">
        <v>1031.24</v>
      </c>
      <c r="F10" s="181">
        <v>408.94</v>
      </c>
      <c r="G10" s="181">
        <v>29.463999999999995</v>
      </c>
      <c r="H10" s="181">
        <v>52.069999999999993</v>
      </c>
      <c r="I10" s="181">
        <v>0</v>
      </c>
      <c r="J10" s="181">
        <v>32.067499999999995</v>
      </c>
      <c r="K10" s="181">
        <v>3.92</v>
      </c>
      <c r="L10" s="181">
        <v>29.5</v>
      </c>
      <c r="M10" s="181">
        <v>12320450197.759998</v>
      </c>
      <c r="N10" s="181">
        <v>27530267.519999996</v>
      </c>
      <c r="O10" s="181">
        <v>23925113.439999998</v>
      </c>
      <c r="P10" s="181">
        <v>419.09999999999997</v>
      </c>
      <c r="Q10" s="181">
        <v>591048624.352</v>
      </c>
      <c r="R10" s="181">
        <v>4555603.7919999994</v>
      </c>
      <c r="S10" s="181">
        <v>2900510.3279999997</v>
      </c>
      <c r="T10" s="181">
        <v>91.44</v>
      </c>
      <c r="U10" s="181">
        <v>48282845.369599998</v>
      </c>
      <c r="V10" s="181">
        <v>141786937533170.69</v>
      </c>
    </row>
    <row r="11" spans="1:22">
      <c r="A11" s="2" t="s">
        <v>37</v>
      </c>
      <c r="B11" s="2" t="s">
        <v>38</v>
      </c>
      <c r="C11" s="181">
        <v>538.71392000000003</v>
      </c>
      <c r="D11" s="181">
        <v>69032.12</v>
      </c>
      <c r="E11" s="181">
        <v>1031.24</v>
      </c>
      <c r="F11" s="181">
        <v>406.4</v>
      </c>
      <c r="G11" s="181">
        <v>28.448</v>
      </c>
      <c r="H11" s="181">
        <v>51.053999999999995</v>
      </c>
      <c r="I11" s="181">
        <v>0</v>
      </c>
      <c r="J11" s="181">
        <v>31.496000000000002</v>
      </c>
      <c r="K11" s="181">
        <v>3.99</v>
      </c>
      <c r="L11" s="181">
        <v>30.5</v>
      </c>
      <c r="M11" s="181">
        <v>12029088199.839998</v>
      </c>
      <c r="N11" s="181">
        <v>26874784.959999997</v>
      </c>
      <c r="O11" s="181">
        <v>23269630.879999999</v>
      </c>
      <c r="P11" s="181">
        <v>419.09999999999997</v>
      </c>
      <c r="Q11" s="181">
        <v>574399367.32799995</v>
      </c>
      <c r="R11" s="181">
        <v>4424507.2799999993</v>
      </c>
      <c r="S11" s="181">
        <v>2834962.0719999997</v>
      </c>
      <c r="T11" s="181">
        <v>91.44</v>
      </c>
      <c r="U11" s="181">
        <v>45369225.390399992</v>
      </c>
      <c r="V11" s="181">
        <v>137490363668529.14</v>
      </c>
    </row>
    <row r="12" spans="1:22">
      <c r="A12" s="2" t="s">
        <v>39</v>
      </c>
      <c r="B12" s="2" t="s">
        <v>40</v>
      </c>
      <c r="C12" s="181">
        <v>482.16383999999999</v>
      </c>
      <c r="D12" s="181">
        <v>61483.747999999992</v>
      </c>
      <c r="E12" s="181">
        <v>1021.08</v>
      </c>
      <c r="F12" s="181">
        <v>403.86</v>
      </c>
      <c r="G12" s="181">
        <v>25.4</v>
      </c>
      <c r="H12" s="181">
        <v>45.973999999999997</v>
      </c>
      <c r="I12" s="181">
        <v>0</v>
      </c>
      <c r="J12" s="181">
        <v>31.813499999999998</v>
      </c>
      <c r="K12" s="181">
        <v>4.4000000000000004</v>
      </c>
      <c r="L12" s="181">
        <v>34.200000000000003</v>
      </c>
      <c r="M12" s="181">
        <v>10655524495.359999</v>
      </c>
      <c r="N12" s="181">
        <v>23925113.439999998</v>
      </c>
      <c r="O12" s="181">
        <v>20975441.919999998</v>
      </c>
      <c r="P12" s="181">
        <v>416.55999999999995</v>
      </c>
      <c r="Q12" s="181">
        <v>507802339.23199993</v>
      </c>
      <c r="R12" s="181">
        <v>3916508.2959999996</v>
      </c>
      <c r="S12" s="181">
        <v>2507220.7919999999</v>
      </c>
      <c r="T12" s="181">
        <v>90.932000000000002</v>
      </c>
      <c r="U12" s="181">
        <v>33048775.192639999</v>
      </c>
      <c r="V12" s="181">
        <v>120572604076503.09</v>
      </c>
    </row>
    <row r="13" spans="1:22">
      <c r="A13" s="2" t="s">
        <v>41</v>
      </c>
      <c r="B13" s="2" t="s">
        <v>42</v>
      </c>
      <c r="C13" s="181">
        <v>441.98352</v>
      </c>
      <c r="D13" s="181">
        <v>56386.984000000004</v>
      </c>
      <c r="E13" s="181">
        <v>1010.9199999999998</v>
      </c>
      <c r="F13" s="181">
        <v>401.32</v>
      </c>
      <c r="G13" s="181">
        <v>23.622</v>
      </c>
      <c r="H13" s="181">
        <v>41.91</v>
      </c>
      <c r="I13" s="181">
        <v>0</v>
      </c>
      <c r="J13" s="181">
        <v>32.702500000000001</v>
      </c>
      <c r="K13" s="181">
        <v>4.8</v>
      </c>
      <c r="L13" s="181">
        <v>36.799999999999997</v>
      </c>
      <c r="M13" s="181">
        <v>9656569073.9199982</v>
      </c>
      <c r="N13" s="181">
        <v>21794795.119999997</v>
      </c>
      <c r="O13" s="181">
        <v>19172864.879999999</v>
      </c>
      <c r="P13" s="181">
        <v>414.02</v>
      </c>
      <c r="Q13" s="181">
        <v>453692253.90399998</v>
      </c>
      <c r="R13" s="181">
        <v>3523218.76</v>
      </c>
      <c r="S13" s="181">
        <v>2261414.8319999999</v>
      </c>
      <c r="T13" s="181">
        <v>89.915999999999997</v>
      </c>
      <c r="U13" s="181">
        <v>25473363.246719997</v>
      </c>
      <c r="V13" s="181">
        <v>106608739016418.11</v>
      </c>
    </row>
    <row r="14" spans="1:22">
      <c r="A14" s="2" t="s">
        <v>43</v>
      </c>
      <c r="B14" s="2" t="s">
        <v>44</v>
      </c>
      <c r="C14" s="181">
        <v>412.22031999999996</v>
      </c>
      <c r="D14" s="181">
        <v>52516.023999999998</v>
      </c>
      <c r="E14" s="181">
        <v>1008.38</v>
      </c>
      <c r="F14" s="181">
        <v>401.32</v>
      </c>
      <c r="G14" s="181">
        <v>21.081999999999997</v>
      </c>
      <c r="H14" s="181">
        <v>40.131999999999998</v>
      </c>
      <c r="I14" s="181">
        <v>0</v>
      </c>
      <c r="J14" s="181">
        <v>32.892999999999994</v>
      </c>
      <c r="K14" s="181">
        <v>5.03</v>
      </c>
      <c r="L14" s="181">
        <v>41.2</v>
      </c>
      <c r="M14" s="181">
        <v>9115468220.6399994</v>
      </c>
      <c r="N14" s="181">
        <v>20483829.999999996</v>
      </c>
      <c r="O14" s="181">
        <v>18025770.399999999</v>
      </c>
      <c r="P14" s="181">
        <v>416.55999999999995</v>
      </c>
      <c r="Q14" s="181">
        <v>432880682.62399995</v>
      </c>
      <c r="R14" s="181">
        <v>3342961.0559999999</v>
      </c>
      <c r="S14" s="181">
        <v>2163092.4479999999</v>
      </c>
      <c r="T14" s="181">
        <v>90.932000000000002</v>
      </c>
      <c r="U14" s="181">
        <v>21435918.418399997</v>
      </c>
      <c r="V14" s="181">
        <v>101506557552156.28</v>
      </c>
    </row>
    <row r="15" spans="1:22">
      <c r="A15" s="2" t="s">
        <v>45</v>
      </c>
      <c r="B15" s="2" t="s">
        <v>46</v>
      </c>
      <c r="C15" s="181">
        <v>370.55183999999997</v>
      </c>
      <c r="D15" s="181">
        <v>47290.227999999996</v>
      </c>
      <c r="E15" s="181">
        <v>1000.7599999999999</v>
      </c>
      <c r="F15" s="181">
        <v>401.32</v>
      </c>
      <c r="G15" s="181">
        <v>19.049999999999997</v>
      </c>
      <c r="H15" s="181">
        <v>36.067999999999998</v>
      </c>
      <c r="I15" s="181">
        <v>0</v>
      </c>
      <c r="J15" s="181">
        <v>32.194500000000005</v>
      </c>
      <c r="K15" s="181">
        <v>5.55</v>
      </c>
      <c r="L15" s="181">
        <v>45.6</v>
      </c>
      <c r="M15" s="181">
        <v>8158135941.7599993</v>
      </c>
      <c r="N15" s="181">
        <v>18353511.68</v>
      </c>
      <c r="O15" s="181">
        <v>16272354.551999999</v>
      </c>
      <c r="P15" s="181">
        <v>414.02</v>
      </c>
      <c r="Q15" s="181">
        <v>385430300.10559994</v>
      </c>
      <c r="R15" s="181">
        <v>2982445.6479999996</v>
      </c>
      <c r="S15" s="181">
        <v>1933673.5519999999</v>
      </c>
      <c r="T15" s="181">
        <v>90.169999999999987</v>
      </c>
      <c r="U15" s="181">
        <v>15858417.315359998</v>
      </c>
      <c r="V15" s="181">
        <v>89690979424392.063</v>
      </c>
    </row>
    <row r="16" spans="1:22">
      <c r="A16" s="2" t="s">
        <v>47</v>
      </c>
      <c r="B16" s="2" t="s">
        <v>48</v>
      </c>
      <c r="C16" s="181">
        <v>319.95439999999996</v>
      </c>
      <c r="D16" s="181">
        <v>40903.144</v>
      </c>
      <c r="E16" s="181">
        <v>990.59999999999991</v>
      </c>
      <c r="F16" s="181">
        <v>401.32</v>
      </c>
      <c r="G16" s="181">
        <v>16.509999999999998</v>
      </c>
      <c r="H16" s="181">
        <v>30.987999999999996</v>
      </c>
      <c r="I16" s="181">
        <v>0</v>
      </c>
      <c r="J16" s="181">
        <v>32.512</v>
      </c>
      <c r="K16" s="181">
        <v>6.45</v>
      </c>
      <c r="L16" s="181">
        <v>52.6</v>
      </c>
      <c r="M16" s="181">
        <v>6951064807.5199995</v>
      </c>
      <c r="N16" s="181">
        <v>15797129.695999999</v>
      </c>
      <c r="O16" s="181">
        <v>14076487.975999998</v>
      </c>
      <c r="P16" s="181">
        <v>411.47999999999996</v>
      </c>
      <c r="Q16" s="181">
        <v>331320214.77759999</v>
      </c>
      <c r="R16" s="181">
        <v>2556381.9839999997</v>
      </c>
      <c r="S16" s="181">
        <v>1655093.4639999999</v>
      </c>
      <c r="T16" s="181">
        <v>89.915999999999997</v>
      </c>
      <c r="U16" s="181">
        <v>10322539.35488</v>
      </c>
      <c r="V16" s="181">
        <v>76264186097387.266</v>
      </c>
    </row>
    <row r="17" spans="1:22">
      <c r="A17" s="2" t="s">
        <v>49</v>
      </c>
      <c r="B17" s="2" t="s">
        <v>50</v>
      </c>
      <c r="C17" s="181">
        <v>296.14384000000001</v>
      </c>
      <c r="D17" s="181">
        <v>37741.86</v>
      </c>
      <c r="E17" s="181">
        <v>982.98</v>
      </c>
      <c r="F17" s="181">
        <v>401.32</v>
      </c>
      <c r="G17" s="181">
        <v>16.509999999999998</v>
      </c>
      <c r="H17" s="181">
        <v>27.178000000000001</v>
      </c>
      <c r="I17" s="181">
        <v>0</v>
      </c>
      <c r="J17" s="181">
        <v>31.559499999999996</v>
      </c>
      <c r="K17" s="181">
        <v>7.39</v>
      </c>
      <c r="L17" s="181">
        <v>52.6</v>
      </c>
      <c r="M17" s="181">
        <v>6201848241.4399996</v>
      </c>
      <c r="N17" s="181">
        <v>14240358.615999999</v>
      </c>
      <c r="O17" s="181">
        <v>12618039.279999999</v>
      </c>
      <c r="P17" s="181">
        <v>406.4</v>
      </c>
      <c r="Q17" s="181">
        <v>289280840.792</v>
      </c>
      <c r="R17" s="181">
        <v>2245027.7679999997</v>
      </c>
      <c r="S17" s="181">
        <v>1445339.0447999998</v>
      </c>
      <c r="T17" s="181">
        <v>87.63</v>
      </c>
      <c r="U17" s="181">
        <v>7617035.0884799995</v>
      </c>
      <c r="V17" s="181">
        <v>66059823168863.609</v>
      </c>
    </row>
    <row r="18" spans="1:22">
      <c r="A18" s="2" t="s">
        <v>51</v>
      </c>
      <c r="B18" s="2" t="s">
        <v>52</v>
      </c>
      <c r="C18" s="181">
        <v>583.35871999999995</v>
      </c>
      <c r="D18" s="181">
        <v>74193.399999999994</v>
      </c>
      <c r="E18" s="181">
        <v>1056.6399999999999</v>
      </c>
      <c r="F18" s="181">
        <v>314.95999999999998</v>
      </c>
      <c r="G18" s="181">
        <v>36.067999999999998</v>
      </c>
      <c r="H18" s="181">
        <v>64.007999999999996</v>
      </c>
      <c r="I18" s="181">
        <v>0</v>
      </c>
      <c r="J18" s="181">
        <v>32.829499999999996</v>
      </c>
      <c r="K18" s="181">
        <v>2.4500000000000002</v>
      </c>
      <c r="L18" s="181">
        <v>24.1</v>
      </c>
      <c r="M18" s="181">
        <v>12445319625.439999</v>
      </c>
      <c r="N18" s="181">
        <v>28021879.439999998</v>
      </c>
      <c r="O18" s="181">
        <v>23597372.159999996</v>
      </c>
      <c r="P18" s="181">
        <v>408.94</v>
      </c>
      <c r="Q18" s="181">
        <v>334233834.7568</v>
      </c>
      <c r="R18" s="181">
        <v>3474057.5679999995</v>
      </c>
      <c r="S18" s="181">
        <v>2130318.3199999998</v>
      </c>
      <c r="T18" s="181">
        <v>67.055999999999997</v>
      </c>
      <c r="U18" s="181">
        <v>71591805.203199998</v>
      </c>
      <c r="V18" s="181">
        <v>82171975161269.375</v>
      </c>
    </row>
    <row r="19" spans="1:22">
      <c r="A19" s="2" t="s">
        <v>53</v>
      </c>
      <c r="B19" s="2" t="s">
        <v>54</v>
      </c>
      <c r="C19" s="181">
        <v>492.58095999999995</v>
      </c>
      <c r="D19" s="181">
        <v>62903.1</v>
      </c>
      <c r="E19" s="181">
        <v>1036.32</v>
      </c>
      <c r="F19" s="181">
        <v>309.87999999999994</v>
      </c>
      <c r="G19" s="181">
        <v>30.987999999999996</v>
      </c>
      <c r="H19" s="181">
        <v>54.101999999999997</v>
      </c>
      <c r="I19" s="181">
        <v>0</v>
      </c>
      <c r="J19" s="181">
        <v>31.622999999999998</v>
      </c>
      <c r="K19" s="181">
        <v>2.86</v>
      </c>
      <c r="L19" s="181">
        <v>28</v>
      </c>
      <c r="M19" s="181">
        <v>10280916212.32</v>
      </c>
      <c r="N19" s="181">
        <v>23433501.52</v>
      </c>
      <c r="O19" s="181">
        <v>19828347.439999998</v>
      </c>
      <c r="P19" s="181">
        <v>403.86</v>
      </c>
      <c r="Q19" s="181">
        <v>268053038.08639997</v>
      </c>
      <c r="R19" s="181">
        <v>2818575.0079999999</v>
      </c>
      <c r="S19" s="181">
        <v>1737028.7839999998</v>
      </c>
      <c r="T19" s="181">
        <v>65.277999999999992</v>
      </c>
      <c r="U19" s="181">
        <v>44120531.113599993</v>
      </c>
      <c r="V19" s="181">
        <v>64717143836163.133</v>
      </c>
    </row>
    <row r="20" spans="1:22">
      <c r="A20" s="2" t="s">
        <v>55</v>
      </c>
      <c r="B20" s="2" t="s">
        <v>56</v>
      </c>
      <c r="C20" s="181">
        <v>486.62831999999997</v>
      </c>
      <c r="D20" s="181">
        <v>61935.360000000001</v>
      </c>
      <c r="E20" s="181">
        <v>1036.32</v>
      </c>
      <c r="F20" s="181">
        <v>307.33999999999997</v>
      </c>
      <c r="G20" s="181">
        <v>29.971999999999998</v>
      </c>
      <c r="H20" s="181">
        <v>54.101999999999997</v>
      </c>
      <c r="I20" s="181">
        <v>0</v>
      </c>
      <c r="J20" s="181">
        <v>31.622999999999998</v>
      </c>
      <c r="K20" s="181">
        <v>2.85</v>
      </c>
      <c r="L20" s="181">
        <v>29</v>
      </c>
      <c r="M20" s="181">
        <v>10197669927.199999</v>
      </c>
      <c r="N20" s="181">
        <v>23105760.239999998</v>
      </c>
      <c r="O20" s="181">
        <v>19664476.799999997</v>
      </c>
      <c r="P20" s="181">
        <v>406.4</v>
      </c>
      <c r="Q20" s="181">
        <v>266388112.38399997</v>
      </c>
      <c r="R20" s="181">
        <v>2785800.88</v>
      </c>
      <c r="S20" s="181">
        <v>1720641.7199999997</v>
      </c>
      <c r="T20" s="181">
        <v>65.531999999999996</v>
      </c>
      <c r="U20" s="181">
        <v>42871836.836799994</v>
      </c>
      <c r="V20" s="181">
        <v>64180072103082.938</v>
      </c>
    </row>
    <row r="21" spans="1:22">
      <c r="A21" s="2" t="s">
        <v>57</v>
      </c>
      <c r="B21" s="2" t="s">
        <v>58</v>
      </c>
      <c r="C21" s="181">
        <v>413.70847999999995</v>
      </c>
      <c r="D21" s="181">
        <v>52774.087999999996</v>
      </c>
      <c r="E21" s="181">
        <v>1021.08</v>
      </c>
      <c r="F21" s="181">
        <v>304.79999999999995</v>
      </c>
      <c r="G21" s="181">
        <v>25.907999999999998</v>
      </c>
      <c r="H21" s="181">
        <v>45.973999999999997</v>
      </c>
      <c r="I21" s="181">
        <v>0</v>
      </c>
      <c r="J21" s="181">
        <v>31.813499999999998</v>
      </c>
      <c r="K21" s="181">
        <v>3.31</v>
      </c>
      <c r="L21" s="181">
        <v>33.5</v>
      </c>
      <c r="M21" s="181">
        <v>8532744224.7999992</v>
      </c>
      <c r="N21" s="181">
        <v>19500606.159999996</v>
      </c>
      <c r="O21" s="181">
        <v>16714805.279999999</v>
      </c>
      <c r="P21" s="181">
        <v>401.32</v>
      </c>
      <c r="Q21" s="181">
        <v>216856572.73759997</v>
      </c>
      <c r="R21" s="181">
        <v>2294188.96</v>
      </c>
      <c r="S21" s="181">
        <v>1427313.2743999998</v>
      </c>
      <c r="T21" s="181">
        <v>64.007999999999996</v>
      </c>
      <c r="U21" s="181">
        <v>26930173.23632</v>
      </c>
      <c r="V21" s="181">
        <v>51558886375698.43</v>
      </c>
    </row>
    <row r="22" spans="1:22">
      <c r="A22" s="2" t="s">
        <v>59</v>
      </c>
      <c r="B22" s="2" t="s">
        <v>60</v>
      </c>
      <c r="C22" s="181">
        <v>392.87423999999999</v>
      </c>
      <c r="D22" s="181">
        <v>50064.415999999997</v>
      </c>
      <c r="E22" s="181">
        <v>1016</v>
      </c>
      <c r="F22" s="181">
        <v>302.26</v>
      </c>
      <c r="G22" s="181">
        <v>24.383999999999997</v>
      </c>
      <c r="H22" s="181">
        <v>43.942</v>
      </c>
      <c r="I22" s="181">
        <v>0</v>
      </c>
      <c r="J22" s="181">
        <v>32.257999999999988</v>
      </c>
      <c r="K22" s="181">
        <v>3.45</v>
      </c>
      <c r="L22" s="181">
        <v>35.6</v>
      </c>
      <c r="M22" s="181">
        <v>8074889656.6399994</v>
      </c>
      <c r="N22" s="181">
        <v>18517382.319999997</v>
      </c>
      <c r="O22" s="181">
        <v>15911839.143999999</v>
      </c>
      <c r="P22" s="181">
        <v>401.32</v>
      </c>
      <c r="Q22" s="181">
        <v>205202092.82079998</v>
      </c>
      <c r="R22" s="181">
        <v>2163092.4479999999</v>
      </c>
      <c r="S22" s="181">
        <v>1353571.4863999998</v>
      </c>
      <c r="T22" s="181">
        <v>64.007999999999996</v>
      </c>
      <c r="U22" s="181">
        <v>23350582.976159997</v>
      </c>
      <c r="V22" s="181">
        <v>48604991843757.375</v>
      </c>
    </row>
    <row r="23" spans="1:22">
      <c r="A23" s="2" t="s">
        <v>61</v>
      </c>
      <c r="B23" s="2" t="s">
        <v>62</v>
      </c>
      <c r="C23" s="181">
        <v>349.7176</v>
      </c>
      <c r="D23" s="181">
        <v>44516.04</v>
      </c>
      <c r="E23" s="181">
        <v>1008.38</v>
      </c>
      <c r="F23" s="181">
        <v>302.26</v>
      </c>
      <c r="G23" s="181">
        <v>21.081999999999997</v>
      </c>
      <c r="H23" s="181">
        <v>40.131999999999998</v>
      </c>
      <c r="I23" s="181">
        <v>0</v>
      </c>
      <c r="J23" s="181">
        <v>32.892999999999994</v>
      </c>
      <c r="K23" s="181">
        <v>3.77</v>
      </c>
      <c r="L23" s="181">
        <v>41.2</v>
      </c>
      <c r="M23" s="181">
        <v>7242426805.4399996</v>
      </c>
      <c r="N23" s="181">
        <v>16550934.639999999</v>
      </c>
      <c r="O23" s="181">
        <v>14338680.999999998</v>
      </c>
      <c r="P23" s="181">
        <v>403.86</v>
      </c>
      <c r="Q23" s="181">
        <v>184806752.96639997</v>
      </c>
      <c r="R23" s="181">
        <v>1933673.5519999999</v>
      </c>
      <c r="S23" s="181">
        <v>1222474.9743999997</v>
      </c>
      <c r="T23" s="181">
        <v>64.515999999999991</v>
      </c>
      <c r="U23" s="181">
        <v>17190357.877279997</v>
      </c>
      <c r="V23" s="181">
        <v>43234274512955.453</v>
      </c>
    </row>
    <row r="24" spans="1:22">
      <c r="A24" s="2" t="s">
        <v>63</v>
      </c>
      <c r="B24" s="2" t="s">
        <v>64</v>
      </c>
      <c r="C24" s="181">
        <v>314.00175999999999</v>
      </c>
      <c r="D24" s="181">
        <v>39999.919999999998</v>
      </c>
      <c r="E24" s="181">
        <v>1000.7599999999999</v>
      </c>
      <c r="F24" s="181">
        <v>299.72000000000003</v>
      </c>
      <c r="G24" s="181">
        <v>19.049999999999997</v>
      </c>
      <c r="H24" s="181">
        <v>36.067999999999998</v>
      </c>
      <c r="I24" s="181">
        <v>0</v>
      </c>
      <c r="J24" s="181">
        <v>32.194500000000005</v>
      </c>
      <c r="K24" s="181">
        <v>4.17</v>
      </c>
      <c r="L24" s="181">
        <v>45.6</v>
      </c>
      <c r="M24" s="181">
        <v>6451587096.7999992</v>
      </c>
      <c r="N24" s="181">
        <v>14846679.983999999</v>
      </c>
      <c r="O24" s="181">
        <v>12880232.304</v>
      </c>
      <c r="P24" s="181">
        <v>401.32</v>
      </c>
      <c r="Q24" s="181">
        <v>162330255.984</v>
      </c>
      <c r="R24" s="181">
        <v>1720641.7199999997</v>
      </c>
      <c r="S24" s="181">
        <v>1083184.9303999997</v>
      </c>
      <c r="T24" s="181">
        <v>63.753999999999991</v>
      </c>
      <c r="U24" s="181">
        <v>12653435.338239998</v>
      </c>
      <c r="V24" s="181">
        <v>37595021315613.438</v>
      </c>
    </row>
    <row r="25" spans="1:22">
      <c r="A25" s="2" t="s">
        <v>65</v>
      </c>
      <c r="B25" s="2" t="s">
        <v>66</v>
      </c>
      <c r="C25" s="181">
        <v>272.33328</v>
      </c>
      <c r="D25" s="181">
        <v>34709.607999999993</v>
      </c>
      <c r="E25" s="181">
        <v>990.59999999999991</v>
      </c>
      <c r="F25" s="181">
        <v>299.72000000000003</v>
      </c>
      <c r="G25" s="181">
        <v>16.509999999999998</v>
      </c>
      <c r="H25" s="181">
        <v>30.987999999999996</v>
      </c>
      <c r="I25" s="181">
        <v>0</v>
      </c>
      <c r="J25" s="181">
        <v>32.512</v>
      </c>
      <c r="K25" s="181">
        <v>4.84</v>
      </c>
      <c r="L25" s="181">
        <v>52.6</v>
      </c>
      <c r="M25" s="181">
        <v>5535877960.4799995</v>
      </c>
      <c r="N25" s="181">
        <v>12831071.112</v>
      </c>
      <c r="O25" s="181">
        <v>11192364.711999999</v>
      </c>
      <c r="P25" s="181">
        <v>398.78</v>
      </c>
      <c r="Q25" s="181">
        <v>139853759.0016</v>
      </c>
      <c r="R25" s="181">
        <v>1468280.9343999997</v>
      </c>
      <c r="S25" s="181">
        <v>932423.9415999999</v>
      </c>
      <c r="T25" s="181">
        <v>63.5</v>
      </c>
      <c r="U25" s="181">
        <v>8324628.5119999992</v>
      </c>
      <c r="V25" s="181">
        <v>32224303984811.52</v>
      </c>
    </row>
    <row r="26" spans="1:22">
      <c r="A26" s="2" t="s">
        <v>67</v>
      </c>
      <c r="B26" s="2" t="s">
        <v>68</v>
      </c>
      <c r="C26" s="181">
        <v>248.52271999999999</v>
      </c>
      <c r="D26" s="181">
        <v>31741.871999999999</v>
      </c>
      <c r="E26" s="181">
        <v>980.43999999999994</v>
      </c>
      <c r="F26" s="181">
        <v>299.72000000000003</v>
      </c>
      <c r="G26" s="181">
        <v>16.509999999999998</v>
      </c>
      <c r="H26" s="181">
        <v>25.907999999999998</v>
      </c>
      <c r="I26" s="181">
        <v>0</v>
      </c>
      <c r="J26" s="181">
        <v>32.829499999999996</v>
      </c>
      <c r="K26" s="181">
        <v>5.76</v>
      </c>
      <c r="L26" s="181">
        <v>52.6</v>
      </c>
      <c r="M26" s="181">
        <v>4828284536.9599991</v>
      </c>
      <c r="N26" s="181">
        <v>11356235.351999998</v>
      </c>
      <c r="O26" s="181">
        <v>9832238.3999999985</v>
      </c>
      <c r="P26" s="181">
        <v>388.62</v>
      </c>
      <c r="Q26" s="181">
        <v>117793493.44479999</v>
      </c>
      <c r="R26" s="181">
        <v>1245416.8639999998</v>
      </c>
      <c r="S26" s="181">
        <v>784940.3655999999</v>
      </c>
      <c r="T26" s="181">
        <v>60.959999999999994</v>
      </c>
      <c r="U26" s="181">
        <v>5827239.9583999999</v>
      </c>
      <c r="V26" s="181">
        <v>26799879480701.578</v>
      </c>
    </row>
    <row r="27" spans="1:22">
      <c r="A27" s="2" t="s">
        <v>69</v>
      </c>
      <c r="B27" s="2" t="s">
        <v>70</v>
      </c>
      <c r="C27" s="181">
        <v>221.73584</v>
      </c>
      <c r="D27" s="181">
        <v>28258.007999999998</v>
      </c>
      <c r="E27" s="181">
        <v>970.28</v>
      </c>
      <c r="F27" s="181">
        <v>299.72000000000003</v>
      </c>
      <c r="G27" s="181">
        <v>16.001999999999999</v>
      </c>
      <c r="H27" s="181">
        <v>21.081999999999997</v>
      </c>
      <c r="I27" s="181">
        <v>0</v>
      </c>
      <c r="J27" s="181">
        <v>32.893000000000001</v>
      </c>
      <c r="K27" s="181">
        <v>7.11</v>
      </c>
      <c r="L27" s="181">
        <v>54.3</v>
      </c>
      <c r="M27" s="181">
        <v>4079067970.8799996</v>
      </c>
      <c r="N27" s="181">
        <v>9799464.2719999999</v>
      </c>
      <c r="O27" s="181">
        <v>8406563.8319999985</v>
      </c>
      <c r="P27" s="181">
        <v>381</v>
      </c>
      <c r="Q27" s="181">
        <v>95316996.462399989</v>
      </c>
      <c r="R27" s="181">
        <v>1019275.3807999999</v>
      </c>
      <c r="S27" s="181">
        <v>635818.08319999988</v>
      </c>
      <c r="T27" s="181">
        <v>58.165999999999997</v>
      </c>
      <c r="U27" s="181">
        <v>3895926.1436159993</v>
      </c>
      <c r="V27" s="181">
        <v>21482869323207.68</v>
      </c>
    </row>
    <row r="28" spans="1:22">
      <c r="A28" s="2" t="s">
        <v>71</v>
      </c>
      <c r="B28" s="2" t="s">
        <v>72</v>
      </c>
      <c r="C28" s="181">
        <v>1187.55168</v>
      </c>
      <c r="D28" s="181">
        <v>151612.6</v>
      </c>
      <c r="E28" s="181">
        <v>1066.8</v>
      </c>
      <c r="F28" s="181">
        <v>457.2</v>
      </c>
      <c r="G28" s="181">
        <v>60.451999999999991</v>
      </c>
      <c r="H28" s="181">
        <v>108.96599999999999</v>
      </c>
      <c r="I28" s="181">
        <v>0</v>
      </c>
      <c r="J28" s="181">
        <v>32.3215</v>
      </c>
      <c r="K28" s="181">
        <v>2.1</v>
      </c>
      <c r="L28" s="181">
        <v>13.2</v>
      </c>
      <c r="M28" s="181">
        <v>26056087242.559998</v>
      </c>
      <c r="N28" s="181">
        <v>58665689.119999997</v>
      </c>
      <c r="O28" s="181">
        <v>48833450.719999999</v>
      </c>
      <c r="P28" s="181">
        <v>414.02</v>
      </c>
      <c r="Q28" s="181">
        <v>1748171987.5199997</v>
      </c>
      <c r="R28" s="181">
        <v>12175588.551999999</v>
      </c>
      <c r="S28" s="181">
        <v>7652758.8879999993</v>
      </c>
      <c r="T28" s="181">
        <v>107.44200000000001</v>
      </c>
      <c r="U28" s="181">
        <v>437042996.87999994</v>
      </c>
      <c r="V28" s="181">
        <v>400118441144743</v>
      </c>
    </row>
    <row r="29" spans="1:22">
      <c r="A29" s="2" t="s">
        <v>73</v>
      </c>
      <c r="B29" s="2" t="s">
        <v>74</v>
      </c>
      <c r="C29" s="181">
        <v>967.30399999999997</v>
      </c>
      <c r="D29" s="181">
        <v>123225.56</v>
      </c>
      <c r="E29" s="181">
        <v>1028.7</v>
      </c>
      <c r="F29" s="181">
        <v>447.04</v>
      </c>
      <c r="G29" s="181">
        <v>50.037999999999997</v>
      </c>
      <c r="H29" s="181">
        <v>89.915999999999997</v>
      </c>
      <c r="I29" s="181">
        <v>0</v>
      </c>
      <c r="J29" s="181">
        <v>32.3215</v>
      </c>
      <c r="K29" s="181">
        <v>2.48</v>
      </c>
      <c r="L29" s="181">
        <v>16</v>
      </c>
      <c r="M29" s="181">
        <v>20353716711.839996</v>
      </c>
      <c r="N29" s="181">
        <v>46867003.039999999</v>
      </c>
      <c r="O29" s="181">
        <v>39656694.879999995</v>
      </c>
      <c r="P29" s="181">
        <v>406.4</v>
      </c>
      <c r="Q29" s="181">
        <v>1344427504.688</v>
      </c>
      <c r="R29" s="181">
        <v>9504497.1199999992</v>
      </c>
      <c r="S29" s="181">
        <v>6014052.4879999999</v>
      </c>
      <c r="T29" s="181">
        <v>104.39400000000001</v>
      </c>
      <c r="U29" s="181">
        <v>245992772.52959996</v>
      </c>
      <c r="V29" s="181">
        <v>295389453194105.56</v>
      </c>
    </row>
    <row r="30" spans="1:22">
      <c r="A30" s="2" t="s">
        <v>75</v>
      </c>
      <c r="B30" s="2" t="s">
        <v>76</v>
      </c>
      <c r="C30" s="181">
        <v>784.26031999999998</v>
      </c>
      <c r="D30" s="181">
        <v>99999.799999999988</v>
      </c>
      <c r="E30" s="181">
        <v>995.68000000000006</v>
      </c>
      <c r="F30" s="181">
        <v>436.87999999999994</v>
      </c>
      <c r="G30" s="181">
        <v>40.893999999999998</v>
      </c>
      <c r="H30" s="181">
        <v>73.914000000000001</v>
      </c>
      <c r="I30" s="181">
        <v>0</v>
      </c>
      <c r="J30" s="181">
        <v>32.448499999999996</v>
      </c>
      <c r="K30" s="181">
        <v>2.96</v>
      </c>
      <c r="L30" s="181">
        <v>19.600000000000001</v>
      </c>
      <c r="M30" s="181">
        <v>15941663600.479998</v>
      </c>
      <c r="N30" s="181">
        <v>37362505.919999994</v>
      </c>
      <c r="O30" s="181">
        <v>31954774.799999997</v>
      </c>
      <c r="P30" s="181">
        <v>398.78</v>
      </c>
      <c r="Q30" s="181">
        <v>1036416249.7439998</v>
      </c>
      <c r="R30" s="181">
        <v>7439727.0559999989</v>
      </c>
      <c r="S30" s="181">
        <v>4735861.4959999993</v>
      </c>
      <c r="T30" s="181">
        <v>101.85399999999998</v>
      </c>
      <c r="U30" s="181">
        <v>136107676.17119998</v>
      </c>
      <c r="V30" s="181">
        <v>220199410562878.72</v>
      </c>
    </row>
    <row r="31" spans="1:22">
      <c r="A31" s="2" t="s">
        <v>77</v>
      </c>
      <c r="B31" s="2" t="s">
        <v>78</v>
      </c>
      <c r="C31" s="181">
        <v>653.30223999999998</v>
      </c>
      <c r="D31" s="181">
        <v>83225.64</v>
      </c>
      <c r="E31" s="181">
        <v>972.81999999999982</v>
      </c>
      <c r="F31" s="181">
        <v>431.79999999999995</v>
      </c>
      <c r="G31" s="181">
        <v>34.544000000000004</v>
      </c>
      <c r="H31" s="181">
        <v>61.975999999999992</v>
      </c>
      <c r="I31" s="181">
        <v>0</v>
      </c>
      <c r="J31" s="181">
        <v>31.686500000000002</v>
      </c>
      <c r="K31" s="181">
        <v>3.48</v>
      </c>
      <c r="L31" s="181">
        <v>23.1</v>
      </c>
      <c r="M31" s="181">
        <v>12903174193.599998</v>
      </c>
      <c r="N31" s="181">
        <v>30643809.679999996</v>
      </c>
      <c r="O31" s="181">
        <v>26547043.679999996</v>
      </c>
      <c r="P31" s="181">
        <v>393.7</v>
      </c>
      <c r="Q31" s="181">
        <v>828300536.94399989</v>
      </c>
      <c r="R31" s="181">
        <v>6014052.4879999999</v>
      </c>
      <c r="S31" s="181">
        <v>3850960.0399999996</v>
      </c>
      <c r="T31" s="181">
        <v>99.822000000000003</v>
      </c>
      <c r="U31" s="181">
        <v>80332665.140799999</v>
      </c>
      <c r="V31" s="181">
        <v>171325882852581.25</v>
      </c>
    </row>
    <row r="32" spans="1:22">
      <c r="A32" s="2" t="s">
        <v>79</v>
      </c>
      <c r="B32" s="2" t="s">
        <v>80</v>
      </c>
      <c r="C32" s="181">
        <v>584.84687999999994</v>
      </c>
      <c r="D32" s="181">
        <v>74838.559999999998</v>
      </c>
      <c r="E32" s="181">
        <v>960.11999999999989</v>
      </c>
      <c r="F32" s="181">
        <v>426.71999999999997</v>
      </c>
      <c r="G32" s="181">
        <v>30.987999999999996</v>
      </c>
      <c r="H32" s="181">
        <v>55.88</v>
      </c>
      <c r="I32" s="181">
        <v>0</v>
      </c>
      <c r="J32" s="181">
        <v>31.432499999999997</v>
      </c>
      <c r="K32" s="181">
        <v>3.82</v>
      </c>
      <c r="L32" s="181">
        <v>25.8</v>
      </c>
      <c r="M32" s="181">
        <v>11446364203.999998</v>
      </c>
      <c r="N32" s="181">
        <v>27366396.879999999</v>
      </c>
      <c r="O32" s="181">
        <v>23761242.799999997</v>
      </c>
      <c r="P32" s="181">
        <v>391.15999999999997</v>
      </c>
      <c r="Q32" s="181">
        <v>728404994.79999995</v>
      </c>
      <c r="R32" s="181">
        <v>5325795.8</v>
      </c>
      <c r="S32" s="181">
        <v>3408509.3119999999</v>
      </c>
      <c r="T32" s="181">
        <v>99.059999999999988</v>
      </c>
      <c r="U32" s="181">
        <v>58688631.009599991</v>
      </c>
      <c r="V32" s="181">
        <v>148768870063213.19</v>
      </c>
    </row>
    <row r="33" spans="1:22">
      <c r="A33" s="2" t="s">
        <v>81</v>
      </c>
      <c r="B33" s="2" t="s">
        <v>82</v>
      </c>
      <c r="C33" s="181">
        <v>534.24943999999994</v>
      </c>
      <c r="D33" s="181">
        <v>67741.8</v>
      </c>
      <c r="E33" s="181">
        <v>949.95999999999992</v>
      </c>
      <c r="F33" s="181">
        <v>424.17999999999995</v>
      </c>
      <c r="G33" s="181">
        <v>28.448</v>
      </c>
      <c r="H33" s="181">
        <v>51.053999999999995</v>
      </c>
      <c r="I33" s="181">
        <v>0</v>
      </c>
      <c r="J33" s="181">
        <v>31.496000000000002</v>
      </c>
      <c r="K33" s="181">
        <v>4.16</v>
      </c>
      <c r="L33" s="181">
        <v>28.1</v>
      </c>
      <c r="M33" s="181">
        <v>10322539354.879999</v>
      </c>
      <c r="N33" s="181">
        <v>24744466.639999997</v>
      </c>
      <c r="O33" s="181">
        <v>21630924.479999997</v>
      </c>
      <c r="P33" s="181">
        <v>388.62</v>
      </c>
      <c r="Q33" s="181">
        <v>653483338.19199991</v>
      </c>
      <c r="R33" s="181">
        <v>4785022.6879999992</v>
      </c>
      <c r="S33" s="181">
        <v>3080768.0319999997</v>
      </c>
      <c r="T33" s="181">
        <v>98.043999999999997</v>
      </c>
      <c r="U33" s="181">
        <v>44952993.964799993</v>
      </c>
      <c r="V33" s="181">
        <v>132119646337727.22</v>
      </c>
    </row>
    <row r="34" spans="1:22">
      <c r="A34" s="2" t="s">
        <v>83</v>
      </c>
      <c r="B34" s="2" t="s">
        <v>84</v>
      </c>
      <c r="C34" s="181">
        <v>488.11647999999997</v>
      </c>
      <c r="D34" s="181">
        <v>62193.423999999999</v>
      </c>
      <c r="E34" s="181">
        <v>942.34</v>
      </c>
      <c r="F34" s="181">
        <v>421.64</v>
      </c>
      <c r="G34" s="181">
        <v>25.907999999999998</v>
      </c>
      <c r="H34" s="181">
        <v>46.99</v>
      </c>
      <c r="I34" s="181">
        <v>0</v>
      </c>
      <c r="J34" s="181">
        <v>32.384999999999998</v>
      </c>
      <c r="K34" s="181">
        <v>4.49</v>
      </c>
      <c r="L34" s="181">
        <v>30.9</v>
      </c>
      <c r="M34" s="181">
        <v>9365207076</v>
      </c>
      <c r="N34" s="181">
        <v>22614148.319999997</v>
      </c>
      <c r="O34" s="181">
        <v>19828347.439999998</v>
      </c>
      <c r="P34" s="181">
        <v>388.62</v>
      </c>
      <c r="Q34" s="181">
        <v>591048624.352</v>
      </c>
      <c r="R34" s="181">
        <v>4342571.96</v>
      </c>
      <c r="S34" s="181">
        <v>2802187.9439999997</v>
      </c>
      <c r="T34" s="181">
        <v>97.535999999999987</v>
      </c>
      <c r="U34" s="181">
        <v>35005062.892959997</v>
      </c>
      <c r="V34" s="181">
        <v>118424317144182.33</v>
      </c>
    </row>
    <row r="35" spans="1:22">
      <c r="A35" s="2" t="s">
        <v>85</v>
      </c>
      <c r="B35" s="2" t="s">
        <v>86</v>
      </c>
      <c r="C35" s="181">
        <v>446.44799999999998</v>
      </c>
      <c r="D35" s="181">
        <v>56967.627999999997</v>
      </c>
      <c r="E35" s="181">
        <v>932.18000000000006</v>
      </c>
      <c r="F35" s="181">
        <v>424.17999999999995</v>
      </c>
      <c r="G35" s="181">
        <v>24.002999999999997</v>
      </c>
      <c r="H35" s="181">
        <v>42.671999999999997</v>
      </c>
      <c r="I35" s="181">
        <v>0</v>
      </c>
      <c r="J35" s="181">
        <v>31.9405</v>
      </c>
      <c r="K35" s="181">
        <v>4.96</v>
      </c>
      <c r="L35" s="181">
        <v>33.299999999999997</v>
      </c>
      <c r="M35" s="181">
        <v>8449497939.6799994</v>
      </c>
      <c r="N35" s="181">
        <v>20647700.639999997</v>
      </c>
      <c r="O35" s="181">
        <v>18189641.039999999</v>
      </c>
      <c r="P35" s="181">
        <v>386.08</v>
      </c>
      <c r="Q35" s="181">
        <v>541100853.27999997</v>
      </c>
      <c r="R35" s="181">
        <v>3949282.4239999996</v>
      </c>
      <c r="S35" s="181">
        <v>2556381.9839999997</v>
      </c>
      <c r="T35" s="181">
        <v>97.281999999999996</v>
      </c>
      <c r="U35" s="181">
        <v>26722057.52352</v>
      </c>
      <c r="V35" s="181">
        <v>107145810749498.3</v>
      </c>
    </row>
    <row r="36" spans="1:22">
      <c r="A36" s="2" t="s">
        <v>87</v>
      </c>
      <c r="B36" s="2" t="s">
        <v>88</v>
      </c>
      <c r="C36" s="181">
        <v>416.6848</v>
      </c>
      <c r="D36" s="181">
        <v>53161.184000000001</v>
      </c>
      <c r="E36" s="181">
        <v>927.09999999999991</v>
      </c>
      <c r="F36" s="181">
        <v>421.64</v>
      </c>
      <c r="G36" s="181">
        <v>22.478999999999999</v>
      </c>
      <c r="H36" s="181">
        <v>39.878</v>
      </c>
      <c r="I36" s="181">
        <v>0</v>
      </c>
      <c r="J36" s="181">
        <v>31.5595</v>
      </c>
      <c r="K36" s="181">
        <v>5.29</v>
      </c>
      <c r="L36" s="181">
        <v>35.6</v>
      </c>
      <c r="M36" s="181">
        <v>7866773943.8399992</v>
      </c>
      <c r="N36" s="181">
        <v>19172864.879999999</v>
      </c>
      <c r="O36" s="181">
        <v>16878675.919999998</v>
      </c>
      <c r="P36" s="181">
        <v>383.53999999999996</v>
      </c>
      <c r="Q36" s="181">
        <v>499477710.71999997</v>
      </c>
      <c r="R36" s="181">
        <v>3654315.2719999999</v>
      </c>
      <c r="S36" s="181">
        <v>2359737.216</v>
      </c>
      <c r="T36" s="181">
        <v>96.774000000000001</v>
      </c>
      <c r="U36" s="181">
        <v>21893772.986559998</v>
      </c>
      <c r="V36" s="181">
        <v>98284127153675.125</v>
      </c>
    </row>
    <row r="37" spans="1:22">
      <c r="A37" s="2" t="s">
        <v>89</v>
      </c>
      <c r="B37" s="2" t="s">
        <v>90</v>
      </c>
      <c r="C37" s="181">
        <v>386.92159999999996</v>
      </c>
      <c r="D37" s="181">
        <v>49354.74</v>
      </c>
      <c r="E37" s="181">
        <v>922.01999999999987</v>
      </c>
      <c r="F37" s="181">
        <v>421.64</v>
      </c>
      <c r="G37" s="181">
        <v>21.335999999999999</v>
      </c>
      <c r="H37" s="181">
        <v>36.575999999999993</v>
      </c>
      <c r="I37" s="181">
        <v>0</v>
      </c>
      <c r="J37" s="181">
        <v>31.686500000000009</v>
      </c>
      <c r="K37" s="181">
        <v>5.75</v>
      </c>
      <c r="L37" s="181">
        <v>37.5</v>
      </c>
      <c r="M37" s="181">
        <v>7200803662.8799992</v>
      </c>
      <c r="N37" s="181">
        <v>17698029.119999997</v>
      </c>
      <c r="O37" s="181">
        <v>15616871.991999999</v>
      </c>
      <c r="P37" s="181">
        <v>381</v>
      </c>
      <c r="Q37" s="181">
        <v>453692253.90399998</v>
      </c>
      <c r="R37" s="181">
        <v>3342961.0559999999</v>
      </c>
      <c r="S37" s="181">
        <v>2163092.4479999999</v>
      </c>
      <c r="T37" s="181">
        <v>96.011999999999986</v>
      </c>
      <c r="U37" s="181">
        <v>17273604.1624</v>
      </c>
      <c r="V37" s="181">
        <v>88616835958231.672</v>
      </c>
    </row>
    <row r="38" spans="1:22">
      <c r="A38" s="2" t="s">
        <v>91</v>
      </c>
      <c r="B38" s="2" t="s">
        <v>92</v>
      </c>
      <c r="C38" s="181">
        <v>364.5992</v>
      </c>
      <c r="D38" s="181">
        <v>46516.035999999993</v>
      </c>
      <c r="E38" s="181">
        <v>916.93999999999994</v>
      </c>
      <c r="F38" s="181">
        <v>419.09999999999997</v>
      </c>
      <c r="G38" s="181">
        <v>20.32</v>
      </c>
      <c r="H38" s="181">
        <v>34.29</v>
      </c>
      <c r="I38" s="181">
        <v>0</v>
      </c>
      <c r="J38" s="181">
        <v>32.384999999999998</v>
      </c>
      <c r="K38" s="181">
        <v>6.11</v>
      </c>
      <c r="L38" s="181">
        <v>39.4</v>
      </c>
      <c r="M38" s="181">
        <v>6701325952.1599989</v>
      </c>
      <c r="N38" s="181">
        <v>16550934.639999999</v>
      </c>
      <c r="O38" s="181">
        <v>14666422.279999999</v>
      </c>
      <c r="P38" s="181">
        <v>381</v>
      </c>
      <c r="Q38" s="181">
        <v>420393739.85599995</v>
      </c>
      <c r="R38" s="181">
        <v>3113542.1599999997</v>
      </c>
      <c r="S38" s="181">
        <v>2015608.8719999997</v>
      </c>
      <c r="T38" s="181">
        <v>95.25</v>
      </c>
      <c r="U38" s="181">
        <v>14401607.325759999</v>
      </c>
      <c r="V38" s="181">
        <v>81903439294729.281</v>
      </c>
    </row>
    <row r="39" spans="1:22">
      <c r="A39" s="2" t="s">
        <v>93</v>
      </c>
      <c r="B39" s="2" t="s">
        <v>94</v>
      </c>
      <c r="C39" s="181">
        <v>342.27679999999998</v>
      </c>
      <c r="D39" s="181">
        <v>43612.815999999992</v>
      </c>
      <c r="E39" s="181">
        <v>911.8599999999999</v>
      </c>
      <c r="F39" s="181">
        <v>419.09999999999997</v>
      </c>
      <c r="G39" s="181">
        <v>19.303999999999998</v>
      </c>
      <c r="H39" s="181">
        <v>32.003999999999998</v>
      </c>
      <c r="I39" s="181">
        <v>0</v>
      </c>
      <c r="J39" s="181">
        <v>31.496000000000002</v>
      </c>
      <c r="K39" s="181">
        <v>6.54</v>
      </c>
      <c r="L39" s="181">
        <v>41.4</v>
      </c>
      <c r="M39" s="181">
        <v>6243471383.999999</v>
      </c>
      <c r="N39" s="181">
        <v>15453001.351999998</v>
      </c>
      <c r="O39" s="181">
        <v>13715972.567999998</v>
      </c>
      <c r="P39" s="181">
        <v>378.46</v>
      </c>
      <c r="Q39" s="181">
        <v>391257540.06399995</v>
      </c>
      <c r="R39" s="181">
        <v>2884123.2639999995</v>
      </c>
      <c r="S39" s="181">
        <v>1868125.2959999999</v>
      </c>
      <c r="T39" s="181">
        <v>94.74199999999999</v>
      </c>
      <c r="U39" s="181">
        <v>11904218.772159999</v>
      </c>
      <c r="V39" s="181">
        <v>75727114364307.063</v>
      </c>
    </row>
    <row r="40" spans="1:22">
      <c r="A40" s="2" t="s">
        <v>95</v>
      </c>
      <c r="B40" s="2" t="s">
        <v>96</v>
      </c>
      <c r="C40" s="181">
        <v>380.96895999999998</v>
      </c>
      <c r="D40" s="181">
        <v>48645.063999999998</v>
      </c>
      <c r="E40" s="181">
        <v>949.95999999999992</v>
      </c>
      <c r="F40" s="181">
        <v>309.87999999999994</v>
      </c>
      <c r="G40" s="181">
        <v>24.383999999999997</v>
      </c>
      <c r="H40" s="181">
        <v>43.942</v>
      </c>
      <c r="I40" s="181">
        <v>0</v>
      </c>
      <c r="J40" s="181">
        <v>22.732999999999997</v>
      </c>
      <c r="K40" s="181">
        <v>3.53</v>
      </c>
      <c r="L40" s="181">
        <v>33.799999999999997</v>
      </c>
      <c r="M40" s="181">
        <v>6992687950.079999</v>
      </c>
      <c r="N40" s="181">
        <v>17042546.559999999</v>
      </c>
      <c r="O40" s="181">
        <v>14666422.279999999</v>
      </c>
      <c r="P40" s="181">
        <v>378.46</v>
      </c>
      <c r="Q40" s="181">
        <v>219770192.71679997</v>
      </c>
      <c r="R40" s="181">
        <v>2245027.7679999997</v>
      </c>
      <c r="S40" s="181">
        <v>1417481.0359999998</v>
      </c>
      <c r="T40" s="181">
        <v>67.309999999999988</v>
      </c>
      <c r="U40" s="181">
        <v>22018642.414239999</v>
      </c>
      <c r="V40" s="181">
        <v>45114025578736.125</v>
      </c>
    </row>
    <row r="41" spans="1:22">
      <c r="A41" s="2" t="s">
        <v>97</v>
      </c>
      <c r="B41" s="2" t="s">
        <v>98</v>
      </c>
      <c r="C41" s="181">
        <v>345.25311999999997</v>
      </c>
      <c r="D41" s="181">
        <v>43935.395999999993</v>
      </c>
      <c r="E41" s="181">
        <v>942.34</v>
      </c>
      <c r="F41" s="181">
        <v>307.33999999999997</v>
      </c>
      <c r="G41" s="181">
        <v>22.097999999999999</v>
      </c>
      <c r="H41" s="181">
        <v>39.878</v>
      </c>
      <c r="I41" s="181">
        <v>0</v>
      </c>
      <c r="J41" s="181">
        <v>22.034499999999994</v>
      </c>
      <c r="K41" s="181">
        <v>3.86</v>
      </c>
      <c r="L41" s="181">
        <v>37.299999999999997</v>
      </c>
      <c r="M41" s="181">
        <v>6243471383.999999</v>
      </c>
      <c r="N41" s="181">
        <v>15338291.903999999</v>
      </c>
      <c r="O41" s="181">
        <v>13257134.775999999</v>
      </c>
      <c r="P41" s="181">
        <v>375.92</v>
      </c>
      <c r="Q41" s="181">
        <v>194796307.18079999</v>
      </c>
      <c r="R41" s="181">
        <v>1999221.8079999997</v>
      </c>
      <c r="S41" s="181">
        <v>1265081.3407999999</v>
      </c>
      <c r="T41" s="181">
        <v>66.548000000000002</v>
      </c>
      <c r="U41" s="181">
        <v>16482764.453759998</v>
      </c>
      <c r="V41" s="181">
        <v>39743308247934.203</v>
      </c>
    </row>
    <row r="42" spans="1:22">
      <c r="A42" s="2" t="s">
        <v>99</v>
      </c>
      <c r="B42" s="2" t="s">
        <v>100</v>
      </c>
      <c r="C42" s="181">
        <v>312.5136</v>
      </c>
      <c r="D42" s="181">
        <v>39870.887999999999</v>
      </c>
      <c r="E42" s="181">
        <v>932.18000000000006</v>
      </c>
      <c r="F42" s="181">
        <v>309.87999999999994</v>
      </c>
      <c r="G42" s="181">
        <v>21.081999999999997</v>
      </c>
      <c r="H42" s="181">
        <v>34.544000000000004</v>
      </c>
      <c r="I42" s="181">
        <v>0</v>
      </c>
      <c r="J42" s="181">
        <v>24.193499999999993</v>
      </c>
      <c r="K42" s="181">
        <v>4.4800000000000004</v>
      </c>
      <c r="L42" s="181">
        <v>39.1</v>
      </c>
      <c r="M42" s="181">
        <v>5494254817.9199991</v>
      </c>
      <c r="N42" s="181">
        <v>13650424.311999999</v>
      </c>
      <c r="O42" s="181">
        <v>11782299.015999999</v>
      </c>
      <c r="P42" s="181">
        <v>370.84</v>
      </c>
      <c r="Q42" s="181">
        <v>171071115.92159998</v>
      </c>
      <c r="R42" s="181">
        <v>1753415.8479999998</v>
      </c>
      <c r="S42" s="181">
        <v>1106126.8199999998</v>
      </c>
      <c r="T42" s="181">
        <v>65.531999999999996</v>
      </c>
      <c r="U42" s="181">
        <v>11654479.9168</v>
      </c>
      <c r="V42" s="181">
        <v>34372590917132.285</v>
      </c>
    </row>
    <row r="43" spans="1:22">
      <c r="A43" s="2" t="s">
        <v>101</v>
      </c>
      <c r="B43" s="2" t="s">
        <v>102</v>
      </c>
      <c r="C43" s="181">
        <v>288.70303999999999</v>
      </c>
      <c r="D43" s="181">
        <v>36774.119999999995</v>
      </c>
      <c r="E43" s="181">
        <v>927.09999999999991</v>
      </c>
      <c r="F43" s="181">
        <v>307.33999999999997</v>
      </c>
      <c r="G43" s="181">
        <v>19.431000000000001</v>
      </c>
      <c r="H43" s="181">
        <v>32.003999999999998</v>
      </c>
      <c r="I43" s="181">
        <v>0</v>
      </c>
      <c r="J43" s="181">
        <v>23.558500000000002</v>
      </c>
      <c r="K43" s="181">
        <v>4.8099999999999996</v>
      </c>
      <c r="L43" s="181">
        <v>42.4</v>
      </c>
      <c r="M43" s="181">
        <v>5036400249.7599993</v>
      </c>
      <c r="N43" s="181">
        <v>12568878.088</v>
      </c>
      <c r="O43" s="181">
        <v>10881010.495999999</v>
      </c>
      <c r="P43" s="181">
        <v>370.84</v>
      </c>
      <c r="Q43" s="181">
        <v>156086784.59999999</v>
      </c>
      <c r="R43" s="181">
        <v>1601016.1527999998</v>
      </c>
      <c r="S43" s="181">
        <v>1014359.2615999999</v>
      </c>
      <c r="T43" s="181">
        <v>65.024000000000001</v>
      </c>
      <c r="U43" s="181">
        <v>9240337.6483199988</v>
      </c>
      <c r="V43" s="181">
        <v>31150160518651.133</v>
      </c>
    </row>
    <row r="44" spans="1:22">
      <c r="A44" s="2" t="s">
        <v>103</v>
      </c>
      <c r="B44" s="2" t="s">
        <v>104</v>
      </c>
      <c r="C44" s="181">
        <v>270.84512000000001</v>
      </c>
      <c r="D44" s="181">
        <v>34580.576000000001</v>
      </c>
      <c r="E44" s="181">
        <v>922.01999999999987</v>
      </c>
      <c r="F44" s="181">
        <v>307.33999999999997</v>
      </c>
      <c r="G44" s="181">
        <v>18.414999999999999</v>
      </c>
      <c r="H44" s="181">
        <v>29.971999999999998</v>
      </c>
      <c r="I44" s="181">
        <v>0</v>
      </c>
      <c r="J44" s="181">
        <v>24.002999999999997</v>
      </c>
      <c r="K44" s="181">
        <v>5.12</v>
      </c>
      <c r="L44" s="181">
        <v>44.8</v>
      </c>
      <c r="M44" s="181">
        <v>4703415109.2799997</v>
      </c>
      <c r="N44" s="181">
        <v>11765911.952</v>
      </c>
      <c r="O44" s="181">
        <v>10209140.872</v>
      </c>
      <c r="P44" s="181">
        <v>368.29999999999995</v>
      </c>
      <c r="Q44" s="181">
        <v>144432304.68319997</v>
      </c>
      <c r="R44" s="181">
        <v>1486306.7047999999</v>
      </c>
      <c r="S44" s="181">
        <v>943894.88639999996</v>
      </c>
      <c r="T44" s="181">
        <v>64.77</v>
      </c>
      <c r="U44" s="181">
        <v>7700281.3735999996</v>
      </c>
      <c r="V44" s="181">
        <v>28733337719790.27</v>
      </c>
    </row>
    <row r="45" spans="1:22">
      <c r="A45" s="2" t="s">
        <v>105</v>
      </c>
      <c r="B45" s="2" t="s">
        <v>106</v>
      </c>
      <c r="C45" s="181">
        <v>252.9872</v>
      </c>
      <c r="D45" s="181">
        <v>32322.516</v>
      </c>
      <c r="E45" s="181">
        <v>919.48</v>
      </c>
      <c r="F45" s="181">
        <v>304.79999999999995</v>
      </c>
      <c r="G45" s="181">
        <v>17.272000000000002</v>
      </c>
      <c r="H45" s="181">
        <v>27.94</v>
      </c>
      <c r="I45" s="181">
        <v>0</v>
      </c>
      <c r="J45" s="181">
        <v>22.859999999999996</v>
      </c>
      <c r="K45" s="181">
        <v>5.47</v>
      </c>
      <c r="L45" s="181">
        <v>47.7</v>
      </c>
      <c r="M45" s="181">
        <v>4370429968.7999992</v>
      </c>
      <c r="N45" s="181">
        <v>10946558.751999998</v>
      </c>
      <c r="O45" s="181">
        <v>9520884.1839999985</v>
      </c>
      <c r="P45" s="181">
        <v>368.29999999999995</v>
      </c>
      <c r="Q45" s="181">
        <v>133194056.19199999</v>
      </c>
      <c r="R45" s="181">
        <v>1373235.9631999999</v>
      </c>
      <c r="S45" s="181">
        <v>871791.80479999993</v>
      </c>
      <c r="T45" s="181">
        <v>64.261999999999986</v>
      </c>
      <c r="U45" s="181">
        <v>6285094.5265599992</v>
      </c>
      <c r="V45" s="181">
        <v>26423929267545.445</v>
      </c>
    </row>
    <row r="46" spans="1:22">
      <c r="A46" s="2" t="s">
        <v>107</v>
      </c>
      <c r="B46" s="2" t="s">
        <v>108</v>
      </c>
      <c r="C46" s="181">
        <v>238.10559999999998</v>
      </c>
      <c r="D46" s="181">
        <v>30322.519999999997</v>
      </c>
      <c r="E46" s="181">
        <v>914.4</v>
      </c>
      <c r="F46" s="181">
        <v>304.79999999999995</v>
      </c>
      <c r="G46" s="181">
        <v>16.509999999999998</v>
      </c>
      <c r="H46" s="181">
        <v>25.907999999999998</v>
      </c>
      <c r="I46" s="181">
        <v>0</v>
      </c>
      <c r="J46" s="181">
        <v>23.304500000000001</v>
      </c>
      <c r="K46" s="181">
        <v>5.88</v>
      </c>
      <c r="L46" s="181">
        <v>49.9</v>
      </c>
      <c r="M46" s="181">
        <v>4062418713.8559995</v>
      </c>
      <c r="N46" s="181">
        <v>10225527.935999999</v>
      </c>
      <c r="O46" s="181">
        <v>8881788.6879999992</v>
      </c>
      <c r="P46" s="181">
        <v>365.76</v>
      </c>
      <c r="Q46" s="181">
        <v>122788270.55199999</v>
      </c>
      <c r="R46" s="181">
        <v>1266720.0471999999</v>
      </c>
      <c r="S46" s="181">
        <v>804604.84239999996</v>
      </c>
      <c r="T46" s="181">
        <v>63.5</v>
      </c>
      <c r="U46" s="181">
        <v>5161269.6774399998</v>
      </c>
      <c r="V46" s="181">
        <v>24248788748570.668</v>
      </c>
    </row>
    <row r="47" spans="1:22">
      <c r="A47" s="2" t="s">
        <v>109</v>
      </c>
      <c r="B47" s="2" t="s">
        <v>110</v>
      </c>
      <c r="C47" s="181">
        <v>223.22399999999999</v>
      </c>
      <c r="D47" s="181">
        <v>28516.072</v>
      </c>
      <c r="E47" s="181">
        <v>911.8599999999999</v>
      </c>
      <c r="F47" s="181">
        <v>304.79999999999995</v>
      </c>
      <c r="G47" s="181">
        <v>15.875</v>
      </c>
      <c r="H47" s="181">
        <v>23.875999999999998</v>
      </c>
      <c r="I47" s="181">
        <v>0</v>
      </c>
      <c r="J47" s="181">
        <v>23.749000000000002</v>
      </c>
      <c r="K47" s="181">
        <v>6.37</v>
      </c>
      <c r="L47" s="181">
        <v>51.9</v>
      </c>
      <c r="M47" s="181">
        <v>3762732087.4239998</v>
      </c>
      <c r="N47" s="181">
        <v>9520884.1839999985</v>
      </c>
      <c r="O47" s="181">
        <v>8259080.2559999991</v>
      </c>
      <c r="P47" s="181">
        <v>363.21999999999997</v>
      </c>
      <c r="Q47" s="181">
        <v>112382484.91199999</v>
      </c>
      <c r="R47" s="181">
        <v>1161842.8376</v>
      </c>
      <c r="S47" s="181">
        <v>739056.58639999991</v>
      </c>
      <c r="T47" s="181">
        <v>62.738</v>
      </c>
      <c r="U47" s="181">
        <v>4203937.3985599997</v>
      </c>
      <c r="V47" s="181">
        <v>22100501816249.898</v>
      </c>
    </row>
    <row r="48" spans="1:22">
      <c r="A48" s="2" t="s">
        <v>111</v>
      </c>
      <c r="B48" s="2" t="s">
        <v>112</v>
      </c>
      <c r="C48" s="181">
        <v>200.9016</v>
      </c>
      <c r="D48" s="181">
        <v>25612.851999999999</v>
      </c>
      <c r="E48" s="181">
        <v>904.24</v>
      </c>
      <c r="F48" s="181">
        <v>304.79999999999995</v>
      </c>
      <c r="G48" s="181">
        <v>15.239999999999998</v>
      </c>
      <c r="H48" s="181">
        <v>20.065999999999999</v>
      </c>
      <c r="I48" s="181">
        <v>0</v>
      </c>
      <c r="J48" s="181">
        <v>22.796499999999998</v>
      </c>
      <c r="K48" s="181">
        <v>7.56</v>
      </c>
      <c r="L48" s="181">
        <v>54.1</v>
      </c>
      <c r="M48" s="181">
        <v>3246605119.6799998</v>
      </c>
      <c r="N48" s="181">
        <v>8341015.5759999994</v>
      </c>
      <c r="O48" s="181">
        <v>7193921.095999999</v>
      </c>
      <c r="P48" s="181">
        <v>355.59999999999997</v>
      </c>
      <c r="Q48" s="181">
        <v>93652070.75999999</v>
      </c>
      <c r="R48" s="181">
        <v>978307.72080000001</v>
      </c>
      <c r="S48" s="181">
        <v>617792.31279999996</v>
      </c>
      <c r="T48" s="181">
        <v>60.451999999999991</v>
      </c>
      <c r="U48" s="181">
        <v>2913619.9791999999</v>
      </c>
      <c r="V48" s="181">
        <v>18260438924726.527</v>
      </c>
    </row>
    <row r="49" spans="1:22">
      <c r="A49" s="2" t="s">
        <v>113</v>
      </c>
      <c r="B49" s="2" t="s">
        <v>114</v>
      </c>
      <c r="C49" s="181">
        <v>575.91791999999998</v>
      </c>
      <c r="D49" s="181">
        <v>73548.239999999991</v>
      </c>
      <c r="E49" s="181">
        <v>914.4</v>
      </c>
      <c r="F49" s="181">
        <v>411.47999999999996</v>
      </c>
      <c r="G49" s="181">
        <v>32.003999999999998</v>
      </c>
      <c r="H49" s="181">
        <v>57.911999999999992</v>
      </c>
      <c r="I49" s="181">
        <v>0</v>
      </c>
      <c r="J49" s="181">
        <v>23.0505</v>
      </c>
      <c r="K49" s="181">
        <v>3.55</v>
      </c>
      <c r="L49" s="181">
        <v>23.7</v>
      </c>
      <c r="M49" s="181">
        <v>10114423642.08</v>
      </c>
      <c r="N49" s="181">
        <v>25563819.839999996</v>
      </c>
      <c r="O49" s="181">
        <v>22122536.399999999</v>
      </c>
      <c r="P49" s="181">
        <v>370.84</v>
      </c>
      <c r="Q49" s="181">
        <v>674294909.47199988</v>
      </c>
      <c r="R49" s="181">
        <v>5112763.9679999994</v>
      </c>
      <c r="S49" s="181">
        <v>3277412.8</v>
      </c>
      <c r="T49" s="181">
        <v>95.757999999999996</v>
      </c>
      <c r="U49" s="181">
        <v>61602250.988799997</v>
      </c>
      <c r="V49" s="181">
        <v>123257962741904.06</v>
      </c>
    </row>
    <row r="50" spans="1:22">
      <c r="A50" s="2" t="s">
        <v>115</v>
      </c>
      <c r="B50" s="2" t="s">
        <v>116</v>
      </c>
      <c r="C50" s="181">
        <v>526.80863999999997</v>
      </c>
      <c r="D50" s="181">
        <v>67096.639999999999</v>
      </c>
      <c r="E50" s="181">
        <v>904.24</v>
      </c>
      <c r="F50" s="181">
        <v>408.94</v>
      </c>
      <c r="G50" s="181">
        <v>29.463999999999995</v>
      </c>
      <c r="H50" s="181">
        <v>53.085999999999991</v>
      </c>
      <c r="I50" s="181">
        <v>0</v>
      </c>
      <c r="J50" s="181">
        <v>21.526500000000006</v>
      </c>
      <c r="K50" s="181">
        <v>3.85</v>
      </c>
      <c r="L50" s="181">
        <v>25.7</v>
      </c>
      <c r="M50" s="181">
        <v>9157091363.1999989</v>
      </c>
      <c r="N50" s="181">
        <v>23269630.879999999</v>
      </c>
      <c r="O50" s="181">
        <v>20319959.359999999</v>
      </c>
      <c r="P50" s="181">
        <v>368.29999999999995</v>
      </c>
      <c r="Q50" s="181">
        <v>607697881.37599993</v>
      </c>
      <c r="R50" s="181">
        <v>4621152.0479999995</v>
      </c>
      <c r="S50" s="181">
        <v>2966058.5839999998</v>
      </c>
      <c r="T50" s="181">
        <v>94.995999999999995</v>
      </c>
      <c r="U50" s="181">
        <v>47866613.943999998</v>
      </c>
      <c r="V50" s="181">
        <v>109831169414899.27</v>
      </c>
    </row>
    <row r="51" spans="1:22">
      <c r="A51" s="2" t="s">
        <v>117</v>
      </c>
      <c r="B51" s="2" t="s">
        <v>118</v>
      </c>
      <c r="C51" s="181">
        <v>473.23487999999998</v>
      </c>
      <c r="D51" s="181">
        <v>60386.975999999995</v>
      </c>
      <c r="E51" s="181">
        <v>894.08</v>
      </c>
      <c r="F51" s="181">
        <v>406.4</v>
      </c>
      <c r="G51" s="181">
        <v>26.416</v>
      </c>
      <c r="H51" s="181">
        <v>48.005999999999993</v>
      </c>
      <c r="I51" s="181">
        <v>0</v>
      </c>
      <c r="J51" s="181">
        <v>21.844000000000001</v>
      </c>
      <c r="K51" s="181">
        <v>4.2300000000000004</v>
      </c>
      <c r="L51" s="181">
        <v>28.7</v>
      </c>
      <c r="M51" s="181">
        <v>8116512799.1999989</v>
      </c>
      <c r="N51" s="181">
        <v>20811571.279999997</v>
      </c>
      <c r="O51" s="181">
        <v>18189641.039999999</v>
      </c>
      <c r="P51" s="181">
        <v>368.29999999999995</v>
      </c>
      <c r="Q51" s="181">
        <v>536938539.02399993</v>
      </c>
      <c r="R51" s="181">
        <v>4096765.9999999995</v>
      </c>
      <c r="S51" s="181">
        <v>2638317.3039999995</v>
      </c>
      <c r="T51" s="181">
        <v>94.233999999999995</v>
      </c>
      <c r="U51" s="181">
        <v>35129932.320639998</v>
      </c>
      <c r="V51" s="181">
        <v>95867304354814.266</v>
      </c>
    </row>
    <row r="52" spans="1:22">
      <c r="A52" s="2" t="s">
        <v>119</v>
      </c>
      <c r="B52" s="2" t="s">
        <v>120</v>
      </c>
      <c r="C52" s="181">
        <v>433.05455999999998</v>
      </c>
      <c r="D52" s="181">
        <v>55290.212</v>
      </c>
      <c r="E52" s="181">
        <v>883.91999999999985</v>
      </c>
      <c r="F52" s="181">
        <v>403.86</v>
      </c>
      <c r="G52" s="181">
        <v>24.383999999999997</v>
      </c>
      <c r="H52" s="181">
        <v>43.942</v>
      </c>
      <c r="I52" s="181">
        <v>0</v>
      </c>
      <c r="J52" s="181">
        <v>22.732999999999997</v>
      </c>
      <c r="K52" s="181">
        <v>4.5999999999999996</v>
      </c>
      <c r="L52" s="181">
        <v>31</v>
      </c>
      <c r="M52" s="181">
        <v>7367296233.1199989</v>
      </c>
      <c r="N52" s="181">
        <v>19008994.239999998</v>
      </c>
      <c r="O52" s="181">
        <v>16714805.279999999</v>
      </c>
      <c r="P52" s="181">
        <v>365.76</v>
      </c>
      <c r="Q52" s="181">
        <v>482828453.69599998</v>
      </c>
      <c r="R52" s="181">
        <v>3703476.4639999997</v>
      </c>
      <c r="S52" s="181">
        <v>2392511.3439999996</v>
      </c>
      <c r="T52" s="181">
        <v>93.471999999999994</v>
      </c>
      <c r="U52" s="181">
        <v>27096665.806559995</v>
      </c>
      <c r="V52" s="181">
        <v>85394405559750.516</v>
      </c>
    </row>
    <row r="53" spans="1:22">
      <c r="A53" s="2" t="s">
        <v>121</v>
      </c>
      <c r="B53" s="2" t="s">
        <v>122</v>
      </c>
      <c r="C53" s="181">
        <v>391.38607999999999</v>
      </c>
      <c r="D53" s="181">
        <v>49999.899999999994</v>
      </c>
      <c r="E53" s="181">
        <v>876.3</v>
      </c>
      <c r="F53" s="181">
        <v>401.32</v>
      </c>
      <c r="G53" s="181">
        <v>22.097999999999999</v>
      </c>
      <c r="H53" s="181">
        <v>39.878</v>
      </c>
      <c r="I53" s="181">
        <v>0</v>
      </c>
      <c r="J53" s="181">
        <v>22.034499999999994</v>
      </c>
      <c r="K53" s="181">
        <v>5.03</v>
      </c>
      <c r="L53" s="181">
        <v>34.299999999999997</v>
      </c>
      <c r="M53" s="181">
        <v>6618079667.039999</v>
      </c>
      <c r="N53" s="181">
        <v>17042546.559999999</v>
      </c>
      <c r="O53" s="181">
        <v>15059711.815999998</v>
      </c>
      <c r="P53" s="181">
        <v>363.21999999999997</v>
      </c>
      <c r="Q53" s="181">
        <v>432880682.62399995</v>
      </c>
      <c r="R53" s="181">
        <v>3310186.9279999998</v>
      </c>
      <c r="S53" s="181">
        <v>2146705.3839999996</v>
      </c>
      <c r="T53" s="181">
        <v>92.963999999999999</v>
      </c>
      <c r="U53" s="181">
        <v>20270470.426720001</v>
      </c>
      <c r="V53" s="181">
        <v>75727114364307.063</v>
      </c>
    </row>
    <row r="54" spans="1:22">
      <c r="A54" s="2" t="s">
        <v>123</v>
      </c>
      <c r="B54" s="2" t="s">
        <v>124</v>
      </c>
      <c r="C54" s="181">
        <v>358.64655999999997</v>
      </c>
      <c r="D54" s="181">
        <v>45806.36</v>
      </c>
      <c r="E54" s="181">
        <v>868.68000000000006</v>
      </c>
      <c r="F54" s="181">
        <v>403.86</v>
      </c>
      <c r="G54" s="181">
        <v>21.081999999999997</v>
      </c>
      <c r="H54" s="181">
        <v>35.559999999999995</v>
      </c>
      <c r="I54" s="181">
        <v>0</v>
      </c>
      <c r="J54" s="181">
        <v>21.590000000000003</v>
      </c>
      <c r="K54" s="181">
        <v>5.66</v>
      </c>
      <c r="L54" s="181">
        <v>35.9</v>
      </c>
      <c r="M54" s="181">
        <v>5910486243.5199995</v>
      </c>
      <c r="N54" s="181">
        <v>15403840.159999998</v>
      </c>
      <c r="O54" s="181">
        <v>13617650.183999998</v>
      </c>
      <c r="P54" s="181">
        <v>358.14</v>
      </c>
      <c r="Q54" s="181">
        <v>388343920.08479995</v>
      </c>
      <c r="R54" s="181">
        <v>2982445.6479999996</v>
      </c>
      <c r="S54" s="181">
        <v>1933673.5519999999</v>
      </c>
      <c r="T54" s="181">
        <v>91.947999999999993</v>
      </c>
      <c r="U54" s="181">
        <v>15067577.606720001</v>
      </c>
      <c r="V54" s="181">
        <v>67402502501564.094</v>
      </c>
    </row>
    <row r="55" spans="1:22">
      <c r="A55" s="2" t="s">
        <v>125</v>
      </c>
      <c r="B55" s="2" t="s">
        <v>126</v>
      </c>
      <c r="C55" s="181">
        <v>328.88335999999998</v>
      </c>
      <c r="D55" s="181">
        <v>42064.432000000001</v>
      </c>
      <c r="E55" s="181">
        <v>861.06</v>
      </c>
      <c r="F55" s="181">
        <v>401.32</v>
      </c>
      <c r="G55" s="181">
        <v>19.684999999999999</v>
      </c>
      <c r="H55" s="181">
        <v>32.257999999999996</v>
      </c>
      <c r="I55" s="181">
        <v>0</v>
      </c>
      <c r="J55" s="181">
        <v>21.716999999999999</v>
      </c>
      <c r="K55" s="181">
        <v>6.2</v>
      </c>
      <c r="L55" s="181">
        <v>38.5</v>
      </c>
      <c r="M55" s="181">
        <v>5369385390.2399998</v>
      </c>
      <c r="N55" s="181">
        <v>14043713.847999999</v>
      </c>
      <c r="O55" s="181">
        <v>12437781.575999999</v>
      </c>
      <c r="P55" s="181">
        <v>358.14</v>
      </c>
      <c r="Q55" s="181">
        <v>349634397.50399995</v>
      </c>
      <c r="R55" s="181">
        <v>2687478.4959999998</v>
      </c>
      <c r="S55" s="181">
        <v>1737028.7839999998</v>
      </c>
      <c r="T55" s="181">
        <v>91.185999999999993</v>
      </c>
      <c r="U55" s="181">
        <v>11571233.631679999</v>
      </c>
      <c r="V55" s="181">
        <v>60152034104981.5</v>
      </c>
    </row>
    <row r="56" spans="1:22">
      <c r="A56" s="2" t="s">
        <v>127</v>
      </c>
      <c r="B56" s="2" t="s">
        <v>128</v>
      </c>
      <c r="C56" s="181">
        <v>299.12016</v>
      </c>
      <c r="D56" s="181">
        <v>38193.472000000002</v>
      </c>
      <c r="E56" s="181">
        <v>855.98</v>
      </c>
      <c r="F56" s="181">
        <v>398.78</v>
      </c>
      <c r="G56" s="181">
        <v>18.160999999999998</v>
      </c>
      <c r="H56" s="181">
        <v>29.209999999999997</v>
      </c>
      <c r="I56" s="181">
        <v>0</v>
      </c>
      <c r="J56" s="181">
        <v>21.59</v>
      </c>
      <c r="K56" s="181">
        <v>6.85</v>
      </c>
      <c r="L56" s="181">
        <v>41.7</v>
      </c>
      <c r="M56" s="181">
        <v>4828284536.9599991</v>
      </c>
      <c r="N56" s="181">
        <v>12667200.471999999</v>
      </c>
      <c r="O56" s="181">
        <v>11241525.903999999</v>
      </c>
      <c r="P56" s="181">
        <v>355.59999999999997</v>
      </c>
      <c r="Q56" s="181">
        <v>311757337.7744</v>
      </c>
      <c r="R56" s="181">
        <v>2408898.4079999998</v>
      </c>
      <c r="S56" s="181">
        <v>1560048.4927999999</v>
      </c>
      <c r="T56" s="181">
        <v>90.423999999999992</v>
      </c>
      <c r="U56" s="181">
        <v>8657613.6524799988</v>
      </c>
      <c r="V56" s="181">
        <v>53170101574939.008</v>
      </c>
    </row>
    <row r="57" spans="1:22">
      <c r="A57" s="2" t="s">
        <v>129</v>
      </c>
      <c r="B57" s="2" t="s">
        <v>130</v>
      </c>
      <c r="C57" s="181">
        <v>251.49903999999998</v>
      </c>
      <c r="D57" s="181">
        <v>31935.42</v>
      </c>
      <c r="E57" s="181">
        <v>858.51999999999987</v>
      </c>
      <c r="F57" s="181">
        <v>292.09999999999997</v>
      </c>
      <c r="G57" s="181">
        <v>17.018000000000001</v>
      </c>
      <c r="H57" s="181">
        <v>30.987999999999996</v>
      </c>
      <c r="I57" s="181">
        <v>0</v>
      </c>
      <c r="J57" s="181">
        <v>22.986999999999998</v>
      </c>
      <c r="K57" s="181">
        <v>4.71</v>
      </c>
      <c r="L57" s="181">
        <v>44.7</v>
      </c>
      <c r="M57" s="181">
        <v>3866789943.8239994</v>
      </c>
      <c r="N57" s="181">
        <v>10307463.255999999</v>
      </c>
      <c r="O57" s="181">
        <v>8996498.1359999999</v>
      </c>
      <c r="P57" s="181">
        <v>347.97999999999996</v>
      </c>
      <c r="Q57" s="181">
        <v>129031741.93599999</v>
      </c>
      <c r="R57" s="181">
        <v>1383068.2016</v>
      </c>
      <c r="S57" s="181">
        <v>883262.74959999986</v>
      </c>
      <c r="T57" s="181">
        <v>63.5</v>
      </c>
      <c r="U57" s="181">
        <v>7367296.2331199991</v>
      </c>
      <c r="V57" s="181">
        <v>22127355402903.91</v>
      </c>
    </row>
    <row r="58" spans="1:22">
      <c r="A58" s="2" t="s">
        <v>131</v>
      </c>
      <c r="B58" s="2" t="s">
        <v>132</v>
      </c>
      <c r="C58" s="181">
        <v>226.20031999999998</v>
      </c>
      <c r="D58" s="181">
        <v>28903.167999999998</v>
      </c>
      <c r="E58" s="181">
        <v>850.9</v>
      </c>
      <c r="F58" s="181">
        <v>294.64</v>
      </c>
      <c r="G58" s="181">
        <v>16.128999999999998</v>
      </c>
      <c r="H58" s="181">
        <v>26.923999999999999</v>
      </c>
      <c r="I58" s="181">
        <v>0</v>
      </c>
      <c r="J58" s="181">
        <v>22.288499999999999</v>
      </c>
      <c r="K58" s="181">
        <v>5.48</v>
      </c>
      <c r="L58" s="181">
        <v>47.2</v>
      </c>
      <c r="M58" s="181">
        <v>3396448432.8959994</v>
      </c>
      <c r="N58" s="181">
        <v>9160368.7759999987</v>
      </c>
      <c r="O58" s="181">
        <v>7980500.1679999996</v>
      </c>
      <c r="P58" s="181">
        <v>342.9</v>
      </c>
      <c r="Q58" s="181">
        <v>113631179.18879999</v>
      </c>
      <c r="R58" s="181">
        <v>1211004.0296</v>
      </c>
      <c r="S58" s="181">
        <v>773469.42079999996</v>
      </c>
      <c r="T58" s="181">
        <v>62.738</v>
      </c>
      <c r="U58" s="181">
        <v>5161269.6774399998</v>
      </c>
      <c r="V58" s="181">
        <v>19280875217578.891</v>
      </c>
    </row>
    <row r="59" spans="1:22">
      <c r="A59" s="2" t="s">
        <v>133</v>
      </c>
      <c r="B59" s="2" t="s">
        <v>134</v>
      </c>
      <c r="C59" s="181">
        <v>209.83055999999999</v>
      </c>
      <c r="D59" s="181">
        <v>26838.655999999999</v>
      </c>
      <c r="E59" s="181">
        <v>845.81999999999994</v>
      </c>
      <c r="F59" s="181">
        <v>292.09999999999997</v>
      </c>
      <c r="G59" s="181">
        <v>15.366999999999999</v>
      </c>
      <c r="H59" s="181">
        <v>24.383999999999997</v>
      </c>
      <c r="I59" s="181">
        <v>0</v>
      </c>
      <c r="J59" s="181">
        <v>21.653499999999998</v>
      </c>
      <c r="K59" s="181">
        <v>6.01</v>
      </c>
      <c r="L59" s="181">
        <v>49.6</v>
      </c>
      <c r="M59" s="181">
        <v>3100924120.7199998</v>
      </c>
      <c r="N59" s="181">
        <v>8422950.8959999997</v>
      </c>
      <c r="O59" s="181">
        <v>7341404.6719999993</v>
      </c>
      <c r="P59" s="181">
        <v>340.36</v>
      </c>
      <c r="Q59" s="181">
        <v>102392930.69759999</v>
      </c>
      <c r="R59" s="181">
        <v>1096294.5815999999</v>
      </c>
      <c r="S59" s="181">
        <v>699727.63280000002</v>
      </c>
      <c r="T59" s="181">
        <v>61.722000000000001</v>
      </c>
      <c r="U59" s="181">
        <v>4037444.8283199994</v>
      </c>
      <c r="V59" s="181">
        <v>17266856218528.172</v>
      </c>
    </row>
    <row r="60" spans="1:22">
      <c r="A60" s="2" t="s">
        <v>135</v>
      </c>
      <c r="B60" s="2" t="s">
        <v>136</v>
      </c>
      <c r="C60" s="181">
        <v>193.46079999999998</v>
      </c>
      <c r="D60" s="181">
        <v>24709.627999999997</v>
      </c>
      <c r="E60" s="181">
        <v>840.74</v>
      </c>
      <c r="F60" s="181">
        <v>292.09999999999997</v>
      </c>
      <c r="G60" s="181">
        <v>14.731999999999998</v>
      </c>
      <c r="H60" s="181">
        <v>21.716999999999999</v>
      </c>
      <c r="I60" s="181">
        <v>0</v>
      </c>
      <c r="J60" s="181">
        <v>22.732999999999997</v>
      </c>
      <c r="K60" s="181">
        <v>6.73</v>
      </c>
      <c r="L60" s="181">
        <v>51.7</v>
      </c>
      <c r="M60" s="181">
        <v>2792912865.7759995</v>
      </c>
      <c r="N60" s="181">
        <v>7652758.8879999993</v>
      </c>
      <c r="O60" s="181">
        <v>6653147.9839999992</v>
      </c>
      <c r="P60" s="181">
        <v>335.28</v>
      </c>
      <c r="Q60" s="181">
        <v>90738450.780799985</v>
      </c>
      <c r="R60" s="181">
        <v>975030.30799999996</v>
      </c>
      <c r="S60" s="181">
        <v>621069.72559999989</v>
      </c>
      <c r="T60" s="181">
        <v>60.706000000000003</v>
      </c>
      <c r="U60" s="181">
        <v>3067625.6066719997</v>
      </c>
      <c r="V60" s="181">
        <v>15199130046169.434</v>
      </c>
    </row>
    <row r="61" spans="1:22">
      <c r="A61" s="2" t="s">
        <v>137</v>
      </c>
      <c r="B61" s="2" t="s">
        <v>138</v>
      </c>
      <c r="C61" s="181">
        <v>175.60288</v>
      </c>
      <c r="D61" s="181">
        <v>22387.052</v>
      </c>
      <c r="E61" s="181">
        <v>835.66</v>
      </c>
      <c r="F61" s="181">
        <v>292.09999999999997</v>
      </c>
      <c r="G61" s="181">
        <v>13.97</v>
      </c>
      <c r="H61" s="181">
        <v>18.795999999999999</v>
      </c>
      <c r="I61" s="181">
        <v>0</v>
      </c>
      <c r="J61" s="181">
        <v>22.478999999999999</v>
      </c>
      <c r="K61" s="181">
        <v>7.76</v>
      </c>
      <c r="L61" s="181">
        <v>54.5</v>
      </c>
      <c r="M61" s="181">
        <v>2455765411.04</v>
      </c>
      <c r="N61" s="181">
        <v>6800631.5599999996</v>
      </c>
      <c r="O61" s="181">
        <v>5882955.9759999998</v>
      </c>
      <c r="P61" s="181">
        <v>330.2</v>
      </c>
      <c r="Q61" s="181">
        <v>77835276.587199986</v>
      </c>
      <c r="R61" s="181">
        <v>840656.38319999992</v>
      </c>
      <c r="S61" s="181">
        <v>534218.28639999998</v>
      </c>
      <c r="T61" s="181">
        <v>58.92799999999999</v>
      </c>
      <c r="U61" s="181">
        <v>2206026.5556799998</v>
      </c>
      <c r="V61" s="181">
        <v>12943428767232.627</v>
      </c>
    </row>
    <row r="62" spans="1:22">
      <c r="A62" s="2" t="s">
        <v>139</v>
      </c>
      <c r="B62" s="2" t="s">
        <v>140</v>
      </c>
      <c r="C62" s="181">
        <v>581.87055999999995</v>
      </c>
      <c r="D62" s="181">
        <v>74193.399999999994</v>
      </c>
      <c r="E62" s="181">
        <v>843.28</v>
      </c>
      <c r="F62" s="181">
        <v>396.23999999999995</v>
      </c>
      <c r="G62" s="181">
        <v>34.544000000000004</v>
      </c>
      <c r="H62" s="181">
        <v>61.975999999999992</v>
      </c>
      <c r="I62" s="181">
        <v>0</v>
      </c>
      <c r="J62" s="181">
        <v>23.749000000000002</v>
      </c>
      <c r="K62" s="181">
        <v>3.19</v>
      </c>
      <c r="L62" s="181">
        <v>19.7</v>
      </c>
      <c r="M62" s="181">
        <v>8615990509.9200001</v>
      </c>
      <c r="N62" s="181">
        <v>23761242.799999997</v>
      </c>
      <c r="O62" s="181">
        <v>20483829.999999996</v>
      </c>
      <c r="P62" s="181">
        <v>340.36</v>
      </c>
      <c r="Q62" s="181">
        <v>645158709.67999995</v>
      </c>
      <c r="R62" s="181">
        <v>5079989.84</v>
      </c>
      <c r="S62" s="181">
        <v>3244638.6719999998</v>
      </c>
      <c r="T62" s="181">
        <v>93.217999999999989</v>
      </c>
      <c r="U62" s="181">
        <v>72008036.62879999</v>
      </c>
      <c r="V62" s="181">
        <v>98284127153675.125</v>
      </c>
    </row>
    <row r="63" spans="1:22">
      <c r="A63" s="2" t="s">
        <v>141</v>
      </c>
      <c r="B63" s="2" t="s">
        <v>142</v>
      </c>
      <c r="C63" s="181">
        <v>531.27311999999995</v>
      </c>
      <c r="D63" s="181">
        <v>67741.8</v>
      </c>
      <c r="E63" s="181">
        <v>833.11999999999989</v>
      </c>
      <c r="F63" s="181">
        <v>393.7</v>
      </c>
      <c r="G63" s="181">
        <v>31.495999999999999</v>
      </c>
      <c r="H63" s="181">
        <v>56.896000000000001</v>
      </c>
      <c r="I63" s="181">
        <v>0</v>
      </c>
      <c r="J63" s="181">
        <v>22.478999999999999</v>
      </c>
      <c r="K63" s="181">
        <v>3.45</v>
      </c>
      <c r="L63" s="181">
        <v>21.6</v>
      </c>
      <c r="M63" s="181">
        <v>7783527658.7199993</v>
      </c>
      <c r="N63" s="181">
        <v>21630924.479999997</v>
      </c>
      <c r="O63" s="181">
        <v>18681252.959999997</v>
      </c>
      <c r="P63" s="181">
        <v>337.82</v>
      </c>
      <c r="Q63" s="181">
        <v>578561681.58399999</v>
      </c>
      <c r="R63" s="181">
        <v>4571990.8559999997</v>
      </c>
      <c r="S63" s="181">
        <v>2933284.4559999998</v>
      </c>
      <c r="T63" s="181">
        <v>92.456000000000003</v>
      </c>
      <c r="U63" s="181">
        <v>55775011.030399993</v>
      </c>
      <c r="V63" s="181">
        <v>87274156625531.188</v>
      </c>
    </row>
    <row r="64" spans="1:22">
      <c r="A64" s="2" t="s">
        <v>143</v>
      </c>
      <c r="B64" s="2" t="s">
        <v>144</v>
      </c>
      <c r="C64" s="181">
        <v>485.14015999999998</v>
      </c>
      <c r="D64" s="181">
        <v>61806.327999999994</v>
      </c>
      <c r="E64" s="181">
        <v>822.95999999999992</v>
      </c>
      <c r="F64" s="181">
        <v>391.15999999999997</v>
      </c>
      <c r="G64" s="181">
        <v>28.955999999999996</v>
      </c>
      <c r="H64" s="181">
        <v>52.069999999999993</v>
      </c>
      <c r="I64" s="181">
        <v>0</v>
      </c>
      <c r="J64" s="181">
        <v>22.542500000000004</v>
      </c>
      <c r="K64" s="181">
        <v>3.75</v>
      </c>
      <c r="L64" s="181">
        <v>23.4</v>
      </c>
      <c r="M64" s="181">
        <v>6992687950.079999</v>
      </c>
      <c r="N64" s="181">
        <v>19500606.159999996</v>
      </c>
      <c r="O64" s="181">
        <v>17042546.559999999</v>
      </c>
      <c r="P64" s="181">
        <v>335.28</v>
      </c>
      <c r="Q64" s="181">
        <v>516126967.74399996</v>
      </c>
      <c r="R64" s="181">
        <v>4129540.1279999996</v>
      </c>
      <c r="S64" s="181">
        <v>2654704.3679999998</v>
      </c>
      <c r="T64" s="181">
        <v>91.44</v>
      </c>
      <c r="U64" s="181">
        <v>42871836.836799994</v>
      </c>
      <c r="V64" s="181">
        <v>76801257830467.453</v>
      </c>
    </row>
    <row r="65" spans="1:22">
      <c r="A65" s="2" t="s">
        <v>145</v>
      </c>
      <c r="B65" s="2" t="s">
        <v>146</v>
      </c>
      <c r="C65" s="181">
        <v>434.54271999999997</v>
      </c>
      <c r="D65" s="181">
        <v>55419.243999999999</v>
      </c>
      <c r="E65" s="181">
        <v>812.8</v>
      </c>
      <c r="F65" s="181">
        <v>388.62</v>
      </c>
      <c r="G65" s="181">
        <v>25.907999999999998</v>
      </c>
      <c r="H65" s="181">
        <v>46.99</v>
      </c>
      <c r="I65" s="181">
        <v>0</v>
      </c>
      <c r="J65" s="181">
        <v>22.859999999999992</v>
      </c>
      <c r="K65" s="181">
        <v>4.12</v>
      </c>
      <c r="L65" s="181">
        <v>26.2</v>
      </c>
      <c r="M65" s="181">
        <v>6201848241.4399996</v>
      </c>
      <c r="N65" s="181">
        <v>17370287.84</v>
      </c>
      <c r="O65" s="181">
        <v>15239969.519999998</v>
      </c>
      <c r="P65" s="181">
        <v>335.28</v>
      </c>
      <c r="Q65" s="181">
        <v>457854568.15999997</v>
      </c>
      <c r="R65" s="181">
        <v>3654315.2719999999</v>
      </c>
      <c r="S65" s="181">
        <v>2359737.216</v>
      </c>
      <c r="T65" s="181">
        <v>90.932000000000002</v>
      </c>
      <c r="U65" s="181">
        <v>31300603.205119997</v>
      </c>
      <c r="V65" s="181">
        <v>67133966635024</v>
      </c>
    </row>
    <row r="66" spans="1:22">
      <c r="A66" s="2" t="s">
        <v>147</v>
      </c>
      <c r="B66" s="2" t="s">
        <v>148</v>
      </c>
      <c r="C66" s="181">
        <v>388.40976000000001</v>
      </c>
      <c r="D66" s="181">
        <v>49612.804000000004</v>
      </c>
      <c r="E66" s="181">
        <v>802.64</v>
      </c>
      <c r="F66" s="181">
        <v>386.08</v>
      </c>
      <c r="G66" s="181">
        <v>23.622</v>
      </c>
      <c r="H66" s="181">
        <v>41.91</v>
      </c>
      <c r="I66" s="181">
        <v>0</v>
      </c>
      <c r="J66" s="181">
        <v>23.177499999999995</v>
      </c>
      <c r="K66" s="181">
        <v>4.59</v>
      </c>
      <c r="L66" s="181">
        <v>28.7</v>
      </c>
      <c r="M66" s="181">
        <v>5452631675.3599997</v>
      </c>
      <c r="N66" s="181">
        <v>15453001.351999998</v>
      </c>
      <c r="O66" s="181">
        <v>13584876.055999998</v>
      </c>
      <c r="P66" s="181">
        <v>332.73999999999995</v>
      </c>
      <c r="Q66" s="181">
        <v>399165937.15039998</v>
      </c>
      <c r="R66" s="181">
        <v>3211864.5439999998</v>
      </c>
      <c r="S66" s="181">
        <v>2081157.1279999998</v>
      </c>
      <c r="T66" s="181">
        <v>89.661999999999992</v>
      </c>
      <c r="U66" s="181">
        <v>22518120.124959998</v>
      </c>
      <c r="V66" s="181">
        <v>57735211306120.641</v>
      </c>
    </row>
    <row r="67" spans="1:22">
      <c r="A67" s="2" t="s">
        <v>149</v>
      </c>
      <c r="B67" s="2" t="s">
        <v>150</v>
      </c>
      <c r="C67" s="181">
        <v>349.7176</v>
      </c>
      <c r="D67" s="181">
        <v>44645.072</v>
      </c>
      <c r="E67" s="181">
        <v>795.02</v>
      </c>
      <c r="F67" s="181">
        <v>383.53999999999996</v>
      </c>
      <c r="G67" s="181">
        <v>21.081999999999997</v>
      </c>
      <c r="H67" s="181">
        <v>38.099999999999994</v>
      </c>
      <c r="I67" s="181">
        <v>0</v>
      </c>
      <c r="J67" s="181">
        <v>22.225000000000001</v>
      </c>
      <c r="K67" s="181">
        <v>5.0199999999999996</v>
      </c>
      <c r="L67" s="181">
        <v>32.200000000000003</v>
      </c>
      <c r="M67" s="181">
        <v>4869907679.5199995</v>
      </c>
      <c r="N67" s="181">
        <v>13879843.207999999</v>
      </c>
      <c r="O67" s="181">
        <v>12257523.872</v>
      </c>
      <c r="P67" s="181">
        <v>330.2</v>
      </c>
      <c r="Q67" s="181">
        <v>355877868.88799995</v>
      </c>
      <c r="R67" s="181">
        <v>2867736.1999999997</v>
      </c>
      <c r="S67" s="181">
        <v>1868125.2959999999</v>
      </c>
      <c r="T67" s="181">
        <v>89.153999999999996</v>
      </c>
      <c r="U67" s="181">
        <v>16774126.451679997</v>
      </c>
      <c r="V67" s="181">
        <v>51021814642618.234</v>
      </c>
    </row>
    <row r="68" spans="1:22">
      <c r="A68" s="2" t="s">
        <v>151</v>
      </c>
      <c r="B68" s="2" t="s">
        <v>152</v>
      </c>
      <c r="C68" s="181">
        <v>314.00175999999999</v>
      </c>
      <c r="D68" s="181">
        <v>40128.951999999997</v>
      </c>
      <c r="E68" s="181">
        <v>784.8599999999999</v>
      </c>
      <c r="F68" s="181">
        <v>383.53999999999996</v>
      </c>
      <c r="G68" s="181">
        <v>19.684999999999999</v>
      </c>
      <c r="H68" s="181">
        <v>33.527999999999999</v>
      </c>
      <c r="I68" s="181">
        <v>0</v>
      </c>
      <c r="J68" s="181">
        <v>23.622</v>
      </c>
      <c r="K68" s="181">
        <v>5.74</v>
      </c>
      <c r="L68" s="181">
        <v>34.5</v>
      </c>
      <c r="M68" s="181">
        <v>4287183683.6799994</v>
      </c>
      <c r="N68" s="181">
        <v>12306685.063999999</v>
      </c>
      <c r="O68" s="181">
        <v>10897397.559999999</v>
      </c>
      <c r="P68" s="181">
        <v>327.65999999999997</v>
      </c>
      <c r="Q68" s="181">
        <v>315087189.17919999</v>
      </c>
      <c r="R68" s="181">
        <v>2539994.92</v>
      </c>
      <c r="S68" s="181">
        <v>1638706.4</v>
      </c>
      <c r="T68" s="181">
        <v>88.646000000000001</v>
      </c>
      <c r="U68" s="181">
        <v>11820972.487039998</v>
      </c>
      <c r="V68" s="181">
        <v>44576953845655.93</v>
      </c>
    </row>
    <row r="69" spans="1:22">
      <c r="A69" s="2" t="s">
        <v>153</v>
      </c>
      <c r="B69" s="2" t="s">
        <v>154</v>
      </c>
      <c r="C69" s="181">
        <v>284.23856000000001</v>
      </c>
      <c r="D69" s="181">
        <v>36322.507999999994</v>
      </c>
      <c r="E69" s="181">
        <v>779.78</v>
      </c>
      <c r="F69" s="181">
        <v>381</v>
      </c>
      <c r="G69" s="181">
        <v>18.033999999999999</v>
      </c>
      <c r="H69" s="181">
        <v>30.225999999999996</v>
      </c>
      <c r="I69" s="181">
        <v>0</v>
      </c>
      <c r="J69" s="181">
        <v>22.1615</v>
      </c>
      <c r="K69" s="181">
        <v>6.35</v>
      </c>
      <c r="L69" s="181">
        <v>37.700000000000003</v>
      </c>
      <c r="M69" s="181">
        <v>3829329115.5199995</v>
      </c>
      <c r="N69" s="181">
        <v>11061268.199999999</v>
      </c>
      <c r="O69" s="181">
        <v>9832238.3999999985</v>
      </c>
      <c r="P69" s="181">
        <v>325.12</v>
      </c>
      <c r="Q69" s="181">
        <v>280123749.42879999</v>
      </c>
      <c r="R69" s="181">
        <v>2261414.8319999999</v>
      </c>
      <c r="S69" s="181">
        <v>1466642.2279999999</v>
      </c>
      <c r="T69" s="181">
        <v>87.884</v>
      </c>
      <c r="U69" s="181">
        <v>8740859.9375999998</v>
      </c>
      <c r="V69" s="181">
        <v>39206236514854.016</v>
      </c>
    </row>
    <row r="70" spans="1:22">
      <c r="A70" s="2" t="s">
        <v>155</v>
      </c>
      <c r="B70" s="2" t="s">
        <v>156</v>
      </c>
      <c r="C70" s="181">
        <v>257.45168000000001</v>
      </c>
      <c r="D70" s="181">
        <v>32903.159999999996</v>
      </c>
      <c r="E70" s="181">
        <v>772.16</v>
      </c>
      <c r="F70" s="181">
        <v>381</v>
      </c>
      <c r="G70" s="181">
        <v>16.637</v>
      </c>
      <c r="H70" s="181">
        <v>27.178000000000001</v>
      </c>
      <c r="I70" s="181">
        <v>0</v>
      </c>
      <c r="J70" s="181">
        <v>23.621999999999996</v>
      </c>
      <c r="K70" s="181">
        <v>7.04</v>
      </c>
      <c r="L70" s="181">
        <v>40.799999999999997</v>
      </c>
      <c r="M70" s="181">
        <v>3425584632.6879997</v>
      </c>
      <c r="N70" s="181">
        <v>9946947.8479999993</v>
      </c>
      <c r="O70" s="181">
        <v>8865401.6239999998</v>
      </c>
      <c r="P70" s="181">
        <v>322.58</v>
      </c>
      <c r="Q70" s="181">
        <v>248906392.50879997</v>
      </c>
      <c r="R70" s="181">
        <v>2015608.8719999997</v>
      </c>
      <c r="S70" s="181">
        <v>1307687.7071999998</v>
      </c>
      <c r="T70" s="181">
        <v>86.867999999999995</v>
      </c>
      <c r="U70" s="181">
        <v>6493210.2393599991</v>
      </c>
      <c r="V70" s="181">
        <v>34641126783672.383</v>
      </c>
    </row>
    <row r="71" spans="1:22">
      <c r="A71" s="2" t="s">
        <v>157</v>
      </c>
      <c r="B71" s="2" t="s">
        <v>158</v>
      </c>
      <c r="C71" s="181">
        <v>220.24768</v>
      </c>
      <c r="D71" s="181">
        <v>28064.46</v>
      </c>
      <c r="E71" s="181">
        <v>779.78</v>
      </c>
      <c r="F71" s="181">
        <v>266.7</v>
      </c>
      <c r="G71" s="181">
        <v>16.509999999999998</v>
      </c>
      <c r="H71" s="181">
        <v>29.971999999999998</v>
      </c>
      <c r="I71" s="181">
        <v>0</v>
      </c>
      <c r="J71" s="181">
        <v>22.415499999999998</v>
      </c>
      <c r="K71" s="181">
        <v>4.4400000000000004</v>
      </c>
      <c r="L71" s="181">
        <v>41.6</v>
      </c>
      <c r="M71" s="181">
        <v>2780425923.0079999</v>
      </c>
      <c r="N71" s="181">
        <v>8193531.9999999991</v>
      </c>
      <c r="O71" s="181">
        <v>7144759.9039999992</v>
      </c>
      <c r="P71" s="181">
        <v>314.95999999999998</v>
      </c>
      <c r="Q71" s="181">
        <v>94484533.61119999</v>
      </c>
      <c r="R71" s="181">
        <v>1114320.352</v>
      </c>
      <c r="S71" s="181">
        <v>709559.87119999994</v>
      </c>
      <c r="T71" s="181">
        <v>57.911999999999992</v>
      </c>
      <c r="U71" s="181">
        <v>6035355.6711999997</v>
      </c>
      <c r="V71" s="181">
        <v>13265671807080.742</v>
      </c>
    </row>
    <row r="72" spans="1:22">
      <c r="A72" s="2" t="s">
        <v>159</v>
      </c>
      <c r="B72" s="2" t="s">
        <v>160</v>
      </c>
      <c r="C72" s="181">
        <v>196.43711999999999</v>
      </c>
      <c r="D72" s="181">
        <v>25096.723999999998</v>
      </c>
      <c r="E72" s="181">
        <v>769.62</v>
      </c>
      <c r="F72" s="181">
        <v>266.7</v>
      </c>
      <c r="G72" s="181">
        <v>15.620999999999999</v>
      </c>
      <c r="H72" s="181">
        <v>25.4</v>
      </c>
      <c r="I72" s="181">
        <v>0</v>
      </c>
      <c r="J72" s="181">
        <v>22.225000000000001</v>
      </c>
      <c r="K72" s="181">
        <v>5.27</v>
      </c>
      <c r="L72" s="181">
        <v>43.9</v>
      </c>
      <c r="M72" s="181">
        <v>2401655325.7119999</v>
      </c>
      <c r="N72" s="181">
        <v>7161146.9679999994</v>
      </c>
      <c r="O72" s="181">
        <v>6227084.3199999994</v>
      </c>
      <c r="P72" s="181">
        <v>309.87999999999994</v>
      </c>
      <c r="Q72" s="181">
        <v>81581359.417599991</v>
      </c>
      <c r="R72" s="181">
        <v>957004.53759999992</v>
      </c>
      <c r="S72" s="181">
        <v>609598.78079999995</v>
      </c>
      <c r="T72" s="181">
        <v>57.15</v>
      </c>
      <c r="U72" s="181">
        <v>4045769.4568320001</v>
      </c>
      <c r="V72" s="181">
        <v>11305359981338.041</v>
      </c>
    </row>
    <row r="73" spans="1:22">
      <c r="A73" s="2" t="s">
        <v>161</v>
      </c>
      <c r="B73" s="2" t="s">
        <v>162</v>
      </c>
      <c r="C73" s="181">
        <v>184.53183999999999</v>
      </c>
      <c r="D73" s="181">
        <v>23548.34</v>
      </c>
      <c r="E73" s="181">
        <v>767.07999999999993</v>
      </c>
      <c r="F73" s="181">
        <v>266.7</v>
      </c>
      <c r="G73" s="181">
        <v>14.858999999999998</v>
      </c>
      <c r="H73" s="181">
        <v>23.622</v>
      </c>
      <c r="I73" s="181">
        <v>0</v>
      </c>
      <c r="J73" s="181">
        <v>22.415499999999994</v>
      </c>
      <c r="K73" s="181">
        <v>5.65</v>
      </c>
      <c r="L73" s="181">
        <v>46.2</v>
      </c>
      <c r="M73" s="181">
        <v>2231000441.2159996</v>
      </c>
      <c r="N73" s="181">
        <v>6685922.1119999997</v>
      </c>
      <c r="O73" s="181">
        <v>5817407.7199999997</v>
      </c>
      <c r="P73" s="181">
        <v>307.33999999999997</v>
      </c>
      <c r="Q73" s="181">
        <v>75337888.033599988</v>
      </c>
      <c r="R73" s="181">
        <v>884901.45599999989</v>
      </c>
      <c r="S73" s="181">
        <v>563715.00159999996</v>
      </c>
      <c r="T73" s="181">
        <v>56.641999999999996</v>
      </c>
      <c r="U73" s="181">
        <v>3325689.0905439998</v>
      </c>
      <c r="V73" s="181">
        <v>10392338035101.715</v>
      </c>
    </row>
    <row r="74" spans="1:22">
      <c r="A74" s="2" t="s">
        <v>163</v>
      </c>
      <c r="B74" s="2" t="s">
        <v>164</v>
      </c>
      <c r="C74" s="181">
        <v>172.62655999999998</v>
      </c>
      <c r="D74" s="181">
        <v>22064.472000000002</v>
      </c>
      <c r="E74" s="181">
        <v>762</v>
      </c>
      <c r="F74" s="181">
        <v>266.7</v>
      </c>
      <c r="G74" s="181">
        <v>14.350999999999997</v>
      </c>
      <c r="H74" s="181">
        <v>21.59</v>
      </c>
      <c r="I74" s="181">
        <v>0</v>
      </c>
      <c r="J74" s="181">
        <v>22.859999999999996</v>
      </c>
      <c r="K74" s="181">
        <v>6.17</v>
      </c>
      <c r="L74" s="181">
        <v>47.8</v>
      </c>
      <c r="M74" s="181">
        <v>2052020928.2079997</v>
      </c>
      <c r="N74" s="181">
        <v>6194310.1919999998</v>
      </c>
      <c r="O74" s="181">
        <v>5391344.0559999999</v>
      </c>
      <c r="P74" s="181">
        <v>304.79999999999995</v>
      </c>
      <c r="Q74" s="181">
        <v>68261953.7984</v>
      </c>
      <c r="R74" s="181">
        <v>806243.54879999999</v>
      </c>
      <c r="S74" s="181">
        <v>512915.10319999995</v>
      </c>
      <c r="T74" s="181">
        <v>55.625999999999998</v>
      </c>
      <c r="U74" s="181">
        <v>2676368.0666079996</v>
      </c>
      <c r="V74" s="181">
        <v>9371901742249.3496</v>
      </c>
    </row>
    <row r="75" spans="1:22">
      <c r="A75" s="2" t="s">
        <v>165</v>
      </c>
      <c r="B75" s="2" t="s">
        <v>166</v>
      </c>
      <c r="C75" s="181">
        <v>160.72127999999998</v>
      </c>
      <c r="D75" s="181">
        <v>20451.572</v>
      </c>
      <c r="E75" s="181">
        <v>756.92</v>
      </c>
      <c r="F75" s="181">
        <v>266.7</v>
      </c>
      <c r="G75" s="181">
        <v>13.843</v>
      </c>
      <c r="H75" s="181">
        <v>19.303999999999998</v>
      </c>
      <c r="I75" s="181">
        <v>0</v>
      </c>
      <c r="J75" s="181">
        <v>23.558499999999999</v>
      </c>
      <c r="K75" s="181">
        <v>6.89</v>
      </c>
      <c r="L75" s="181">
        <v>49.6</v>
      </c>
      <c r="M75" s="181">
        <v>1860554472.4319999</v>
      </c>
      <c r="N75" s="181">
        <v>5669924.1439999994</v>
      </c>
      <c r="O75" s="181">
        <v>4899732.1359999999</v>
      </c>
      <c r="P75" s="181">
        <v>302.26</v>
      </c>
      <c r="Q75" s="181">
        <v>60769788.137599997</v>
      </c>
      <c r="R75" s="181">
        <v>719392.10959999997</v>
      </c>
      <c r="S75" s="181">
        <v>457199.08559999993</v>
      </c>
      <c r="T75" s="181">
        <v>54.609999999999992</v>
      </c>
      <c r="U75" s="181">
        <v>2076994.8137439999</v>
      </c>
      <c r="V75" s="181">
        <v>8270904689434.9561</v>
      </c>
    </row>
    <row r="76" spans="1:22">
      <c r="A76" s="2" t="s">
        <v>167</v>
      </c>
      <c r="B76" s="2" t="s">
        <v>168</v>
      </c>
      <c r="C76" s="181">
        <v>147.32783999999998</v>
      </c>
      <c r="D76" s="181">
        <v>18774.155999999999</v>
      </c>
      <c r="E76" s="181">
        <v>754.38</v>
      </c>
      <c r="F76" s="181">
        <v>266.7</v>
      </c>
      <c r="G76" s="181">
        <v>13.208</v>
      </c>
      <c r="H76" s="181">
        <v>17.018000000000001</v>
      </c>
      <c r="I76" s="181">
        <v>0</v>
      </c>
      <c r="J76" s="181">
        <v>22.669499999999999</v>
      </c>
      <c r="K76" s="181">
        <v>7.8</v>
      </c>
      <c r="L76" s="181">
        <v>51.9</v>
      </c>
      <c r="M76" s="181">
        <v>1660763388.1439998</v>
      </c>
      <c r="N76" s="181">
        <v>5112763.9679999994</v>
      </c>
      <c r="O76" s="181">
        <v>4408120.216</v>
      </c>
      <c r="P76" s="181">
        <v>297.17999999999995</v>
      </c>
      <c r="Q76" s="181">
        <v>53277622.476799995</v>
      </c>
      <c r="R76" s="181">
        <v>632540.67039999994</v>
      </c>
      <c r="S76" s="181">
        <v>401483.06799999997</v>
      </c>
      <c r="T76" s="181">
        <v>53.339999999999996</v>
      </c>
      <c r="U76" s="181">
        <v>1569192.4745119999</v>
      </c>
      <c r="V76" s="181">
        <v>7223614809928.582</v>
      </c>
    </row>
    <row r="77" spans="1:22">
      <c r="A77" s="2" t="s">
        <v>169</v>
      </c>
      <c r="B77" s="2" t="s">
        <v>170</v>
      </c>
      <c r="C77" s="181">
        <v>133.93439999999998</v>
      </c>
      <c r="D77" s="181">
        <v>17032.223999999998</v>
      </c>
      <c r="E77" s="181">
        <v>749.3</v>
      </c>
      <c r="F77" s="181">
        <v>264.15999999999997</v>
      </c>
      <c r="G77" s="181">
        <v>11.937999999999999</v>
      </c>
      <c r="H77" s="181">
        <v>15.493999999999998</v>
      </c>
      <c r="I77" s="181">
        <v>0</v>
      </c>
      <c r="J77" s="181">
        <v>22.605999999999995</v>
      </c>
      <c r="K77" s="181">
        <v>8.52</v>
      </c>
      <c r="L77" s="181">
        <v>57.5</v>
      </c>
      <c r="M77" s="181">
        <v>1502595446.4159999</v>
      </c>
      <c r="N77" s="181">
        <v>4637539.1119999997</v>
      </c>
      <c r="O77" s="181">
        <v>4014830.6799999997</v>
      </c>
      <c r="P77" s="181">
        <v>297.17999999999995</v>
      </c>
      <c r="Q77" s="181">
        <v>47866613.943999998</v>
      </c>
      <c r="R77" s="181">
        <v>568631.12080000003</v>
      </c>
      <c r="S77" s="181">
        <v>362154.11439999996</v>
      </c>
      <c r="T77" s="181">
        <v>53.085999999999991</v>
      </c>
      <c r="U77" s="181">
        <v>1182097.2487039999</v>
      </c>
      <c r="V77" s="181">
        <v>6444860796962.3037</v>
      </c>
    </row>
    <row r="78" spans="1:22">
      <c r="A78" s="2" t="s">
        <v>171</v>
      </c>
      <c r="B78" s="2" t="s">
        <v>172</v>
      </c>
      <c r="C78" s="181">
        <v>802.11824000000001</v>
      </c>
      <c r="D78" s="181">
        <v>102580.43999999999</v>
      </c>
      <c r="E78" s="181">
        <v>825.5</v>
      </c>
      <c r="F78" s="181">
        <v>388.62</v>
      </c>
      <c r="G78" s="181">
        <v>50.037999999999997</v>
      </c>
      <c r="H78" s="181">
        <v>89.915999999999997</v>
      </c>
      <c r="I78" s="181">
        <v>0</v>
      </c>
      <c r="J78" s="181">
        <v>22.796499999999995</v>
      </c>
      <c r="K78" s="181">
        <v>2.15</v>
      </c>
      <c r="L78" s="181">
        <v>12.1</v>
      </c>
      <c r="M78" s="181">
        <v>10655524495.359999</v>
      </c>
      <c r="N78" s="181">
        <v>30971550.959999997</v>
      </c>
      <c r="O78" s="181">
        <v>25727690.479999997</v>
      </c>
      <c r="P78" s="181">
        <v>322.58</v>
      </c>
      <c r="Q78" s="181">
        <v>878248308.01599991</v>
      </c>
      <c r="R78" s="181">
        <v>7161146.9679999994</v>
      </c>
      <c r="S78" s="181">
        <v>4539216.7279999992</v>
      </c>
      <c r="T78" s="181">
        <v>92.71</v>
      </c>
      <c r="U78" s="181">
        <v>206450787.09759998</v>
      </c>
      <c r="V78" s="181">
        <v>118961388877262.52</v>
      </c>
    </row>
    <row r="79" spans="1:22">
      <c r="A79" s="2" t="s">
        <v>173</v>
      </c>
      <c r="B79" s="2" t="s">
        <v>174</v>
      </c>
      <c r="C79" s="181">
        <v>547.64287999999999</v>
      </c>
      <c r="D79" s="181">
        <v>69677.279999999999</v>
      </c>
      <c r="E79" s="181">
        <v>772.16</v>
      </c>
      <c r="F79" s="181">
        <v>373.37999999999994</v>
      </c>
      <c r="G79" s="181">
        <v>35.051999999999992</v>
      </c>
      <c r="H79" s="181">
        <v>62.991999999999997</v>
      </c>
      <c r="I79" s="181">
        <v>0</v>
      </c>
      <c r="J79" s="181">
        <v>22.732999999999997</v>
      </c>
      <c r="K79" s="181">
        <v>2.96</v>
      </c>
      <c r="L79" s="181">
        <v>17.3</v>
      </c>
      <c r="M79" s="181">
        <v>6742949094.7199993</v>
      </c>
      <c r="N79" s="181">
        <v>20319959.359999999</v>
      </c>
      <c r="O79" s="181">
        <v>17370287.84</v>
      </c>
      <c r="P79" s="181">
        <v>309.87999999999994</v>
      </c>
      <c r="Q79" s="181">
        <v>545263167.53599989</v>
      </c>
      <c r="R79" s="181">
        <v>4571990.8559999997</v>
      </c>
      <c r="S79" s="181">
        <v>2933284.4559999998</v>
      </c>
      <c r="T79" s="181">
        <v>88.391999999999996</v>
      </c>
      <c r="U79" s="181">
        <v>70759342.351999998</v>
      </c>
      <c r="V79" s="181">
        <v>68476645967724.477</v>
      </c>
    </row>
    <row r="80" spans="1:22">
      <c r="A80" s="2" t="s">
        <v>175</v>
      </c>
      <c r="B80" s="2" t="s">
        <v>176</v>
      </c>
      <c r="C80" s="181">
        <v>500.02175999999997</v>
      </c>
      <c r="D80" s="181">
        <v>63806.324000000001</v>
      </c>
      <c r="E80" s="181">
        <v>762</v>
      </c>
      <c r="F80" s="181">
        <v>370.84</v>
      </c>
      <c r="G80" s="181">
        <v>32.003999999999998</v>
      </c>
      <c r="H80" s="181">
        <v>57.911999999999992</v>
      </c>
      <c r="I80" s="181">
        <v>0</v>
      </c>
      <c r="J80" s="181">
        <v>23.0505</v>
      </c>
      <c r="K80" s="181">
        <v>3.19</v>
      </c>
      <c r="L80" s="181">
        <v>18.899999999999999</v>
      </c>
      <c r="M80" s="181">
        <v>6076978813.7599993</v>
      </c>
      <c r="N80" s="181">
        <v>18517382.319999997</v>
      </c>
      <c r="O80" s="181">
        <v>15928226.207999999</v>
      </c>
      <c r="P80" s="181">
        <v>307.33999999999997</v>
      </c>
      <c r="Q80" s="181">
        <v>491153082.20799994</v>
      </c>
      <c r="R80" s="181">
        <v>4129540.1279999996</v>
      </c>
      <c r="S80" s="181">
        <v>2654704.3679999998</v>
      </c>
      <c r="T80" s="181">
        <v>87.63</v>
      </c>
      <c r="U80" s="181">
        <v>54526316.753599994</v>
      </c>
      <c r="V80" s="181">
        <v>60957641704601.789</v>
      </c>
    </row>
    <row r="81" spans="1:22">
      <c r="A81" s="2" t="s">
        <v>177</v>
      </c>
      <c r="B81" s="2" t="s">
        <v>178</v>
      </c>
      <c r="C81" s="181">
        <v>456.86511999999999</v>
      </c>
      <c r="D81" s="181">
        <v>58322.464</v>
      </c>
      <c r="E81" s="181">
        <v>751.84</v>
      </c>
      <c r="F81" s="181">
        <v>365.76</v>
      </c>
      <c r="G81" s="181">
        <v>29.463999999999995</v>
      </c>
      <c r="H81" s="181">
        <v>53.085999999999991</v>
      </c>
      <c r="I81" s="181">
        <v>0</v>
      </c>
      <c r="J81" s="181">
        <v>23.113999999999997</v>
      </c>
      <c r="K81" s="181">
        <v>3.46</v>
      </c>
      <c r="L81" s="181">
        <v>20.6</v>
      </c>
      <c r="M81" s="181">
        <v>5452631675.3599997</v>
      </c>
      <c r="N81" s="181">
        <v>16878675.919999998</v>
      </c>
      <c r="O81" s="181">
        <v>14535325.767999999</v>
      </c>
      <c r="P81" s="181">
        <v>304.79999999999995</v>
      </c>
      <c r="Q81" s="181">
        <v>437042996.87999994</v>
      </c>
      <c r="R81" s="181">
        <v>3719863.5279999995</v>
      </c>
      <c r="S81" s="181">
        <v>2392511.3439999996</v>
      </c>
      <c r="T81" s="181">
        <v>86.614000000000004</v>
      </c>
      <c r="U81" s="181">
        <v>42039373.985599995</v>
      </c>
      <c r="V81" s="181">
        <v>53438637441479.102</v>
      </c>
    </row>
    <row r="82" spans="1:22">
      <c r="A82" s="2" t="s">
        <v>179</v>
      </c>
      <c r="B82" s="2" t="s">
        <v>180</v>
      </c>
      <c r="C82" s="181">
        <v>418.17295999999999</v>
      </c>
      <c r="D82" s="181">
        <v>53483.764000000003</v>
      </c>
      <c r="E82" s="181">
        <v>744.22</v>
      </c>
      <c r="F82" s="181">
        <v>365.76</v>
      </c>
      <c r="G82" s="181">
        <v>26.923999999999999</v>
      </c>
      <c r="H82" s="181">
        <v>49.021999999999998</v>
      </c>
      <c r="I82" s="181">
        <v>0</v>
      </c>
      <c r="J82" s="181">
        <v>22.415500000000002</v>
      </c>
      <c r="K82" s="181">
        <v>3.72</v>
      </c>
      <c r="L82" s="181">
        <v>22.5</v>
      </c>
      <c r="M82" s="181">
        <v>4953153964.6399994</v>
      </c>
      <c r="N82" s="181">
        <v>15338291.903999999</v>
      </c>
      <c r="O82" s="181">
        <v>13339070.095999999</v>
      </c>
      <c r="P82" s="181">
        <v>304.79999999999995</v>
      </c>
      <c r="Q82" s="181">
        <v>396668548.59679997</v>
      </c>
      <c r="R82" s="181">
        <v>3375735.1839999999</v>
      </c>
      <c r="S82" s="181">
        <v>2179479.5119999996</v>
      </c>
      <c r="T82" s="181">
        <v>86.105999999999995</v>
      </c>
      <c r="U82" s="181">
        <v>33090398.335199997</v>
      </c>
      <c r="V82" s="181">
        <v>47799384244137.086</v>
      </c>
    </row>
    <row r="83" spans="1:22">
      <c r="A83" s="2" t="s">
        <v>181</v>
      </c>
      <c r="B83" s="2" t="s">
        <v>182</v>
      </c>
      <c r="C83" s="181">
        <v>383.94527999999997</v>
      </c>
      <c r="D83" s="181">
        <v>49032.159999999996</v>
      </c>
      <c r="E83" s="181">
        <v>736.59999999999991</v>
      </c>
      <c r="F83" s="181">
        <v>363.21999999999997</v>
      </c>
      <c r="G83" s="181">
        <v>24.891999999999999</v>
      </c>
      <c r="H83" s="181">
        <v>44.957999999999998</v>
      </c>
      <c r="I83" s="181">
        <v>0</v>
      </c>
      <c r="J83" s="181">
        <v>23.304500000000004</v>
      </c>
      <c r="K83" s="181">
        <v>4.03</v>
      </c>
      <c r="L83" s="181">
        <v>24.4</v>
      </c>
      <c r="M83" s="181">
        <v>4495299396.4799995</v>
      </c>
      <c r="N83" s="181">
        <v>13961778.527999999</v>
      </c>
      <c r="O83" s="181">
        <v>12208362.68</v>
      </c>
      <c r="P83" s="181">
        <v>302.26</v>
      </c>
      <c r="Q83" s="181">
        <v>357542794.59039998</v>
      </c>
      <c r="R83" s="181">
        <v>3064380.9679999999</v>
      </c>
      <c r="S83" s="181">
        <v>1966447.6799999997</v>
      </c>
      <c r="T83" s="181">
        <v>85.343999999999994</v>
      </c>
      <c r="U83" s="181">
        <v>25639855.81696</v>
      </c>
      <c r="V83" s="181">
        <v>42697202779875.258</v>
      </c>
    </row>
    <row r="84" spans="1:22">
      <c r="A84" s="2" t="s">
        <v>183</v>
      </c>
      <c r="B84" s="2" t="s">
        <v>184</v>
      </c>
      <c r="C84" s="181">
        <v>349.7176</v>
      </c>
      <c r="D84" s="181">
        <v>44774.103999999999</v>
      </c>
      <c r="E84" s="181">
        <v>728.9799999999999</v>
      </c>
      <c r="F84" s="181">
        <v>360.67999999999995</v>
      </c>
      <c r="G84" s="181">
        <v>23.114000000000001</v>
      </c>
      <c r="H84" s="181">
        <v>40.893999999999998</v>
      </c>
      <c r="I84" s="181">
        <v>0</v>
      </c>
      <c r="J84" s="181">
        <v>22.606000000000002</v>
      </c>
      <c r="K84" s="181">
        <v>4.41</v>
      </c>
      <c r="L84" s="181">
        <v>26.2</v>
      </c>
      <c r="M84" s="181">
        <v>4037444828.3199997</v>
      </c>
      <c r="N84" s="181">
        <v>12650813.407999998</v>
      </c>
      <c r="O84" s="181">
        <v>11094042.328</v>
      </c>
      <c r="P84" s="181">
        <v>299.72000000000003</v>
      </c>
      <c r="Q84" s="181">
        <v>320081966.28639996</v>
      </c>
      <c r="R84" s="181">
        <v>2753026.7519999999</v>
      </c>
      <c r="S84" s="181">
        <v>1769802.9119999998</v>
      </c>
      <c r="T84" s="181">
        <v>84.581999999999994</v>
      </c>
      <c r="U84" s="181">
        <v>19562877.003199998</v>
      </c>
      <c r="V84" s="181">
        <v>37863557182153.531</v>
      </c>
    </row>
    <row r="85" spans="1:22">
      <c r="A85" s="2" t="s">
        <v>185</v>
      </c>
      <c r="B85" s="2" t="s">
        <v>186</v>
      </c>
      <c r="C85" s="181">
        <v>322.93072000000001</v>
      </c>
      <c r="D85" s="181">
        <v>41290.239999999998</v>
      </c>
      <c r="E85" s="181">
        <v>721.3599999999999</v>
      </c>
      <c r="F85" s="181">
        <v>358.14</v>
      </c>
      <c r="G85" s="181">
        <v>21.081999999999997</v>
      </c>
      <c r="H85" s="181">
        <v>38.099999999999994</v>
      </c>
      <c r="I85" s="181">
        <v>0</v>
      </c>
      <c r="J85" s="181">
        <v>22.225000000000001</v>
      </c>
      <c r="K85" s="181">
        <v>4.71</v>
      </c>
      <c r="L85" s="181">
        <v>28.7</v>
      </c>
      <c r="M85" s="181">
        <v>3708622002.0959997</v>
      </c>
      <c r="N85" s="181">
        <v>11651202.503999999</v>
      </c>
      <c r="O85" s="181">
        <v>10274689.127999999</v>
      </c>
      <c r="P85" s="181">
        <v>299.72000000000003</v>
      </c>
      <c r="Q85" s="181">
        <v>293026923.62239999</v>
      </c>
      <c r="R85" s="181">
        <v>2523607.8559999997</v>
      </c>
      <c r="S85" s="181">
        <v>1635428.9871999999</v>
      </c>
      <c r="T85" s="181">
        <v>84.327999999999989</v>
      </c>
      <c r="U85" s="181">
        <v>15650301.602559999</v>
      </c>
      <c r="V85" s="181">
        <v>34372590917132.285</v>
      </c>
    </row>
    <row r="86" spans="1:22">
      <c r="A86" s="2" t="s">
        <v>187</v>
      </c>
      <c r="B86" s="2" t="s">
        <v>188</v>
      </c>
      <c r="C86" s="181">
        <v>288.70303999999999</v>
      </c>
      <c r="D86" s="181">
        <v>36903.152000000002</v>
      </c>
      <c r="E86" s="181">
        <v>713.74</v>
      </c>
      <c r="F86" s="181">
        <v>355.59999999999997</v>
      </c>
      <c r="G86" s="181">
        <v>19.049999999999997</v>
      </c>
      <c r="H86" s="181">
        <v>34.036000000000001</v>
      </c>
      <c r="I86" s="181">
        <v>0</v>
      </c>
      <c r="J86" s="181">
        <v>23.113999999999997</v>
      </c>
      <c r="K86" s="181">
        <v>5.24</v>
      </c>
      <c r="L86" s="181">
        <v>31.8</v>
      </c>
      <c r="M86" s="181">
        <v>3271579005.2159996</v>
      </c>
      <c r="N86" s="181">
        <v>10340237.384</v>
      </c>
      <c r="O86" s="181">
        <v>9160368.7759999987</v>
      </c>
      <c r="P86" s="181">
        <v>297.17999999999995</v>
      </c>
      <c r="Q86" s="181">
        <v>257647252.44639999</v>
      </c>
      <c r="R86" s="181">
        <v>2228640.7039999999</v>
      </c>
      <c r="S86" s="181">
        <v>1443700.3383999998</v>
      </c>
      <c r="T86" s="181">
        <v>83.566000000000003</v>
      </c>
      <c r="U86" s="181">
        <v>11279871.63376</v>
      </c>
      <c r="V86" s="181">
        <v>29807481185950.656</v>
      </c>
    </row>
    <row r="87" spans="1:22">
      <c r="A87" s="2" t="s">
        <v>189</v>
      </c>
      <c r="B87" s="2" t="s">
        <v>190</v>
      </c>
      <c r="C87" s="181">
        <v>264.89247999999998</v>
      </c>
      <c r="D87" s="181">
        <v>33870.9</v>
      </c>
      <c r="E87" s="181">
        <v>706.12</v>
      </c>
      <c r="F87" s="181">
        <v>358.14</v>
      </c>
      <c r="G87" s="181">
        <v>18.414999999999999</v>
      </c>
      <c r="H87" s="181">
        <v>30.225999999999996</v>
      </c>
      <c r="I87" s="181">
        <v>0</v>
      </c>
      <c r="J87" s="181">
        <v>22.1615</v>
      </c>
      <c r="K87" s="181">
        <v>5.92</v>
      </c>
      <c r="L87" s="181">
        <v>32.9</v>
      </c>
      <c r="M87" s="181">
        <v>2921944607.7119999</v>
      </c>
      <c r="N87" s="181">
        <v>9340626.4799999986</v>
      </c>
      <c r="O87" s="181">
        <v>8275467.3199999994</v>
      </c>
      <c r="P87" s="181">
        <v>294.64</v>
      </c>
      <c r="Q87" s="181">
        <v>231008441.20799997</v>
      </c>
      <c r="R87" s="181">
        <v>1999221.8079999997</v>
      </c>
      <c r="S87" s="181">
        <v>1291300.6431999998</v>
      </c>
      <c r="T87" s="181">
        <v>82.55</v>
      </c>
      <c r="U87" s="181">
        <v>8366251.6545599997</v>
      </c>
      <c r="V87" s="181">
        <v>26397075680891.434</v>
      </c>
    </row>
    <row r="88" spans="1:22">
      <c r="A88" s="2" t="s">
        <v>191</v>
      </c>
      <c r="B88" s="2" t="s">
        <v>192</v>
      </c>
      <c r="C88" s="181">
        <v>239.59375999999997</v>
      </c>
      <c r="D88" s="181">
        <v>30709.615999999998</v>
      </c>
      <c r="E88" s="181">
        <v>701.04</v>
      </c>
      <c r="F88" s="181">
        <v>355.59999999999997</v>
      </c>
      <c r="G88" s="181">
        <v>16.763999999999999</v>
      </c>
      <c r="H88" s="181">
        <v>27.431999999999999</v>
      </c>
      <c r="I88" s="181">
        <v>0</v>
      </c>
      <c r="J88" s="181">
        <v>23.367999999999999</v>
      </c>
      <c r="K88" s="181">
        <v>6.49</v>
      </c>
      <c r="L88" s="181">
        <v>36.1</v>
      </c>
      <c r="M88" s="181">
        <v>2626420295.5359998</v>
      </c>
      <c r="N88" s="181">
        <v>8439337.959999999</v>
      </c>
      <c r="O88" s="181">
        <v>7505275.311999999</v>
      </c>
      <c r="P88" s="181">
        <v>292.09999999999997</v>
      </c>
      <c r="Q88" s="181">
        <v>206867018.52319998</v>
      </c>
      <c r="R88" s="181">
        <v>1786189.9759999998</v>
      </c>
      <c r="S88" s="181">
        <v>1161842.8376</v>
      </c>
      <c r="T88" s="181">
        <v>82.042000000000002</v>
      </c>
      <c r="U88" s="181">
        <v>6285094.5265599992</v>
      </c>
      <c r="V88" s="181">
        <v>23443181148950.379</v>
      </c>
    </row>
    <row r="89" spans="1:22">
      <c r="A89" s="2" t="s">
        <v>193</v>
      </c>
      <c r="B89" s="2" t="s">
        <v>194</v>
      </c>
      <c r="C89" s="181">
        <v>217.27135999999999</v>
      </c>
      <c r="D89" s="181">
        <v>27806.396000000001</v>
      </c>
      <c r="E89" s="181">
        <v>695.95999999999992</v>
      </c>
      <c r="F89" s="181">
        <v>355.59999999999997</v>
      </c>
      <c r="G89" s="181">
        <v>15.366999999999999</v>
      </c>
      <c r="H89" s="181">
        <v>24.764999999999997</v>
      </c>
      <c r="I89" s="181">
        <v>0</v>
      </c>
      <c r="J89" s="181">
        <v>22.860000000000003</v>
      </c>
      <c r="K89" s="181">
        <v>7.16</v>
      </c>
      <c r="L89" s="181">
        <v>39.4</v>
      </c>
      <c r="M89" s="181">
        <v>2355869868.8959999</v>
      </c>
      <c r="N89" s="181">
        <v>7603597.6959999995</v>
      </c>
      <c r="O89" s="181">
        <v>6784244.4959999993</v>
      </c>
      <c r="P89" s="181">
        <v>292.09999999999997</v>
      </c>
      <c r="Q89" s="181">
        <v>184390521.54079998</v>
      </c>
      <c r="R89" s="181">
        <v>1601016.1527999998</v>
      </c>
      <c r="S89" s="181">
        <v>1040578.5639999999</v>
      </c>
      <c r="T89" s="181">
        <v>81.28</v>
      </c>
      <c r="U89" s="181">
        <v>4703415.1092799995</v>
      </c>
      <c r="V89" s="181">
        <v>20730968896895.41</v>
      </c>
    </row>
    <row r="90" spans="1:22">
      <c r="A90" s="2" t="s">
        <v>195</v>
      </c>
      <c r="B90" s="2" t="s">
        <v>196</v>
      </c>
      <c r="C90" s="181">
        <v>191.97263999999998</v>
      </c>
      <c r="D90" s="181">
        <v>24387.047999999995</v>
      </c>
      <c r="E90" s="181">
        <v>701.04</v>
      </c>
      <c r="F90" s="181">
        <v>254</v>
      </c>
      <c r="G90" s="181">
        <v>15.493999999999998</v>
      </c>
      <c r="H90" s="181">
        <v>27.94</v>
      </c>
      <c r="I90" s="181">
        <v>0</v>
      </c>
      <c r="J90" s="181">
        <v>22.859999999999996</v>
      </c>
      <c r="K90" s="181">
        <v>4.55</v>
      </c>
      <c r="L90" s="181">
        <v>39.700000000000003</v>
      </c>
      <c r="M90" s="181">
        <v>1981261585.8559997</v>
      </c>
      <c r="N90" s="181">
        <v>6472890.2799999993</v>
      </c>
      <c r="O90" s="181">
        <v>5653537.0799999991</v>
      </c>
      <c r="P90" s="181">
        <v>284.47999999999996</v>
      </c>
      <c r="Q90" s="181">
        <v>76586582.310399994</v>
      </c>
      <c r="R90" s="181">
        <v>943894.88639999996</v>
      </c>
      <c r="S90" s="181">
        <v>603043.95519999985</v>
      </c>
      <c r="T90" s="181">
        <v>56.133999999999993</v>
      </c>
      <c r="U90" s="181">
        <v>4620168.8241599994</v>
      </c>
      <c r="V90" s="181">
        <v>8700562075899.1104</v>
      </c>
    </row>
    <row r="91" spans="1:22">
      <c r="A91" s="2" t="s">
        <v>197</v>
      </c>
      <c r="B91" s="2" t="s">
        <v>198</v>
      </c>
      <c r="C91" s="181">
        <v>169.65024</v>
      </c>
      <c r="D91" s="181">
        <v>21612.86</v>
      </c>
      <c r="E91" s="181">
        <v>693.42</v>
      </c>
      <c r="F91" s="181">
        <v>256.53999999999996</v>
      </c>
      <c r="G91" s="181">
        <v>14.477999999999998</v>
      </c>
      <c r="H91" s="181">
        <v>23.622</v>
      </c>
      <c r="I91" s="181">
        <v>0</v>
      </c>
      <c r="J91" s="181">
        <v>22.415499999999994</v>
      </c>
      <c r="K91" s="181">
        <v>5.41</v>
      </c>
      <c r="L91" s="181">
        <v>42.5</v>
      </c>
      <c r="M91" s="181">
        <v>1698224216.4479997</v>
      </c>
      <c r="N91" s="181">
        <v>5620762.9519999996</v>
      </c>
      <c r="O91" s="181">
        <v>4899732.1359999999</v>
      </c>
      <c r="P91" s="181">
        <v>279.39999999999998</v>
      </c>
      <c r="Q91" s="181">
        <v>66180796.670399994</v>
      </c>
      <c r="R91" s="181">
        <v>807882.2551999999</v>
      </c>
      <c r="S91" s="181">
        <v>516192.51599999995</v>
      </c>
      <c r="T91" s="181">
        <v>55.372</v>
      </c>
      <c r="U91" s="181">
        <v>3050976.3496479997</v>
      </c>
      <c r="V91" s="181">
        <v>7411589916506.6494</v>
      </c>
    </row>
    <row r="92" spans="1:22">
      <c r="A92" s="2" t="s">
        <v>199</v>
      </c>
      <c r="B92" s="2" t="s">
        <v>200</v>
      </c>
      <c r="C92" s="181">
        <v>151.79231999999999</v>
      </c>
      <c r="D92" s="181">
        <v>19354.8</v>
      </c>
      <c r="E92" s="181">
        <v>688.34</v>
      </c>
      <c r="F92" s="181">
        <v>254</v>
      </c>
      <c r="G92" s="181">
        <v>13.081</v>
      </c>
      <c r="H92" s="181">
        <v>21.081999999999997</v>
      </c>
      <c r="I92" s="181">
        <v>0</v>
      </c>
      <c r="J92" s="181">
        <v>23.367999999999999</v>
      </c>
      <c r="K92" s="181">
        <v>6.03</v>
      </c>
      <c r="L92" s="181">
        <v>47.1</v>
      </c>
      <c r="M92" s="181">
        <v>1506757760.6719999</v>
      </c>
      <c r="N92" s="181">
        <v>4998054.5199999996</v>
      </c>
      <c r="O92" s="181">
        <v>4375346.0879999995</v>
      </c>
      <c r="P92" s="181">
        <v>279.39999999999998</v>
      </c>
      <c r="Q92" s="181">
        <v>57856168.158399992</v>
      </c>
      <c r="R92" s="181">
        <v>711198.57759999996</v>
      </c>
      <c r="S92" s="181">
        <v>455560.37919999997</v>
      </c>
      <c r="T92" s="181">
        <v>54.609999999999992</v>
      </c>
      <c r="U92" s="181">
        <v>2197701.927168</v>
      </c>
      <c r="V92" s="181">
        <v>6444860796962.3037</v>
      </c>
    </row>
    <row r="93" spans="1:22">
      <c r="A93" s="2" t="s">
        <v>201</v>
      </c>
      <c r="B93" s="2" t="s">
        <v>202</v>
      </c>
      <c r="C93" s="181">
        <v>139.88703999999998</v>
      </c>
      <c r="D93" s="181">
        <v>17870.931999999997</v>
      </c>
      <c r="E93" s="181">
        <v>683.25999999999988</v>
      </c>
      <c r="F93" s="181">
        <v>253.74599999999998</v>
      </c>
      <c r="G93" s="181">
        <v>12.446</v>
      </c>
      <c r="H93" s="181">
        <v>18.922999999999998</v>
      </c>
      <c r="I93" s="181">
        <v>0</v>
      </c>
      <c r="J93" s="181">
        <v>22.352</v>
      </c>
      <c r="K93" s="181">
        <v>6.7</v>
      </c>
      <c r="L93" s="181">
        <v>49.5</v>
      </c>
      <c r="M93" s="181">
        <v>1361076761.7119999</v>
      </c>
      <c r="N93" s="181">
        <v>4555603.7919999994</v>
      </c>
      <c r="O93" s="181">
        <v>3982056.5519999997</v>
      </c>
      <c r="P93" s="181">
        <v>276.86</v>
      </c>
      <c r="Q93" s="181">
        <v>51612696.774399996</v>
      </c>
      <c r="R93" s="181">
        <v>635818.08319999988</v>
      </c>
      <c r="S93" s="181">
        <v>406399.18719999999</v>
      </c>
      <c r="T93" s="181">
        <v>53.847999999999999</v>
      </c>
      <c r="U93" s="181">
        <v>1677412.6451679999</v>
      </c>
      <c r="V93" s="181">
        <v>5692960370650.0352</v>
      </c>
    </row>
    <row r="94" spans="1:22">
      <c r="A94" s="2" t="s">
        <v>203</v>
      </c>
      <c r="B94" s="2" t="s">
        <v>204</v>
      </c>
      <c r="C94" s="181">
        <v>125.00543999999999</v>
      </c>
      <c r="D94" s="181">
        <v>15999.967999999999</v>
      </c>
      <c r="E94" s="181">
        <v>678.18</v>
      </c>
      <c r="F94" s="181">
        <v>252.98400000000001</v>
      </c>
      <c r="G94" s="181">
        <v>11.683999999999999</v>
      </c>
      <c r="H94" s="181">
        <v>16.256</v>
      </c>
      <c r="I94" s="181">
        <v>0</v>
      </c>
      <c r="J94" s="181">
        <v>23.4315</v>
      </c>
      <c r="K94" s="181">
        <v>7.78</v>
      </c>
      <c r="L94" s="181">
        <v>52.7</v>
      </c>
      <c r="M94" s="181">
        <v>1186259562.9599998</v>
      </c>
      <c r="N94" s="181">
        <v>3998443.6159999995</v>
      </c>
      <c r="O94" s="181">
        <v>3490444.6319999998</v>
      </c>
      <c r="P94" s="181">
        <v>271.77999999999997</v>
      </c>
      <c r="Q94" s="181">
        <v>44120531.113599993</v>
      </c>
      <c r="R94" s="181">
        <v>544050.52480000001</v>
      </c>
      <c r="S94" s="181">
        <v>347405.75679999997</v>
      </c>
      <c r="T94" s="181">
        <v>52.577999999999996</v>
      </c>
      <c r="U94" s="181">
        <v>1169610.3059359998</v>
      </c>
      <c r="V94" s="181">
        <v>4833645597721.7275</v>
      </c>
    </row>
    <row r="95" spans="1:22">
      <c r="A95" s="2" t="s">
        <v>205</v>
      </c>
      <c r="B95" s="2" t="s">
        <v>206</v>
      </c>
      <c r="C95" s="181">
        <v>550.61919999999998</v>
      </c>
      <c r="D95" s="181">
        <v>70322.44</v>
      </c>
      <c r="E95" s="181">
        <v>711.19999999999993</v>
      </c>
      <c r="F95" s="181">
        <v>347.97999999999996</v>
      </c>
      <c r="G95" s="181">
        <v>38.607999999999997</v>
      </c>
      <c r="H95" s="181">
        <v>69.088000000000008</v>
      </c>
      <c r="I95" s="181">
        <v>0</v>
      </c>
      <c r="J95" s="181">
        <v>22.986999999999981</v>
      </c>
      <c r="K95" s="181">
        <v>2.5099999999999998</v>
      </c>
      <c r="L95" s="181">
        <v>14.2</v>
      </c>
      <c r="M95" s="181">
        <v>5577501103.039999</v>
      </c>
      <c r="N95" s="181">
        <v>18517382.319999997</v>
      </c>
      <c r="O95" s="181">
        <v>15682420.247999998</v>
      </c>
      <c r="P95" s="181">
        <v>281.94</v>
      </c>
      <c r="Q95" s="181">
        <v>482828453.69599998</v>
      </c>
      <c r="R95" s="181">
        <v>4375346.0879999995</v>
      </c>
      <c r="S95" s="181">
        <v>2785800.88</v>
      </c>
      <c r="T95" s="181">
        <v>83.057999999999993</v>
      </c>
      <c r="U95" s="181">
        <v>83662516.545599997</v>
      </c>
      <c r="V95" s="181">
        <v>49679135309917.758</v>
      </c>
    </row>
    <row r="96" spans="1:22">
      <c r="A96" s="2" t="s">
        <v>207</v>
      </c>
      <c r="B96" s="2" t="s">
        <v>208</v>
      </c>
      <c r="C96" s="181">
        <v>498.53359999999998</v>
      </c>
      <c r="D96" s="181">
        <v>63483.743999999999</v>
      </c>
      <c r="E96" s="181">
        <v>698.5</v>
      </c>
      <c r="F96" s="181">
        <v>342.9</v>
      </c>
      <c r="G96" s="181">
        <v>35.051999999999992</v>
      </c>
      <c r="H96" s="181">
        <v>62.991999999999997</v>
      </c>
      <c r="I96" s="181">
        <v>0</v>
      </c>
      <c r="J96" s="181">
        <v>22.732999999999997</v>
      </c>
      <c r="K96" s="181">
        <v>2.73</v>
      </c>
      <c r="L96" s="181">
        <v>15.6</v>
      </c>
      <c r="M96" s="181">
        <v>4953153964.6399994</v>
      </c>
      <c r="N96" s="181">
        <v>16714805.279999999</v>
      </c>
      <c r="O96" s="181">
        <v>14158423.295999998</v>
      </c>
      <c r="P96" s="181">
        <v>279.39999999999998</v>
      </c>
      <c r="Q96" s="181">
        <v>428718368.36799997</v>
      </c>
      <c r="R96" s="181">
        <v>3900121.2319999998</v>
      </c>
      <c r="S96" s="181">
        <v>2490833.7279999997</v>
      </c>
      <c r="T96" s="181">
        <v>82.042000000000002</v>
      </c>
      <c r="U96" s="181">
        <v>63267176.691199996</v>
      </c>
      <c r="V96" s="181">
        <v>43234274512955.453</v>
      </c>
    </row>
    <row r="97" spans="1:22">
      <c r="A97" s="2" t="s">
        <v>209</v>
      </c>
      <c r="B97" s="2" t="s">
        <v>210</v>
      </c>
      <c r="C97" s="181">
        <v>455.37696</v>
      </c>
      <c r="D97" s="181">
        <v>57935.367999999995</v>
      </c>
      <c r="E97" s="181">
        <v>688.34</v>
      </c>
      <c r="F97" s="181">
        <v>340.36</v>
      </c>
      <c r="G97" s="181">
        <v>32.003999999999998</v>
      </c>
      <c r="H97" s="181">
        <v>57.911999999999992</v>
      </c>
      <c r="I97" s="181">
        <v>0</v>
      </c>
      <c r="J97" s="181">
        <v>23.0505</v>
      </c>
      <c r="K97" s="181">
        <v>2.94</v>
      </c>
      <c r="L97" s="181">
        <v>17.100000000000001</v>
      </c>
      <c r="M97" s="181">
        <v>4453676253.9199991</v>
      </c>
      <c r="N97" s="181">
        <v>15108873.007999999</v>
      </c>
      <c r="O97" s="181">
        <v>12929393.495999999</v>
      </c>
      <c r="P97" s="181">
        <v>276.86</v>
      </c>
      <c r="Q97" s="181">
        <v>382516680.12639993</v>
      </c>
      <c r="R97" s="181">
        <v>3506831.6959999995</v>
      </c>
      <c r="S97" s="181">
        <v>2245027.7679999997</v>
      </c>
      <c r="T97" s="181">
        <v>81.28</v>
      </c>
      <c r="U97" s="181">
        <v>48699076.795199998</v>
      </c>
      <c r="V97" s="181">
        <v>38132093048693.633</v>
      </c>
    </row>
    <row r="98" spans="1:22">
      <c r="A98" s="2" t="s">
        <v>211</v>
      </c>
      <c r="B98" s="2" t="s">
        <v>212</v>
      </c>
      <c r="C98" s="181">
        <v>415.19664</v>
      </c>
      <c r="D98" s="181">
        <v>52903.119999999995</v>
      </c>
      <c r="E98" s="181">
        <v>678.18</v>
      </c>
      <c r="F98" s="181">
        <v>337.82</v>
      </c>
      <c r="G98" s="181">
        <v>29.463999999999995</v>
      </c>
      <c r="H98" s="181">
        <v>53.085999999999991</v>
      </c>
      <c r="I98" s="181">
        <v>0</v>
      </c>
      <c r="J98" s="181">
        <v>23.113999999999997</v>
      </c>
      <c r="K98" s="181">
        <v>3.18</v>
      </c>
      <c r="L98" s="181">
        <v>18.600000000000001</v>
      </c>
      <c r="M98" s="181">
        <v>3995821685.7599998</v>
      </c>
      <c r="N98" s="181">
        <v>13683198.439999999</v>
      </c>
      <c r="O98" s="181">
        <v>11765911.952</v>
      </c>
      <c r="P98" s="181">
        <v>274.32</v>
      </c>
      <c r="Q98" s="181">
        <v>342558463.26879996</v>
      </c>
      <c r="R98" s="181">
        <v>3162703.3519999995</v>
      </c>
      <c r="S98" s="181">
        <v>2031995.9359999998</v>
      </c>
      <c r="T98" s="181">
        <v>80.518000000000001</v>
      </c>
      <c r="U98" s="181">
        <v>37668944.016799994</v>
      </c>
      <c r="V98" s="181">
        <v>33566983317512</v>
      </c>
    </row>
    <row r="99" spans="1:22">
      <c r="A99" s="2" t="s">
        <v>213</v>
      </c>
      <c r="B99" s="2" t="s">
        <v>214</v>
      </c>
      <c r="C99" s="181">
        <v>372.03999999999996</v>
      </c>
      <c r="D99" s="181">
        <v>47419.259999999995</v>
      </c>
      <c r="E99" s="181">
        <v>668.02</v>
      </c>
      <c r="F99" s="181">
        <v>335.28</v>
      </c>
      <c r="G99" s="181">
        <v>26.416</v>
      </c>
      <c r="H99" s="181">
        <v>48.005999999999993</v>
      </c>
      <c r="I99" s="181">
        <v>0</v>
      </c>
      <c r="J99" s="181">
        <v>23.431500000000007</v>
      </c>
      <c r="K99" s="181">
        <v>3.49</v>
      </c>
      <c r="L99" s="181">
        <v>20.7</v>
      </c>
      <c r="M99" s="181">
        <v>3533804803.3439999</v>
      </c>
      <c r="N99" s="181">
        <v>12191975.615999999</v>
      </c>
      <c r="O99" s="181">
        <v>10553269.215999998</v>
      </c>
      <c r="P99" s="181">
        <v>271.77999999999997</v>
      </c>
      <c r="Q99" s="181">
        <v>301351552.13439995</v>
      </c>
      <c r="R99" s="181">
        <v>2802187.9439999997</v>
      </c>
      <c r="S99" s="181">
        <v>1802577.0399999998</v>
      </c>
      <c r="T99" s="181">
        <v>79.756</v>
      </c>
      <c r="U99" s="181">
        <v>27721012.944959994</v>
      </c>
      <c r="V99" s="181">
        <v>29001873586330.367</v>
      </c>
    </row>
    <row r="100" spans="1:22">
      <c r="A100" s="2" t="s">
        <v>215</v>
      </c>
      <c r="B100" s="2" t="s">
        <v>216</v>
      </c>
      <c r="C100" s="181">
        <v>340.78863999999999</v>
      </c>
      <c r="D100" s="181">
        <v>43354.752</v>
      </c>
      <c r="E100" s="181">
        <v>660.4</v>
      </c>
      <c r="F100" s="181">
        <v>332.73999999999995</v>
      </c>
      <c r="G100" s="181">
        <v>24.383999999999997</v>
      </c>
      <c r="H100" s="181">
        <v>43.942</v>
      </c>
      <c r="I100" s="181">
        <v>0</v>
      </c>
      <c r="J100" s="181">
        <v>22.732999999999997</v>
      </c>
      <c r="K100" s="181">
        <v>3.79</v>
      </c>
      <c r="L100" s="181">
        <v>22.5</v>
      </c>
      <c r="M100" s="181">
        <v>3184170405.8399997</v>
      </c>
      <c r="N100" s="181">
        <v>11061268.199999999</v>
      </c>
      <c r="O100" s="181">
        <v>9635593.6319999993</v>
      </c>
      <c r="P100" s="181">
        <v>271.77999999999997</v>
      </c>
      <c r="Q100" s="181">
        <v>270966658.06559998</v>
      </c>
      <c r="R100" s="181">
        <v>2523607.8559999997</v>
      </c>
      <c r="S100" s="181">
        <v>1628874.1616</v>
      </c>
      <c r="T100" s="181">
        <v>78.993999999999986</v>
      </c>
      <c r="U100" s="181">
        <v>21352672.133279998</v>
      </c>
      <c r="V100" s="181">
        <v>25779443187849.215</v>
      </c>
    </row>
    <row r="101" spans="1:22">
      <c r="A101" s="2" t="s">
        <v>217</v>
      </c>
      <c r="B101" s="2" t="s">
        <v>218</v>
      </c>
      <c r="C101" s="181">
        <v>308.04911999999996</v>
      </c>
      <c r="D101" s="181">
        <v>39161.212</v>
      </c>
      <c r="E101" s="181">
        <v>652.78</v>
      </c>
      <c r="F101" s="181">
        <v>330.2</v>
      </c>
      <c r="G101" s="181">
        <v>22.097999999999999</v>
      </c>
      <c r="H101" s="181">
        <v>39.878</v>
      </c>
      <c r="I101" s="181">
        <v>0</v>
      </c>
      <c r="J101" s="181">
        <v>23.622</v>
      </c>
      <c r="K101" s="181">
        <v>4.1399999999999997</v>
      </c>
      <c r="L101" s="181">
        <v>24.8</v>
      </c>
      <c r="M101" s="181">
        <v>2838698322.5919995</v>
      </c>
      <c r="N101" s="181">
        <v>9930560.784</v>
      </c>
      <c r="O101" s="181">
        <v>8701530.9839999992</v>
      </c>
      <c r="P101" s="181">
        <v>269.23999999999995</v>
      </c>
      <c r="Q101" s="181">
        <v>240581763.99679998</v>
      </c>
      <c r="R101" s="181">
        <v>2245027.7679999997</v>
      </c>
      <c r="S101" s="181">
        <v>1455171.2831999997</v>
      </c>
      <c r="T101" s="181">
        <v>78.231999999999999</v>
      </c>
      <c r="U101" s="181">
        <v>15941663.600479998</v>
      </c>
      <c r="V101" s="181">
        <v>22610719962676.082</v>
      </c>
    </row>
    <row r="102" spans="1:22">
      <c r="A102" s="2" t="s">
        <v>219</v>
      </c>
      <c r="B102" s="2" t="s">
        <v>220</v>
      </c>
      <c r="C102" s="181">
        <v>285.72672</v>
      </c>
      <c r="D102" s="181">
        <v>36322.507999999994</v>
      </c>
      <c r="E102" s="181">
        <v>647.69999999999993</v>
      </c>
      <c r="F102" s="181">
        <v>330.2</v>
      </c>
      <c r="G102" s="181">
        <v>20.574000000000002</v>
      </c>
      <c r="H102" s="181">
        <v>37.083999999999996</v>
      </c>
      <c r="I102" s="181">
        <v>0</v>
      </c>
      <c r="J102" s="181">
        <v>23.241</v>
      </c>
      <c r="K102" s="181">
        <v>4.43</v>
      </c>
      <c r="L102" s="181">
        <v>26.6</v>
      </c>
      <c r="M102" s="181">
        <v>2605608724.2559996</v>
      </c>
      <c r="N102" s="181">
        <v>9160368.7759999987</v>
      </c>
      <c r="O102" s="181">
        <v>8046048.4239999996</v>
      </c>
      <c r="P102" s="181">
        <v>266.7</v>
      </c>
      <c r="Q102" s="181">
        <v>220602655.56799999</v>
      </c>
      <c r="R102" s="181">
        <v>2064770.0639999998</v>
      </c>
      <c r="S102" s="181">
        <v>1340461.8351999999</v>
      </c>
      <c r="T102" s="181">
        <v>77.977999999999994</v>
      </c>
      <c r="U102" s="181">
        <v>12819927.90848</v>
      </c>
      <c r="V102" s="181">
        <v>20516140203663.332</v>
      </c>
    </row>
    <row r="103" spans="1:22">
      <c r="A103" s="2" t="s">
        <v>221</v>
      </c>
      <c r="B103" s="2" t="s">
        <v>222</v>
      </c>
      <c r="C103" s="181">
        <v>261.91615999999999</v>
      </c>
      <c r="D103" s="181">
        <v>33354.771999999997</v>
      </c>
      <c r="E103" s="181">
        <v>640.07999999999993</v>
      </c>
      <c r="F103" s="181">
        <v>327.65999999999997</v>
      </c>
      <c r="G103" s="181">
        <v>19.049999999999997</v>
      </c>
      <c r="H103" s="181">
        <v>34.036000000000001</v>
      </c>
      <c r="I103" s="181">
        <v>0</v>
      </c>
      <c r="J103" s="181">
        <v>23.113999999999997</v>
      </c>
      <c r="K103" s="181">
        <v>4.8099999999999996</v>
      </c>
      <c r="L103" s="181">
        <v>28.7</v>
      </c>
      <c r="M103" s="181">
        <v>2364194497.408</v>
      </c>
      <c r="N103" s="181">
        <v>8373789.703999999</v>
      </c>
      <c r="O103" s="181">
        <v>7374178.7999999989</v>
      </c>
      <c r="P103" s="181">
        <v>266.7</v>
      </c>
      <c r="Q103" s="181">
        <v>199374852.86239997</v>
      </c>
      <c r="R103" s="181">
        <v>1884512.3599999999</v>
      </c>
      <c r="S103" s="181">
        <v>1217558.8551999999</v>
      </c>
      <c r="T103" s="181">
        <v>77.215999999999994</v>
      </c>
      <c r="U103" s="181">
        <v>9947931.0718399975</v>
      </c>
      <c r="V103" s="181">
        <v>18367853271342.566</v>
      </c>
    </row>
    <row r="104" spans="1:22">
      <c r="A104" s="2" t="s">
        <v>223</v>
      </c>
      <c r="B104" s="2" t="s">
        <v>224</v>
      </c>
      <c r="C104" s="181">
        <v>241.08192</v>
      </c>
      <c r="D104" s="181">
        <v>30774.132000000001</v>
      </c>
      <c r="E104" s="181">
        <v>635</v>
      </c>
      <c r="F104" s="181">
        <v>330.2</v>
      </c>
      <c r="G104" s="181">
        <v>17.906999999999996</v>
      </c>
      <c r="H104" s="181">
        <v>30.987999999999996</v>
      </c>
      <c r="I104" s="181">
        <v>0</v>
      </c>
      <c r="J104" s="181">
        <v>22.986999999999998</v>
      </c>
      <c r="K104" s="181">
        <v>5.31</v>
      </c>
      <c r="L104" s="181">
        <v>30.6</v>
      </c>
      <c r="M104" s="181">
        <v>2151916470.3519998</v>
      </c>
      <c r="N104" s="181">
        <v>7669145.9519999996</v>
      </c>
      <c r="O104" s="181">
        <v>6784244.4959999993</v>
      </c>
      <c r="P104" s="181">
        <v>264.15999999999997</v>
      </c>
      <c r="Q104" s="181">
        <v>184390521.54079998</v>
      </c>
      <c r="R104" s="181">
        <v>1720641.7199999997</v>
      </c>
      <c r="S104" s="181">
        <v>1120875.1776000001</v>
      </c>
      <c r="T104" s="181">
        <v>77.469999999999985</v>
      </c>
      <c r="U104" s="181">
        <v>7700281.3735999996</v>
      </c>
      <c r="V104" s="181">
        <v>16810345245410.008</v>
      </c>
    </row>
    <row r="105" spans="1:22">
      <c r="A105" s="2" t="s">
        <v>225</v>
      </c>
      <c r="B105" s="2" t="s">
        <v>226</v>
      </c>
      <c r="C105" s="181">
        <v>217.27135999999999</v>
      </c>
      <c r="D105" s="181">
        <v>27741.879999999997</v>
      </c>
      <c r="E105" s="181">
        <v>627.38</v>
      </c>
      <c r="F105" s="181">
        <v>327.65999999999997</v>
      </c>
      <c r="G105" s="181">
        <v>16.509999999999998</v>
      </c>
      <c r="H105" s="181">
        <v>27.686</v>
      </c>
      <c r="I105" s="181">
        <v>0</v>
      </c>
      <c r="J105" s="181">
        <v>23.113999999999997</v>
      </c>
      <c r="K105" s="181">
        <v>5.92</v>
      </c>
      <c r="L105" s="181">
        <v>33.200000000000003</v>
      </c>
      <c r="M105" s="181">
        <v>1906339929.2479999</v>
      </c>
      <c r="N105" s="181">
        <v>6849792.7519999994</v>
      </c>
      <c r="O105" s="181">
        <v>6079600.743999999</v>
      </c>
      <c r="P105" s="181">
        <v>261.62</v>
      </c>
      <c r="Q105" s="181">
        <v>162746487.40959999</v>
      </c>
      <c r="R105" s="181">
        <v>1527274.3647999999</v>
      </c>
      <c r="S105" s="181">
        <v>991417.37199999986</v>
      </c>
      <c r="T105" s="181">
        <v>76.453999999999994</v>
      </c>
      <c r="U105" s="181">
        <v>5577501.1030399995</v>
      </c>
      <c r="V105" s="181">
        <v>14688911899743.25</v>
      </c>
    </row>
    <row r="106" spans="1:22">
      <c r="A106" s="2" t="s">
        <v>227</v>
      </c>
      <c r="B106" s="2" t="s">
        <v>228</v>
      </c>
      <c r="C106" s="181">
        <v>194.94896</v>
      </c>
      <c r="D106" s="181">
        <v>24838.66</v>
      </c>
      <c r="E106" s="181">
        <v>622.29999999999995</v>
      </c>
      <c r="F106" s="181">
        <v>327.65999999999997</v>
      </c>
      <c r="G106" s="181">
        <v>15.366999999999999</v>
      </c>
      <c r="H106" s="181">
        <v>24.383999999999997</v>
      </c>
      <c r="I106" s="181">
        <v>0</v>
      </c>
      <c r="J106" s="181">
        <v>23.241000000000003</v>
      </c>
      <c r="K106" s="181">
        <v>6.7</v>
      </c>
      <c r="L106" s="181">
        <v>35.6</v>
      </c>
      <c r="M106" s="181">
        <v>1673250330.9119999</v>
      </c>
      <c r="N106" s="181">
        <v>6063213.6799999997</v>
      </c>
      <c r="O106" s="181">
        <v>5391344.0559999999</v>
      </c>
      <c r="P106" s="181">
        <v>259.08</v>
      </c>
      <c r="Q106" s="181">
        <v>141518684.704</v>
      </c>
      <c r="R106" s="181">
        <v>1335545.7159999998</v>
      </c>
      <c r="S106" s="181">
        <v>868514.39199999988</v>
      </c>
      <c r="T106" s="181">
        <v>75.438000000000002</v>
      </c>
      <c r="U106" s="181">
        <v>3954198.5431999997</v>
      </c>
      <c r="V106" s="181">
        <v>12621185727384.512</v>
      </c>
    </row>
    <row r="107" spans="1:22">
      <c r="A107" s="2" t="s">
        <v>229</v>
      </c>
      <c r="B107" s="2" t="s">
        <v>230</v>
      </c>
      <c r="C107" s="181">
        <v>174.11472000000001</v>
      </c>
      <c r="D107" s="181">
        <v>22193.503999999997</v>
      </c>
      <c r="E107" s="181">
        <v>617.22</v>
      </c>
      <c r="F107" s="181">
        <v>325.12</v>
      </c>
      <c r="G107" s="181">
        <v>13.97</v>
      </c>
      <c r="H107" s="181">
        <v>21.59</v>
      </c>
      <c r="I107" s="181">
        <v>0</v>
      </c>
      <c r="J107" s="181">
        <v>22.859999999999996</v>
      </c>
      <c r="K107" s="181">
        <v>7.53</v>
      </c>
      <c r="L107" s="181">
        <v>39.200000000000003</v>
      </c>
      <c r="M107" s="181">
        <v>1473459246.6239998</v>
      </c>
      <c r="N107" s="181">
        <v>5358569.9279999994</v>
      </c>
      <c r="O107" s="181">
        <v>4768635.6239999998</v>
      </c>
      <c r="P107" s="181">
        <v>256.53999999999996</v>
      </c>
      <c r="Q107" s="181">
        <v>123620733.40319999</v>
      </c>
      <c r="R107" s="181">
        <v>1170036.3696000001</v>
      </c>
      <c r="S107" s="181">
        <v>761998.47599999991</v>
      </c>
      <c r="T107" s="181">
        <v>74.675999999999988</v>
      </c>
      <c r="U107" s="181">
        <v>2797075.1800319995</v>
      </c>
      <c r="V107" s="181">
        <v>10929409768181.906</v>
      </c>
    </row>
    <row r="108" spans="1:22">
      <c r="A108" s="2" t="s">
        <v>231</v>
      </c>
      <c r="B108" s="2" t="s">
        <v>232</v>
      </c>
      <c r="C108" s="181">
        <v>154.76864</v>
      </c>
      <c r="D108" s="181">
        <v>19741.896000000001</v>
      </c>
      <c r="E108" s="181">
        <v>612.14</v>
      </c>
      <c r="F108" s="181">
        <v>325.12</v>
      </c>
      <c r="G108" s="181">
        <v>12.7</v>
      </c>
      <c r="H108" s="181">
        <v>19.049999999999997</v>
      </c>
      <c r="I108" s="181">
        <v>0</v>
      </c>
      <c r="J108" s="181">
        <v>22.225000000000001</v>
      </c>
      <c r="K108" s="181">
        <v>8.5</v>
      </c>
      <c r="L108" s="181">
        <v>43.1</v>
      </c>
      <c r="M108" s="181">
        <v>1290317419.3599999</v>
      </c>
      <c r="N108" s="181">
        <v>4735861.4959999993</v>
      </c>
      <c r="O108" s="181">
        <v>4227862.5119999992</v>
      </c>
      <c r="P108" s="181">
        <v>256.53999999999996</v>
      </c>
      <c r="Q108" s="181">
        <v>107803939.2304</v>
      </c>
      <c r="R108" s="181">
        <v>1022552.7935999999</v>
      </c>
      <c r="S108" s="181">
        <v>666953.5048</v>
      </c>
      <c r="T108" s="181">
        <v>73.914000000000001</v>
      </c>
      <c r="U108" s="181">
        <v>1964612.3288319998</v>
      </c>
      <c r="V108" s="181">
        <v>9452462502211.3789</v>
      </c>
    </row>
    <row r="109" spans="1:22">
      <c r="A109" s="2" t="s">
        <v>233</v>
      </c>
      <c r="B109" s="2" t="s">
        <v>234</v>
      </c>
      <c r="C109" s="181">
        <v>153.28047999999998</v>
      </c>
      <c r="D109" s="181">
        <v>19548.347999999998</v>
      </c>
      <c r="E109" s="181">
        <v>622.29999999999995</v>
      </c>
      <c r="F109" s="181">
        <v>228.6</v>
      </c>
      <c r="G109" s="181">
        <v>13.97</v>
      </c>
      <c r="H109" s="181">
        <v>24.891999999999999</v>
      </c>
      <c r="I109" s="181">
        <v>0</v>
      </c>
      <c r="J109" s="181">
        <v>22.733000000000001</v>
      </c>
      <c r="K109" s="181">
        <v>4.59</v>
      </c>
      <c r="L109" s="181">
        <v>39.200000000000003</v>
      </c>
      <c r="M109" s="181">
        <v>1248694276.8</v>
      </c>
      <c r="N109" s="181">
        <v>4588377.92</v>
      </c>
      <c r="O109" s="181">
        <v>4014830.6799999997</v>
      </c>
      <c r="P109" s="181">
        <v>252.98400000000001</v>
      </c>
      <c r="Q109" s="181">
        <v>49531539.646399997</v>
      </c>
      <c r="R109" s="181">
        <v>680063.15599999996</v>
      </c>
      <c r="S109" s="181">
        <v>434257.19599999994</v>
      </c>
      <c r="T109" s="181">
        <v>50.545999999999999</v>
      </c>
      <c r="U109" s="181">
        <v>2942756.1789919999</v>
      </c>
      <c r="V109" s="181">
        <v>4430841797911.584</v>
      </c>
    </row>
    <row r="110" spans="1:22">
      <c r="A110" s="2" t="s">
        <v>235</v>
      </c>
      <c r="B110" s="2" t="s">
        <v>236</v>
      </c>
      <c r="C110" s="181">
        <v>139.88703999999998</v>
      </c>
      <c r="D110" s="181">
        <v>17870.931999999997</v>
      </c>
      <c r="E110" s="181">
        <v>617.22</v>
      </c>
      <c r="F110" s="181">
        <v>230.37799999999999</v>
      </c>
      <c r="G110" s="181">
        <v>13.081</v>
      </c>
      <c r="H110" s="181">
        <v>22.224999999999998</v>
      </c>
      <c r="I110" s="181">
        <v>0</v>
      </c>
      <c r="J110" s="181">
        <v>22.224999999999998</v>
      </c>
      <c r="K110" s="181">
        <v>5.18</v>
      </c>
      <c r="L110" s="181">
        <v>41.9</v>
      </c>
      <c r="M110" s="181">
        <v>1123824849.1199999</v>
      </c>
      <c r="N110" s="181">
        <v>4162314.2559999996</v>
      </c>
      <c r="O110" s="181">
        <v>3637928.2079999996</v>
      </c>
      <c r="P110" s="181">
        <v>250.69799999999998</v>
      </c>
      <c r="Q110" s="181">
        <v>45369225.390399992</v>
      </c>
      <c r="R110" s="181">
        <v>614514.89999999991</v>
      </c>
      <c r="S110" s="181">
        <v>393289.53599999996</v>
      </c>
      <c r="T110" s="181">
        <v>50.291999999999994</v>
      </c>
      <c r="U110" s="181">
        <v>2189377.2986559998</v>
      </c>
      <c r="V110" s="181">
        <v>4028037998101.4399</v>
      </c>
    </row>
    <row r="111" spans="1:22">
      <c r="A111" s="2" t="s">
        <v>237</v>
      </c>
      <c r="B111" s="2" t="s">
        <v>238</v>
      </c>
      <c r="C111" s="181">
        <v>125.00543999999999</v>
      </c>
      <c r="D111" s="181">
        <v>15935.451999999999</v>
      </c>
      <c r="E111" s="181">
        <v>612.14</v>
      </c>
      <c r="F111" s="181">
        <v>229.10799999999998</v>
      </c>
      <c r="G111" s="181">
        <v>11.937999999999999</v>
      </c>
      <c r="H111" s="181">
        <v>19.558</v>
      </c>
      <c r="I111" s="181">
        <v>0</v>
      </c>
      <c r="J111" s="181">
        <v>23.304499999999997</v>
      </c>
      <c r="K111" s="181">
        <v>5.86</v>
      </c>
      <c r="L111" s="181">
        <v>45.9</v>
      </c>
      <c r="M111" s="181">
        <v>986468478.67199993</v>
      </c>
      <c r="N111" s="181">
        <v>3670702.3359999997</v>
      </c>
      <c r="O111" s="181">
        <v>3211864.5439999998</v>
      </c>
      <c r="P111" s="181">
        <v>248.66599999999997</v>
      </c>
      <c r="Q111" s="181">
        <v>39292246.576639995</v>
      </c>
      <c r="R111" s="181">
        <v>534218.28639999998</v>
      </c>
      <c r="S111" s="181">
        <v>342489.63759999996</v>
      </c>
      <c r="T111" s="181">
        <v>49.529999999999994</v>
      </c>
      <c r="U111" s="181">
        <v>1540056.2747199999</v>
      </c>
      <c r="V111" s="181">
        <v>3437259091713.2285</v>
      </c>
    </row>
    <row r="112" spans="1:22">
      <c r="A112" s="2" t="s">
        <v>239</v>
      </c>
      <c r="B112" s="2" t="s">
        <v>240</v>
      </c>
      <c r="C112" s="181">
        <v>113.10015999999999</v>
      </c>
      <c r="D112" s="181">
        <v>14451.583999999999</v>
      </c>
      <c r="E112" s="181">
        <v>607.05999999999995</v>
      </c>
      <c r="F112" s="181">
        <v>228.346</v>
      </c>
      <c r="G112" s="181">
        <v>11.176</v>
      </c>
      <c r="H112" s="181">
        <v>17.272000000000002</v>
      </c>
      <c r="I112" s="181">
        <v>0</v>
      </c>
      <c r="J112" s="181">
        <v>22.415499999999998</v>
      </c>
      <c r="K112" s="181">
        <v>6.61</v>
      </c>
      <c r="L112" s="181">
        <v>49</v>
      </c>
      <c r="M112" s="181">
        <v>874085993.75999987</v>
      </c>
      <c r="N112" s="181">
        <v>3277412.8</v>
      </c>
      <c r="O112" s="181">
        <v>2884123.2639999995</v>
      </c>
      <c r="P112" s="181">
        <v>246.12599999999998</v>
      </c>
      <c r="Q112" s="181">
        <v>34339092.611999996</v>
      </c>
      <c r="R112" s="181">
        <v>468670.03039999999</v>
      </c>
      <c r="S112" s="181">
        <v>301521.97759999993</v>
      </c>
      <c r="T112" s="181">
        <v>48.767999999999994</v>
      </c>
      <c r="U112" s="181">
        <v>1115500.2206079999</v>
      </c>
      <c r="V112" s="181">
        <v>2980748118595.0654</v>
      </c>
    </row>
    <row r="113" spans="1:22">
      <c r="A113" s="2" t="s">
        <v>241</v>
      </c>
      <c r="B113" s="2" t="s">
        <v>242</v>
      </c>
      <c r="C113" s="181">
        <v>101.19488</v>
      </c>
      <c r="D113" s="181">
        <v>12967.716</v>
      </c>
      <c r="E113" s="181">
        <v>601.9799999999999</v>
      </c>
      <c r="F113" s="181">
        <v>227.83799999999999</v>
      </c>
      <c r="G113" s="181">
        <v>10.540999999999999</v>
      </c>
      <c r="H113" s="181">
        <v>14.858999999999998</v>
      </c>
      <c r="I113" s="181">
        <v>0</v>
      </c>
      <c r="J113" s="181">
        <v>23.240999999999996</v>
      </c>
      <c r="K113" s="181">
        <v>7.66</v>
      </c>
      <c r="L113" s="181">
        <v>52</v>
      </c>
      <c r="M113" s="181">
        <v>761703508.84799993</v>
      </c>
      <c r="N113" s="181">
        <v>2900510.3279999997</v>
      </c>
      <c r="O113" s="181">
        <v>2523607.8559999997</v>
      </c>
      <c r="P113" s="181">
        <v>242.57</v>
      </c>
      <c r="Q113" s="181">
        <v>29302692.362239998</v>
      </c>
      <c r="R113" s="181">
        <v>401483.06799999997</v>
      </c>
      <c r="S113" s="181">
        <v>257276.90479999996</v>
      </c>
      <c r="T113" s="181">
        <v>47.497999999999998</v>
      </c>
      <c r="U113" s="181">
        <v>778352.76587200002</v>
      </c>
      <c r="V113" s="181">
        <v>2532293221473.105</v>
      </c>
    </row>
    <row r="114" spans="1:22">
      <c r="A114" s="2" t="s">
        <v>243</v>
      </c>
      <c r="B114" s="2" t="s">
        <v>244</v>
      </c>
      <c r="C114" s="181">
        <v>92.265919999999994</v>
      </c>
      <c r="D114" s="181">
        <v>11806.428</v>
      </c>
      <c r="E114" s="181">
        <v>601.9799999999999</v>
      </c>
      <c r="F114" s="181">
        <v>178.816</v>
      </c>
      <c r="G114" s="181">
        <v>10.921999999999999</v>
      </c>
      <c r="H114" s="181">
        <v>14.985999999999999</v>
      </c>
      <c r="I114" s="181">
        <v>0</v>
      </c>
      <c r="J114" s="181">
        <v>23.113999999999997</v>
      </c>
      <c r="K114" s="181">
        <v>5.97</v>
      </c>
      <c r="L114" s="181">
        <v>49.7</v>
      </c>
      <c r="M114" s="181">
        <v>649321023.93599999</v>
      </c>
      <c r="N114" s="181">
        <v>2523607.8559999997</v>
      </c>
      <c r="O114" s="181">
        <v>2163092.4479999999</v>
      </c>
      <c r="P114" s="181">
        <v>234.696</v>
      </c>
      <c r="Q114" s="181">
        <v>14359984.183199998</v>
      </c>
      <c r="R114" s="181">
        <v>258915.61119999998</v>
      </c>
      <c r="S114" s="181">
        <v>160593.22719999999</v>
      </c>
      <c r="T114" s="181">
        <v>34.798000000000002</v>
      </c>
      <c r="U114" s="181">
        <v>736729.62331199995</v>
      </c>
      <c r="V114" s="181">
        <v>1240635703415.2434</v>
      </c>
    </row>
    <row r="115" spans="1:22">
      <c r="A115" s="2" t="s">
        <v>245</v>
      </c>
      <c r="B115" s="2" t="s">
        <v>246</v>
      </c>
      <c r="C115" s="181">
        <v>81.848799999999997</v>
      </c>
      <c r="D115" s="181">
        <v>10516.108</v>
      </c>
      <c r="E115" s="181">
        <v>599.44000000000005</v>
      </c>
      <c r="F115" s="181">
        <v>178.05399999999997</v>
      </c>
      <c r="G115" s="181">
        <v>10.032999999999999</v>
      </c>
      <c r="H115" s="181">
        <v>12.827</v>
      </c>
      <c r="I115" s="181">
        <v>0</v>
      </c>
      <c r="J115" s="181">
        <v>23.685499999999998</v>
      </c>
      <c r="K115" s="181">
        <v>6.94</v>
      </c>
      <c r="L115" s="181">
        <v>54.1</v>
      </c>
      <c r="M115" s="181">
        <v>566074738.81599998</v>
      </c>
      <c r="N115" s="181">
        <v>2212253.6399999997</v>
      </c>
      <c r="O115" s="181">
        <v>1884512.3599999999</v>
      </c>
      <c r="P115" s="181">
        <v>231.90200000000002</v>
      </c>
      <c r="Q115" s="181">
        <v>12112334.484959999</v>
      </c>
      <c r="R115" s="181">
        <v>219586.65759999998</v>
      </c>
      <c r="S115" s="181">
        <v>136012.6312</v>
      </c>
      <c r="T115" s="181">
        <v>34.036000000000001</v>
      </c>
      <c r="U115" s="181">
        <v>516126.96774399997</v>
      </c>
      <c r="V115" s="181">
        <v>1039233803510.1715</v>
      </c>
    </row>
    <row r="116" spans="1:22">
      <c r="A116" s="2" t="s">
        <v>247</v>
      </c>
      <c r="B116" s="2" t="s">
        <v>248</v>
      </c>
      <c r="C116" s="181">
        <v>299.12016</v>
      </c>
      <c r="D116" s="181">
        <v>38193.472000000002</v>
      </c>
      <c r="E116" s="181">
        <v>584.19999999999993</v>
      </c>
      <c r="F116" s="181">
        <v>320.03999999999996</v>
      </c>
      <c r="G116" s="181">
        <v>23.114000000000001</v>
      </c>
      <c r="H116" s="181">
        <v>41.401999999999994</v>
      </c>
      <c r="I116" s="181">
        <v>0</v>
      </c>
      <c r="J116" s="181">
        <v>22.098000000000006</v>
      </c>
      <c r="K116" s="181">
        <v>3.86</v>
      </c>
      <c r="L116" s="181">
        <v>20.6</v>
      </c>
      <c r="M116" s="181">
        <v>2210188869.9359999</v>
      </c>
      <c r="N116" s="181">
        <v>8685143.9199999999</v>
      </c>
      <c r="O116" s="181">
        <v>7554436.5039999997</v>
      </c>
      <c r="P116" s="181">
        <v>240.53800000000001</v>
      </c>
      <c r="Q116" s="181">
        <v>225597432.67519999</v>
      </c>
      <c r="R116" s="181">
        <v>2179479.5119999996</v>
      </c>
      <c r="S116" s="181">
        <v>1410926.2103999997</v>
      </c>
      <c r="T116" s="181">
        <v>76.707999999999998</v>
      </c>
      <c r="U116" s="181">
        <v>17023865.307039998</v>
      </c>
      <c r="V116" s="181">
        <v>16676077312139.961</v>
      </c>
    </row>
    <row r="117" spans="1:22">
      <c r="A117" s="2" t="s">
        <v>249</v>
      </c>
      <c r="B117" s="2" t="s">
        <v>250</v>
      </c>
      <c r="C117" s="181">
        <v>270.84512000000001</v>
      </c>
      <c r="D117" s="181">
        <v>34580.576000000001</v>
      </c>
      <c r="E117" s="181">
        <v>576.57999999999993</v>
      </c>
      <c r="F117" s="181">
        <v>317.5</v>
      </c>
      <c r="G117" s="181">
        <v>21.081999999999997</v>
      </c>
      <c r="H117" s="181">
        <v>37.591999999999999</v>
      </c>
      <c r="I117" s="181">
        <v>0</v>
      </c>
      <c r="J117" s="181">
        <v>22.732999999999997</v>
      </c>
      <c r="K117" s="181">
        <v>4.22</v>
      </c>
      <c r="L117" s="181">
        <v>22.6</v>
      </c>
      <c r="M117" s="181">
        <v>1968774643.0879998</v>
      </c>
      <c r="N117" s="181">
        <v>7800242.4639999997</v>
      </c>
      <c r="O117" s="181">
        <v>6833405.6879999992</v>
      </c>
      <c r="P117" s="181">
        <v>238.76</v>
      </c>
      <c r="Q117" s="181">
        <v>201039778.56479999</v>
      </c>
      <c r="R117" s="181">
        <v>1950060.6159999999</v>
      </c>
      <c r="S117" s="181">
        <v>1265081.3407999999</v>
      </c>
      <c r="T117" s="181">
        <v>76.199999999999989</v>
      </c>
      <c r="U117" s="181">
        <v>12778304.765919998</v>
      </c>
      <c r="V117" s="181">
        <v>14635204726435.23</v>
      </c>
    </row>
    <row r="118" spans="1:22">
      <c r="A118" s="2" t="s">
        <v>251</v>
      </c>
      <c r="B118" s="2" t="s">
        <v>252</v>
      </c>
      <c r="C118" s="181">
        <v>247.03456</v>
      </c>
      <c r="D118" s="181">
        <v>31483.807999999997</v>
      </c>
      <c r="E118" s="181">
        <v>571.5</v>
      </c>
      <c r="F118" s="181">
        <v>314.95999999999998</v>
      </c>
      <c r="G118" s="181">
        <v>19.049999999999997</v>
      </c>
      <c r="H118" s="181">
        <v>34.544000000000004</v>
      </c>
      <c r="I118" s="181">
        <v>0</v>
      </c>
      <c r="J118" s="181">
        <v>22.605999999999995</v>
      </c>
      <c r="K118" s="181">
        <v>4.57</v>
      </c>
      <c r="L118" s="181">
        <v>25</v>
      </c>
      <c r="M118" s="181">
        <v>1781470501.5679998</v>
      </c>
      <c r="N118" s="181">
        <v>7079211.6479999991</v>
      </c>
      <c r="O118" s="181">
        <v>6227084.3199999994</v>
      </c>
      <c r="P118" s="181">
        <v>237.74399999999997</v>
      </c>
      <c r="Q118" s="181">
        <v>181060670.13599998</v>
      </c>
      <c r="R118" s="181">
        <v>1769802.9119999998</v>
      </c>
      <c r="S118" s="181">
        <v>1147094.48</v>
      </c>
      <c r="T118" s="181">
        <v>75.945999999999998</v>
      </c>
      <c r="U118" s="181">
        <v>9823061.6441599987</v>
      </c>
      <c r="V118" s="181">
        <v>13023989527194.654</v>
      </c>
    </row>
    <row r="119" spans="1:22">
      <c r="A119" s="2" t="s">
        <v>253</v>
      </c>
      <c r="B119" s="2" t="s">
        <v>254</v>
      </c>
      <c r="C119" s="181">
        <v>218.75951999999998</v>
      </c>
      <c r="D119" s="181">
        <v>27870.912</v>
      </c>
      <c r="E119" s="181">
        <v>561.34</v>
      </c>
      <c r="F119" s="181">
        <v>317.5</v>
      </c>
      <c r="G119" s="181">
        <v>18.287999999999997</v>
      </c>
      <c r="H119" s="181">
        <v>29.209999999999997</v>
      </c>
      <c r="I119" s="181">
        <v>0</v>
      </c>
      <c r="J119" s="181">
        <v>21.59</v>
      </c>
      <c r="K119" s="181">
        <v>5.44</v>
      </c>
      <c r="L119" s="181">
        <v>26.1</v>
      </c>
      <c r="M119" s="181">
        <v>1510920074.9279997</v>
      </c>
      <c r="N119" s="181">
        <v>6112374.8719999995</v>
      </c>
      <c r="O119" s="181">
        <v>5391344.0559999999</v>
      </c>
      <c r="P119" s="181">
        <v>232.91799999999998</v>
      </c>
      <c r="Q119" s="181">
        <v>156503016.02559999</v>
      </c>
      <c r="R119" s="181">
        <v>1517442.1263999997</v>
      </c>
      <c r="S119" s="181">
        <v>984862.54639999988</v>
      </c>
      <c r="T119" s="181">
        <v>74.930000000000007</v>
      </c>
      <c r="U119" s="181">
        <v>6409963.9542399999</v>
      </c>
      <c r="V119" s="181">
        <v>11036824114797.945</v>
      </c>
    </row>
    <row r="120" spans="1:22">
      <c r="A120" s="2" t="s">
        <v>255</v>
      </c>
      <c r="B120" s="2" t="s">
        <v>256</v>
      </c>
      <c r="C120" s="181">
        <v>196.43711999999999</v>
      </c>
      <c r="D120" s="181">
        <v>25032.207999999999</v>
      </c>
      <c r="E120" s="181">
        <v>553.72</v>
      </c>
      <c r="F120" s="181">
        <v>314.95999999999998</v>
      </c>
      <c r="G120" s="181">
        <v>16.509999999999998</v>
      </c>
      <c r="H120" s="181">
        <v>26.161999999999999</v>
      </c>
      <c r="I120" s="181">
        <v>0</v>
      </c>
      <c r="J120" s="181">
        <v>23.0505</v>
      </c>
      <c r="K120" s="181">
        <v>6.01</v>
      </c>
      <c r="L120" s="181">
        <v>28.9</v>
      </c>
      <c r="M120" s="181">
        <v>1340265190.4319999</v>
      </c>
      <c r="N120" s="181">
        <v>5456892.3119999999</v>
      </c>
      <c r="O120" s="181">
        <v>4834183.88</v>
      </c>
      <c r="P120" s="181">
        <v>231.64799999999997</v>
      </c>
      <c r="Q120" s="181">
        <v>138605064.72479999</v>
      </c>
      <c r="R120" s="181">
        <v>1348655.3671999997</v>
      </c>
      <c r="S120" s="181">
        <v>876707.92399999988</v>
      </c>
      <c r="T120" s="181">
        <v>74.421999999999997</v>
      </c>
      <c r="U120" s="181">
        <v>4703415.1092799995</v>
      </c>
      <c r="V120" s="181">
        <v>9667291195443.4551</v>
      </c>
    </row>
    <row r="121" spans="1:22">
      <c r="A121" s="2" t="s">
        <v>257</v>
      </c>
      <c r="B121" s="2" t="s">
        <v>258</v>
      </c>
      <c r="C121" s="181">
        <v>181.55552</v>
      </c>
      <c r="D121" s="181">
        <v>23161.243999999999</v>
      </c>
      <c r="E121" s="181">
        <v>551.17999999999995</v>
      </c>
      <c r="F121" s="181">
        <v>314.95999999999998</v>
      </c>
      <c r="G121" s="181">
        <v>15.239999999999998</v>
      </c>
      <c r="H121" s="181">
        <v>24.383999999999997</v>
      </c>
      <c r="I121" s="181">
        <v>0</v>
      </c>
      <c r="J121" s="181">
        <v>21.653499999999998</v>
      </c>
      <c r="K121" s="181">
        <v>6.45</v>
      </c>
      <c r="L121" s="181">
        <v>31.3</v>
      </c>
      <c r="M121" s="181">
        <v>1232045019.7759998</v>
      </c>
      <c r="N121" s="181">
        <v>5030828.6479999991</v>
      </c>
      <c r="O121" s="181">
        <v>4473668.4719999991</v>
      </c>
      <c r="P121" s="181">
        <v>230.886</v>
      </c>
      <c r="Q121" s="181">
        <v>126950584.80799998</v>
      </c>
      <c r="R121" s="181">
        <v>1238862.0383999997</v>
      </c>
      <c r="S121" s="181">
        <v>806243.54879999999</v>
      </c>
      <c r="T121" s="181">
        <v>74.167999999999992</v>
      </c>
      <c r="U121" s="181">
        <v>3737758.2018879997</v>
      </c>
      <c r="V121" s="181">
        <v>8781122835861.1387</v>
      </c>
    </row>
    <row r="122" spans="1:22">
      <c r="A122" s="2" t="s">
        <v>259</v>
      </c>
      <c r="B122" s="2" t="s">
        <v>260</v>
      </c>
      <c r="C122" s="181">
        <v>165.18575999999999</v>
      </c>
      <c r="D122" s="181">
        <v>21096.732</v>
      </c>
      <c r="E122" s="181">
        <v>546.1</v>
      </c>
      <c r="F122" s="181">
        <v>312.42</v>
      </c>
      <c r="G122" s="181">
        <v>13.97</v>
      </c>
      <c r="H122" s="181">
        <v>22.224999999999998</v>
      </c>
      <c r="I122" s="181">
        <v>0</v>
      </c>
      <c r="J122" s="181">
        <v>22.224999999999998</v>
      </c>
      <c r="K122" s="181">
        <v>7.05</v>
      </c>
      <c r="L122" s="181">
        <v>34.1</v>
      </c>
      <c r="M122" s="181">
        <v>1111337906.352</v>
      </c>
      <c r="N122" s="181">
        <v>4571990.8559999997</v>
      </c>
      <c r="O122" s="181">
        <v>4080378.9359999998</v>
      </c>
      <c r="P122" s="181">
        <v>229.87</v>
      </c>
      <c r="Q122" s="181">
        <v>114047410.61439998</v>
      </c>
      <c r="R122" s="181">
        <v>1117597.7648</v>
      </c>
      <c r="S122" s="181">
        <v>729224.34799999988</v>
      </c>
      <c r="T122" s="181">
        <v>73.66</v>
      </c>
      <c r="U122" s="181">
        <v>2842860.6368479999</v>
      </c>
      <c r="V122" s="181">
        <v>7841247302970.8027</v>
      </c>
    </row>
    <row r="123" spans="1:22">
      <c r="A123" s="2" t="s">
        <v>261</v>
      </c>
      <c r="B123" s="2" t="s">
        <v>262</v>
      </c>
      <c r="C123" s="181">
        <v>150.30416</v>
      </c>
      <c r="D123" s="181">
        <v>19225.768</v>
      </c>
      <c r="E123" s="181">
        <v>543.55999999999995</v>
      </c>
      <c r="F123" s="181">
        <v>312.42</v>
      </c>
      <c r="G123" s="181">
        <v>12.7</v>
      </c>
      <c r="H123" s="181">
        <v>20.32</v>
      </c>
      <c r="I123" s="181">
        <v>0</v>
      </c>
      <c r="J123" s="181">
        <v>22.542499999999997</v>
      </c>
      <c r="K123" s="181">
        <v>7.68</v>
      </c>
      <c r="L123" s="181">
        <v>37.5</v>
      </c>
      <c r="M123" s="181">
        <v>1007280049.9519999</v>
      </c>
      <c r="N123" s="181">
        <v>4145927.1919999998</v>
      </c>
      <c r="O123" s="181">
        <v>3719863.5279999995</v>
      </c>
      <c r="P123" s="181">
        <v>229.10799999999998</v>
      </c>
      <c r="Q123" s="181">
        <v>103225393.54879999</v>
      </c>
      <c r="R123" s="181">
        <v>1011081.8487999999</v>
      </c>
      <c r="S123" s="181">
        <v>660398.6791999999</v>
      </c>
      <c r="T123" s="181">
        <v>73.406000000000006</v>
      </c>
      <c r="U123" s="181">
        <v>2168565.7273759996</v>
      </c>
      <c r="V123" s="181">
        <v>7035639703350.5146</v>
      </c>
    </row>
    <row r="124" spans="1:22">
      <c r="A124" s="2" t="s">
        <v>263</v>
      </c>
      <c r="B124" s="2" t="s">
        <v>264</v>
      </c>
      <c r="C124" s="181">
        <v>138.39887999999999</v>
      </c>
      <c r="D124" s="181">
        <v>17612.867999999999</v>
      </c>
      <c r="E124" s="181">
        <v>548.64</v>
      </c>
      <c r="F124" s="181">
        <v>213.86799999999999</v>
      </c>
      <c r="G124" s="181">
        <v>14.731999999999998</v>
      </c>
      <c r="H124" s="181">
        <v>23.622</v>
      </c>
      <c r="I124" s="181">
        <v>0</v>
      </c>
      <c r="J124" s="181">
        <v>17.652999999999999</v>
      </c>
      <c r="K124" s="181">
        <v>4.53</v>
      </c>
      <c r="L124" s="181">
        <v>32.299999999999997</v>
      </c>
      <c r="M124" s="181">
        <v>861599050.99199986</v>
      </c>
      <c r="N124" s="181">
        <v>3621541.1439999999</v>
      </c>
      <c r="O124" s="181">
        <v>3146316.2879999997</v>
      </c>
      <c r="P124" s="181">
        <v>220.97999999999996</v>
      </c>
      <c r="Q124" s="181">
        <v>38667899.438239999</v>
      </c>
      <c r="R124" s="181">
        <v>568631.12080000003</v>
      </c>
      <c r="S124" s="181">
        <v>362154.11439999996</v>
      </c>
      <c r="T124" s="181">
        <v>46.735999999999997</v>
      </c>
      <c r="U124" s="181">
        <v>2509875.4963679998</v>
      </c>
      <c r="V124" s="181">
        <v>2669246513408.5542</v>
      </c>
    </row>
    <row r="125" spans="1:22">
      <c r="A125" s="2" t="s">
        <v>265</v>
      </c>
      <c r="B125" s="2" t="s">
        <v>266</v>
      </c>
      <c r="C125" s="181">
        <v>123.51728</v>
      </c>
      <c r="D125" s="181">
        <v>15677.387999999999</v>
      </c>
      <c r="E125" s="181">
        <v>543.55999999999995</v>
      </c>
      <c r="F125" s="181">
        <v>212.34399999999997</v>
      </c>
      <c r="G125" s="181">
        <v>13.081</v>
      </c>
      <c r="H125" s="181">
        <v>21.209</v>
      </c>
      <c r="I125" s="181">
        <v>0</v>
      </c>
      <c r="J125" s="181">
        <v>16.890999999999995</v>
      </c>
      <c r="K125" s="181">
        <v>5</v>
      </c>
      <c r="L125" s="181">
        <v>36.4</v>
      </c>
      <c r="M125" s="181">
        <v>761703508.84799993</v>
      </c>
      <c r="N125" s="181">
        <v>3211864.5439999998</v>
      </c>
      <c r="O125" s="181">
        <v>2802187.9439999997</v>
      </c>
      <c r="P125" s="181">
        <v>220.21799999999999</v>
      </c>
      <c r="Q125" s="181">
        <v>33881238.043839999</v>
      </c>
      <c r="R125" s="181">
        <v>499805.45199999993</v>
      </c>
      <c r="S125" s="181">
        <v>319547.74799999996</v>
      </c>
      <c r="T125" s="181">
        <v>46.481999999999999</v>
      </c>
      <c r="U125" s="181">
        <v>1806444.3871039997</v>
      </c>
      <c r="V125" s="181">
        <v>2317464528241.0283</v>
      </c>
    </row>
    <row r="126" spans="1:22">
      <c r="A126" s="2" t="s">
        <v>267</v>
      </c>
      <c r="B126" s="2" t="s">
        <v>268</v>
      </c>
      <c r="C126" s="181">
        <v>108.63567999999999</v>
      </c>
      <c r="D126" s="181">
        <v>13870.939999999999</v>
      </c>
      <c r="E126" s="181">
        <v>538.4799999999999</v>
      </c>
      <c r="F126" s="181">
        <v>210.82</v>
      </c>
      <c r="G126" s="181">
        <v>11.557</v>
      </c>
      <c r="H126" s="181">
        <v>18.795999999999999</v>
      </c>
      <c r="I126" s="181">
        <v>0</v>
      </c>
      <c r="J126" s="181">
        <v>17.716499999999996</v>
      </c>
      <c r="K126" s="181">
        <v>5.6</v>
      </c>
      <c r="L126" s="181">
        <v>41.2</v>
      </c>
      <c r="M126" s="181">
        <v>665970280.95999992</v>
      </c>
      <c r="N126" s="181">
        <v>2818575.0079999999</v>
      </c>
      <c r="O126" s="181">
        <v>2474446.6639999999</v>
      </c>
      <c r="P126" s="181">
        <v>219.45599999999999</v>
      </c>
      <c r="Q126" s="181">
        <v>29385938.647359993</v>
      </c>
      <c r="R126" s="181">
        <v>435895.90239999996</v>
      </c>
      <c r="S126" s="181">
        <v>278580.08799999999</v>
      </c>
      <c r="T126" s="181">
        <v>45.973999999999997</v>
      </c>
      <c r="U126" s="181">
        <v>1257018.9053119998</v>
      </c>
      <c r="V126" s="181">
        <v>1992536129727.5122</v>
      </c>
    </row>
    <row r="127" spans="1:22">
      <c r="A127" s="2" t="s">
        <v>269</v>
      </c>
      <c r="B127" s="2" t="s">
        <v>270</v>
      </c>
      <c r="C127" s="181">
        <v>101.19488</v>
      </c>
      <c r="D127" s="181">
        <v>12903.199999999999</v>
      </c>
      <c r="E127" s="181">
        <v>535.94000000000005</v>
      </c>
      <c r="F127" s="181">
        <v>210.05799999999996</v>
      </c>
      <c r="G127" s="181">
        <v>10.921999999999999</v>
      </c>
      <c r="H127" s="181">
        <v>17.399000000000001</v>
      </c>
      <c r="I127" s="181">
        <v>0</v>
      </c>
      <c r="J127" s="181">
        <v>17.525999999999996</v>
      </c>
      <c r="K127" s="181">
        <v>6.04</v>
      </c>
      <c r="L127" s="181">
        <v>43.6</v>
      </c>
      <c r="M127" s="181">
        <v>616022509.88799989</v>
      </c>
      <c r="N127" s="181">
        <v>2621930.2399999998</v>
      </c>
      <c r="O127" s="181">
        <v>2294188.96</v>
      </c>
      <c r="P127" s="181">
        <v>218.43999999999997</v>
      </c>
      <c r="Q127" s="181">
        <v>26930173.23632</v>
      </c>
      <c r="R127" s="181">
        <v>399844.36159999995</v>
      </c>
      <c r="S127" s="181">
        <v>257276.90479999996</v>
      </c>
      <c r="T127" s="181">
        <v>45.72</v>
      </c>
      <c r="U127" s="181">
        <v>1019766.99272</v>
      </c>
      <c r="V127" s="181">
        <v>1815302457811.0488</v>
      </c>
    </row>
    <row r="128" spans="1:22">
      <c r="A128" s="2" t="s">
        <v>271</v>
      </c>
      <c r="B128" s="2" t="s">
        <v>272</v>
      </c>
      <c r="C128" s="181">
        <v>92.265919999999994</v>
      </c>
      <c r="D128" s="181">
        <v>11806.428</v>
      </c>
      <c r="E128" s="181">
        <v>533.4</v>
      </c>
      <c r="F128" s="181">
        <v>209.29599999999999</v>
      </c>
      <c r="G128" s="181">
        <v>10.16</v>
      </c>
      <c r="H128" s="181">
        <v>15.620999999999999</v>
      </c>
      <c r="I128" s="181">
        <v>0</v>
      </c>
      <c r="J128" s="181">
        <v>17.7165</v>
      </c>
      <c r="K128" s="181">
        <v>6.7</v>
      </c>
      <c r="L128" s="181">
        <v>46.9</v>
      </c>
      <c r="M128" s="181">
        <v>553587796.04799998</v>
      </c>
      <c r="N128" s="181">
        <v>2359737.216</v>
      </c>
      <c r="O128" s="181">
        <v>2081157.1279999998</v>
      </c>
      <c r="P128" s="181">
        <v>216.91599999999997</v>
      </c>
      <c r="Q128" s="181">
        <v>23933306.971999999</v>
      </c>
      <c r="R128" s="181">
        <v>355599.28879999998</v>
      </c>
      <c r="S128" s="181">
        <v>229418.89599999998</v>
      </c>
      <c r="T128" s="181">
        <v>44.957999999999998</v>
      </c>
      <c r="U128" s="181">
        <v>761703.50884799997</v>
      </c>
      <c r="V128" s="181">
        <v>1603159123244.373</v>
      </c>
    </row>
    <row r="129" spans="1:22">
      <c r="A129" s="2" t="s">
        <v>273</v>
      </c>
      <c r="B129" s="2" t="s">
        <v>274</v>
      </c>
      <c r="C129" s="181">
        <v>81.848799999999997</v>
      </c>
      <c r="D129" s="181">
        <v>10451.591999999999</v>
      </c>
      <c r="E129" s="181">
        <v>528.31999999999994</v>
      </c>
      <c r="F129" s="181">
        <v>208.78800000000001</v>
      </c>
      <c r="G129" s="181">
        <v>9.5249999999999986</v>
      </c>
      <c r="H129" s="181">
        <v>13.258799999999999</v>
      </c>
      <c r="I129" s="181">
        <v>0</v>
      </c>
      <c r="J129" s="181">
        <v>16.903700000000001</v>
      </c>
      <c r="K129" s="181">
        <v>7.87</v>
      </c>
      <c r="L129" s="181">
        <v>50</v>
      </c>
      <c r="M129" s="181">
        <v>474503825.18399996</v>
      </c>
      <c r="N129" s="181">
        <v>2064770.0639999998</v>
      </c>
      <c r="O129" s="181">
        <v>1802577.0399999998</v>
      </c>
      <c r="P129" s="181">
        <v>213.35999999999999</v>
      </c>
      <c r="Q129" s="181">
        <v>20145600.999039996</v>
      </c>
      <c r="R129" s="181">
        <v>301521.97759999993</v>
      </c>
      <c r="S129" s="181">
        <v>193367.35519999999</v>
      </c>
      <c r="T129" s="181">
        <v>43.942</v>
      </c>
      <c r="U129" s="181">
        <v>516126.96774399997</v>
      </c>
      <c r="V129" s="181">
        <v>1337308615369.678</v>
      </c>
    </row>
    <row r="130" spans="1:22">
      <c r="A130" s="2" t="s">
        <v>275</v>
      </c>
      <c r="B130" s="2" t="s">
        <v>276</v>
      </c>
      <c r="C130" s="181">
        <v>71.43168</v>
      </c>
      <c r="D130" s="181">
        <v>9096.7559999999994</v>
      </c>
      <c r="E130" s="181">
        <v>523.24</v>
      </c>
      <c r="F130" s="181">
        <v>206.756</v>
      </c>
      <c r="G130" s="181">
        <v>8.8899999999999988</v>
      </c>
      <c r="H130" s="181">
        <v>10.921999999999999</v>
      </c>
      <c r="I130" s="181">
        <v>0</v>
      </c>
      <c r="J130" s="181">
        <v>17.652999999999999</v>
      </c>
      <c r="K130" s="181">
        <v>9.4700000000000006</v>
      </c>
      <c r="L130" s="181">
        <v>53.6</v>
      </c>
      <c r="M130" s="181">
        <v>399165937.15039998</v>
      </c>
      <c r="N130" s="181">
        <v>1753415.8479999998</v>
      </c>
      <c r="O130" s="181">
        <v>1523996.9519999998</v>
      </c>
      <c r="P130" s="181">
        <v>209.29599999999999</v>
      </c>
      <c r="Q130" s="181">
        <v>16108156.17072</v>
      </c>
      <c r="R130" s="181">
        <v>244167.2536</v>
      </c>
      <c r="S130" s="181">
        <v>156004.84927999997</v>
      </c>
      <c r="T130" s="181">
        <v>42.163999999999994</v>
      </c>
      <c r="U130" s="181">
        <v>334233.83475679997</v>
      </c>
      <c r="V130" s="181">
        <v>1058031314167.9781</v>
      </c>
    </row>
    <row r="131" spans="1:22">
      <c r="A131" s="2" t="s">
        <v>277</v>
      </c>
      <c r="B131" s="2" t="s">
        <v>278</v>
      </c>
      <c r="C131" s="181">
        <v>84.825119999999998</v>
      </c>
      <c r="D131" s="181">
        <v>10774.171999999999</v>
      </c>
      <c r="E131" s="181">
        <v>535.94000000000005</v>
      </c>
      <c r="F131" s="181">
        <v>166.62399999999997</v>
      </c>
      <c r="G131" s="181">
        <v>10.287000000000001</v>
      </c>
      <c r="H131" s="181">
        <v>16.509999999999998</v>
      </c>
      <c r="I131" s="181">
        <v>0</v>
      </c>
      <c r="J131" s="181">
        <v>16.827500000000001</v>
      </c>
      <c r="K131" s="181">
        <v>5.04</v>
      </c>
      <c r="L131" s="181">
        <v>46.3</v>
      </c>
      <c r="M131" s="181">
        <v>486990767.95199996</v>
      </c>
      <c r="N131" s="181">
        <v>2113931.2559999996</v>
      </c>
      <c r="O131" s="181">
        <v>1818964.1039999998</v>
      </c>
      <c r="P131" s="181">
        <v>212.34399999999997</v>
      </c>
      <c r="Q131" s="181">
        <v>12736681.623359999</v>
      </c>
      <c r="R131" s="181">
        <v>242528.5472</v>
      </c>
      <c r="S131" s="181">
        <v>153219.04839999997</v>
      </c>
      <c r="T131" s="181">
        <v>34.29</v>
      </c>
      <c r="U131" s="181">
        <v>736729.62331199995</v>
      </c>
      <c r="V131" s="181">
        <v>856629414262.90625</v>
      </c>
    </row>
    <row r="132" spans="1:22">
      <c r="A132" s="2" t="s">
        <v>279</v>
      </c>
      <c r="B132" s="2" t="s">
        <v>280</v>
      </c>
      <c r="C132" s="181">
        <v>74.408000000000001</v>
      </c>
      <c r="D132" s="181">
        <v>9483.851999999999</v>
      </c>
      <c r="E132" s="181">
        <v>528.31999999999994</v>
      </c>
      <c r="F132" s="181">
        <v>165.86199999999999</v>
      </c>
      <c r="G132" s="181">
        <v>9.6519999999999992</v>
      </c>
      <c r="H132" s="181">
        <v>13.589</v>
      </c>
      <c r="I132" s="181">
        <v>0</v>
      </c>
      <c r="J132" s="181">
        <v>18.161000000000001</v>
      </c>
      <c r="K132" s="181">
        <v>6.1</v>
      </c>
      <c r="L132" s="181">
        <v>49.4</v>
      </c>
      <c r="M132" s="181">
        <v>409571722.79039997</v>
      </c>
      <c r="N132" s="181">
        <v>1802577.0399999998</v>
      </c>
      <c r="O132" s="181">
        <v>1548577.548</v>
      </c>
      <c r="P132" s="181">
        <v>207.77199999999999</v>
      </c>
      <c r="Q132" s="181">
        <v>10364162.497439999</v>
      </c>
      <c r="R132" s="181">
        <v>199922.18079999997</v>
      </c>
      <c r="S132" s="181">
        <v>125197.16895999998</v>
      </c>
      <c r="T132" s="181">
        <v>33.019999999999996</v>
      </c>
      <c r="U132" s="181">
        <v>474503.8251839999</v>
      </c>
      <c r="V132" s="181">
        <v>687451818342.64575</v>
      </c>
    </row>
    <row r="133" spans="1:22">
      <c r="A133" s="2" t="s">
        <v>281</v>
      </c>
      <c r="B133" s="2" t="s">
        <v>282</v>
      </c>
      <c r="C133" s="181">
        <v>65.479039999999998</v>
      </c>
      <c r="D133" s="181">
        <v>8387.08</v>
      </c>
      <c r="E133" s="181">
        <v>525.78</v>
      </c>
      <c r="F133" s="181">
        <v>165.1</v>
      </c>
      <c r="G133" s="181">
        <v>8.8899999999999988</v>
      </c>
      <c r="H133" s="181">
        <v>11.43</v>
      </c>
      <c r="I133" s="181">
        <v>0</v>
      </c>
      <c r="J133" s="181">
        <v>17.145</v>
      </c>
      <c r="K133" s="181">
        <v>7.22</v>
      </c>
      <c r="L133" s="181">
        <v>53.6</v>
      </c>
      <c r="M133" s="181">
        <v>350883091.78079998</v>
      </c>
      <c r="N133" s="181">
        <v>1563325.9055999999</v>
      </c>
      <c r="O133" s="181">
        <v>1337184.4223999998</v>
      </c>
      <c r="P133" s="181">
        <v>204.72399999999999</v>
      </c>
      <c r="Q133" s="181">
        <v>8615990.5099199992</v>
      </c>
      <c r="R133" s="181">
        <v>167148.05279999998</v>
      </c>
      <c r="S133" s="181">
        <v>104385.59767999999</v>
      </c>
      <c r="T133" s="181">
        <v>32.003999999999998</v>
      </c>
      <c r="U133" s="181">
        <v>320498.19771199999</v>
      </c>
      <c r="V133" s="181">
        <v>566610678399.60254</v>
      </c>
    </row>
    <row r="134" spans="1:22">
      <c r="A134" s="2" t="s">
        <v>283</v>
      </c>
      <c r="B134" s="2" t="s">
        <v>284</v>
      </c>
      <c r="C134" s="181">
        <v>260.428</v>
      </c>
      <c r="D134" s="181">
        <v>33096.707999999999</v>
      </c>
      <c r="E134" s="181">
        <v>508</v>
      </c>
      <c r="F134" s="181">
        <v>289.56</v>
      </c>
      <c r="G134" s="181">
        <v>22.605999999999998</v>
      </c>
      <c r="H134" s="181">
        <v>40.386000000000003</v>
      </c>
      <c r="I134" s="181">
        <v>0</v>
      </c>
      <c r="J134" s="181">
        <v>21.526499999999992</v>
      </c>
      <c r="K134" s="181">
        <v>3.58</v>
      </c>
      <c r="L134" s="181">
        <v>18</v>
      </c>
      <c r="M134" s="181">
        <v>1435998418.3199999</v>
      </c>
      <c r="N134" s="181">
        <v>6522051.4719999991</v>
      </c>
      <c r="O134" s="181">
        <v>5637150.0159999998</v>
      </c>
      <c r="P134" s="181">
        <v>208.27999999999997</v>
      </c>
      <c r="Q134" s="181">
        <v>162746487.40959999</v>
      </c>
      <c r="R134" s="181">
        <v>1737028.7839999998</v>
      </c>
      <c r="S134" s="181">
        <v>1127430.0031999999</v>
      </c>
      <c r="T134" s="181">
        <v>70.103999999999985</v>
      </c>
      <c r="U134" s="181">
        <v>14068622.185279997</v>
      </c>
      <c r="V134" s="181">
        <v>8942244355785.1973</v>
      </c>
    </row>
    <row r="135" spans="1:22">
      <c r="A135" s="2" t="s">
        <v>285</v>
      </c>
      <c r="B135" s="2" t="s">
        <v>286</v>
      </c>
      <c r="C135" s="181">
        <v>235.12927999999999</v>
      </c>
      <c r="D135" s="181">
        <v>29870.907999999996</v>
      </c>
      <c r="E135" s="181">
        <v>500.37999999999994</v>
      </c>
      <c r="F135" s="181">
        <v>287.02</v>
      </c>
      <c r="G135" s="181">
        <v>20.574000000000002</v>
      </c>
      <c r="H135" s="181">
        <v>36.575999999999993</v>
      </c>
      <c r="I135" s="181">
        <v>0</v>
      </c>
      <c r="J135" s="181">
        <v>23.749000000000002</v>
      </c>
      <c r="K135" s="181">
        <v>3.92</v>
      </c>
      <c r="L135" s="181">
        <v>19.8</v>
      </c>
      <c r="M135" s="181">
        <v>1273668162.336</v>
      </c>
      <c r="N135" s="181">
        <v>5833794.7839999991</v>
      </c>
      <c r="O135" s="181">
        <v>5079989.84</v>
      </c>
      <c r="P135" s="181">
        <v>206.24799999999996</v>
      </c>
      <c r="Q135" s="181">
        <v>144432304.68319997</v>
      </c>
      <c r="R135" s="181">
        <v>1553493.6671999998</v>
      </c>
      <c r="S135" s="181">
        <v>1006165.7295999998</v>
      </c>
      <c r="T135" s="181">
        <v>69.596000000000004</v>
      </c>
      <c r="U135" s="181">
        <v>10489031.925119998</v>
      </c>
      <c r="V135" s="181">
        <v>7787540129662.7832</v>
      </c>
    </row>
    <row r="136" spans="1:22">
      <c r="A136" s="2" t="s">
        <v>287</v>
      </c>
      <c r="B136" s="2" t="s">
        <v>288</v>
      </c>
      <c r="C136" s="181">
        <v>212.80687999999998</v>
      </c>
      <c r="D136" s="181">
        <v>27161.236000000001</v>
      </c>
      <c r="E136" s="181">
        <v>495.29999999999995</v>
      </c>
      <c r="F136" s="181">
        <v>284.47999999999996</v>
      </c>
      <c r="G136" s="181">
        <v>18.541999999999998</v>
      </c>
      <c r="H136" s="181">
        <v>33.527999999999999</v>
      </c>
      <c r="I136" s="181">
        <v>0</v>
      </c>
      <c r="J136" s="181">
        <v>22.034500000000001</v>
      </c>
      <c r="K136" s="181">
        <v>4.25</v>
      </c>
      <c r="L136" s="181">
        <v>22</v>
      </c>
      <c r="M136" s="181">
        <v>1144636420.3999999</v>
      </c>
      <c r="N136" s="181">
        <v>5276634.6079999991</v>
      </c>
      <c r="O136" s="181">
        <v>4621152.0479999995</v>
      </c>
      <c r="P136" s="181">
        <v>205.48599999999999</v>
      </c>
      <c r="Q136" s="181">
        <v>129447973.36159998</v>
      </c>
      <c r="R136" s="181">
        <v>1399455.2656</v>
      </c>
      <c r="S136" s="181">
        <v>909482.05199999991</v>
      </c>
      <c r="T136" s="181">
        <v>69.088000000000008</v>
      </c>
      <c r="U136" s="181">
        <v>7991643.3715199986</v>
      </c>
      <c r="V136" s="181">
        <v>6901371770080.4668</v>
      </c>
    </row>
    <row r="137" spans="1:22">
      <c r="A137" s="2" t="s">
        <v>289</v>
      </c>
      <c r="B137" s="2" t="s">
        <v>290</v>
      </c>
      <c r="C137" s="181">
        <v>193.46079999999998</v>
      </c>
      <c r="D137" s="181">
        <v>24645.112000000001</v>
      </c>
      <c r="E137" s="181">
        <v>490.21999999999997</v>
      </c>
      <c r="F137" s="181">
        <v>284.47999999999996</v>
      </c>
      <c r="G137" s="181">
        <v>17.018000000000001</v>
      </c>
      <c r="H137" s="181">
        <v>30.479999999999997</v>
      </c>
      <c r="I137" s="181">
        <v>0</v>
      </c>
      <c r="J137" s="181">
        <v>21.907499999999999</v>
      </c>
      <c r="K137" s="181">
        <v>4.6500000000000004</v>
      </c>
      <c r="L137" s="181">
        <v>23.9</v>
      </c>
      <c r="M137" s="181">
        <v>1023929306.976</v>
      </c>
      <c r="N137" s="181">
        <v>4752248.5599999996</v>
      </c>
      <c r="O137" s="181">
        <v>4195088.3839999996</v>
      </c>
      <c r="P137" s="181">
        <v>203.96199999999996</v>
      </c>
      <c r="Q137" s="181">
        <v>115712336.31679998</v>
      </c>
      <c r="R137" s="181">
        <v>1256887.8088</v>
      </c>
      <c r="S137" s="181">
        <v>817714.49359999993</v>
      </c>
      <c r="T137" s="181">
        <v>68.58</v>
      </c>
      <c r="U137" s="181">
        <v>6035355.6711999997</v>
      </c>
      <c r="V137" s="181">
        <v>6068910583806.1689</v>
      </c>
    </row>
    <row r="138" spans="1:22">
      <c r="A138" s="2" t="s">
        <v>291</v>
      </c>
      <c r="B138" s="2" t="s">
        <v>292</v>
      </c>
      <c r="C138" s="181">
        <v>177.09103999999999</v>
      </c>
      <c r="D138" s="181">
        <v>22645.115999999998</v>
      </c>
      <c r="E138" s="181">
        <v>482.59999999999997</v>
      </c>
      <c r="F138" s="181">
        <v>287.02</v>
      </c>
      <c r="G138" s="181">
        <v>16.637</v>
      </c>
      <c r="H138" s="181">
        <v>26.923999999999999</v>
      </c>
      <c r="I138" s="181">
        <v>0</v>
      </c>
      <c r="J138" s="181">
        <v>22.288499999999999</v>
      </c>
      <c r="K138" s="181">
        <v>5.31</v>
      </c>
      <c r="L138" s="181">
        <v>24.5</v>
      </c>
      <c r="M138" s="181">
        <v>911546822.06399989</v>
      </c>
      <c r="N138" s="181">
        <v>4293410.7679999992</v>
      </c>
      <c r="O138" s="181">
        <v>3785411.7839999995</v>
      </c>
      <c r="P138" s="181">
        <v>200.66</v>
      </c>
      <c r="Q138" s="181">
        <v>105306550.67679998</v>
      </c>
      <c r="R138" s="181">
        <v>1132346.1223999998</v>
      </c>
      <c r="S138" s="181">
        <v>735779.17359999986</v>
      </c>
      <c r="T138" s="181">
        <v>68.325999999999993</v>
      </c>
      <c r="U138" s="181">
        <v>4412053.1113599995</v>
      </c>
      <c r="V138" s="181">
        <v>5451278090763.9482</v>
      </c>
    </row>
    <row r="139" spans="1:22">
      <c r="A139" s="2" t="s">
        <v>293</v>
      </c>
      <c r="B139" s="2" t="s">
        <v>294</v>
      </c>
      <c r="C139" s="181">
        <v>157.74495999999999</v>
      </c>
      <c r="D139" s="181">
        <v>20064.475999999999</v>
      </c>
      <c r="E139" s="181">
        <v>474.97999999999996</v>
      </c>
      <c r="F139" s="181">
        <v>284.47999999999996</v>
      </c>
      <c r="G139" s="181">
        <v>14.985999999999999</v>
      </c>
      <c r="H139" s="181">
        <v>23.875999999999998</v>
      </c>
      <c r="I139" s="181">
        <v>0</v>
      </c>
      <c r="J139" s="181">
        <v>22.161499999999997</v>
      </c>
      <c r="K139" s="181">
        <v>5.96</v>
      </c>
      <c r="L139" s="181">
        <v>27.2</v>
      </c>
      <c r="M139" s="181">
        <v>795002022.89599991</v>
      </c>
      <c r="N139" s="181">
        <v>3769024.7199999997</v>
      </c>
      <c r="O139" s="181">
        <v>3342961.0559999999</v>
      </c>
      <c r="P139" s="181">
        <v>199.136</v>
      </c>
      <c r="Q139" s="181">
        <v>91570913.631999984</v>
      </c>
      <c r="R139" s="181">
        <v>991417.37199999986</v>
      </c>
      <c r="S139" s="181">
        <v>645650.32159999991</v>
      </c>
      <c r="T139" s="181">
        <v>67.563999999999993</v>
      </c>
      <c r="U139" s="181">
        <v>3113411.0634880001</v>
      </c>
      <c r="V139" s="181">
        <v>4672524077797.6699</v>
      </c>
    </row>
    <row r="140" spans="1:22">
      <c r="A140" s="2" t="s">
        <v>295</v>
      </c>
      <c r="B140" s="2" t="s">
        <v>296</v>
      </c>
      <c r="C140" s="181">
        <v>144.35151999999999</v>
      </c>
      <c r="D140" s="181">
        <v>18387.059999999998</v>
      </c>
      <c r="E140" s="181">
        <v>472.44</v>
      </c>
      <c r="F140" s="181">
        <v>281.94</v>
      </c>
      <c r="G140" s="181">
        <v>13.589</v>
      </c>
      <c r="H140" s="181">
        <v>22.097999999999999</v>
      </c>
      <c r="I140" s="181">
        <v>0</v>
      </c>
      <c r="J140" s="181">
        <v>22.351999999999997</v>
      </c>
      <c r="K140" s="181">
        <v>6.41</v>
      </c>
      <c r="L140" s="181">
        <v>30</v>
      </c>
      <c r="M140" s="181">
        <v>728404994.79999995</v>
      </c>
      <c r="N140" s="181">
        <v>3457670.5039999997</v>
      </c>
      <c r="O140" s="181">
        <v>3080768.0319999997</v>
      </c>
      <c r="P140" s="181">
        <v>198.62799999999999</v>
      </c>
      <c r="Q140" s="181">
        <v>83662516.545599997</v>
      </c>
      <c r="R140" s="181">
        <v>906204.63919999986</v>
      </c>
      <c r="S140" s="181">
        <v>591573.01039999991</v>
      </c>
      <c r="T140" s="181">
        <v>67.309999999999988</v>
      </c>
      <c r="U140" s="181">
        <v>2439116.1540159998</v>
      </c>
      <c r="V140" s="181">
        <v>4242866691333.5166</v>
      </c>
    </row>
    <row r="141" spans="1:22">
      <c r="A141" s="2" t="s">
        <v>297</v>
      </c>
      <c r="B141" s="2" t="s">
        <v>298</v>
      </c>
      <c r="C141" s="181">
        <v>127.98175999999999</v>
      </c>
      <c r="D141" s="181">
        <v>16322.547999999999</v>
      </c>
      <c r="E141" s="181">
        <v>467.35999999999996</v>
      </c>
      <c r="F141" s="181">
        <v>281.94</v>
      </c>
      <c r="G141" s="181">
        <v>12.191999999999998</v>
      </c>
      <c r="H141" s="181">
        <v>19.558</v>
      </c>
      <c r="I141" s="181">
        <v>0</v>
      </c>
      <c r="J141" s="181">
        <v>21.716999999999999</v>
      </c>
      <c r="K141" s="181">
        <v>7.2</v>
      </c>
      <c r="L141" s="181">
        <v>33.4</v>
      </c>
      <c r="M141" s="181">
        <v>636834081.16799998</v>
      </c>
      <c r="N141" s="181">
        <v>3047993.9039999996</v>
      </c>
      <c r="O141" s="181">
        <v>2720252.6239999998</v>
      </c>
      <c r="P141" s="181">
        <v>197.35799999999998</v>
      </c>
      <c r="Q141" s="181">
        <v>72840499.479999989</v>
      </c>
      <c r="R141" s="181">
        <v>793133.89759999991</v>
      </c>
      <c r="S141" s="181">
        <v>517831.22239999997</v>
      </c>
      <c r="T141" s="181">
        <v>66.801999999999992</v>
      </c>
      <c r="U141" s="181">
        <v>1706548.8449599997</v>
      </c>
      <c r="V141" s="181">
        <v>3652087784945.3052</v>
      </c>
    </row>
    <row r="142" spans="1:22">
      <c r="A142" s="2" t="s">
        <v>299</v>
      </c>
      <c r="B142" s="2" t="s">
        <v>300</v>
      </c>
      <c r="C142" s="181">
        <v>113.10015999999999</v>
      </c>
      <c r="D142" s="181">
        <v>14387.067999999999</v>
      </c>
      <c r="E142" s="181">
        <v>462.28</v>
      </c>
      <c r="F142" s="181">
        <v>279.39999999999998</v>
      </c>
      <c r="G142" s="181">
        <v>10.795</v>
      </c>
      <c r="H142" s="181">
        <v>17.272000000000002</v>
      </c>
      <c r="I142" s="181">
        <v>0</v>
      </c>
      <c r="J142" s="181">
        <v>22.415499999999998</v>
      </c>
      <c r="K142" s="181">
        <v>8.11</v>
      </c>
      <c r="L142" s="181">
        <v>37.799999999999997</v>
      </c>
      <c r="M142" s="181">
        <v>553587796.04799998</v>
      </c>
      <c r="N142" s="181">
        <v>2671091.4319999996</v>
      </c>
      <c r="O142" s="181">
        <v>2392511.3439999996</v>
      </c>
      <c r="P142" s="181">
        <v>196.34200000000001</v>
      </c>
      <c r="Q142" s="181">
        <v>63267176.691199996</v>
      </c>
      <c r="R142" s="181">
        <v>691534.10080000001</v>
      </c>
      <c r="S142" s="181">
        <v>452282.96639999998</v>
      </c>
      <c r="T142" s="181">
        <v>66.293999999999997</v>
      </c>
      <c r="U142" s="181">
        <v>1177934.9344479998</v>
      </c>
      <c r="V142" s="181">
        <v>3141869638519.123</v>
      </c>
    </row>
    <row r="143" spans="1:22">
      <c r="A143" s="2" t="s">
        <v>301</v>
      </c>
      <c r="B143" s="2" t="s">
        <v>302</v>
      </c>
      <c r="C143" s="181">
        <v>105.65935999999999</v>
      </c>
      <c r="D143" s="181">
        <v>13419.328</v>
      </c>
      <c r="E143" s="181">
        <v>469.9</v>
      </c>
      <c r="F143" s="181">
        <v>194.05599999999998</v>
      </c>
      <c r="G143" s="181">
        <v>12.572999999999999</v>
      </c>
      <c r="H143" s="181">
        <v>20.574000000000002</v>
      </c>
      <c r="I143" s="181">
        <v>0</v>
      </c>
      <c r="J143" s="181">
        <v>17.525999999999993</v>
      </c>
      <c r="K143" s="181">
        <v>4.71</v>
      </c>
      <c r="L143" s="181">
        <v>32.4</v>
      </c>
      <c r="M143" s="181">
        <v>486990767.95199996</v>
      </c>
      <c r="N143" s="181">
        <v>2392511.3439999996</v>
      </c>
      <c r="O143" s="181">
        <v>2081157.1279999998</v>
      </c>
      <c r="P143" s="181">
        <v>190.5</v>
      </c>
      <c r="Q143" s="181">
        <v>25098754.963679995</v>
      </c>
      <c r="R143" s="181">
        <v>404760.48079999996</v>
      </c>
      <c r="S143" s="181">
        <v>258915.61119999998</v>
      </c>
      <c r="T143" s="181">
        <v>43.18</v>
      </c>
      <c r="U143" s="181">
        <v>1452647.6753439999</v>
      </c>
      <c r="V143" s="181">
        <v>1262118572738.4512</v>
      </c>
    </row>
    <row r="144" spans="1:22">
      <c r="A144" s="2" t="s">
        <v>303</v>
      </c>
      <c r="B144" s="2" t="s">
        <v>304</v>
      </c>
      <c r="C144" s="181">
        <v>96.730399999999989</v>
      </c>
      <c r="D144" s="181">
        <v>12322.556</v>
      </c>
      <c r="E144" s="181">
        <v>467.35999999999996</v>
      </c>
      <c r="F144" s="181">
        <v>192.78599999999997</v>
      </c>
      <c r="G144" s="181">
        <v>11.43</v>
      </c>
      <c r="H144" s="181">
        <v>19.049999999999997</v>
      </c>
      <c r="I144" s="181">
        <v>0</v>
      </c>
      <c r="J144" s="181">
        <v>17.462499999999999</v>
      </c>
      <c r="K144" s="181">
        <v>5.0599999999999996</v>
      </c>
      <c r="L144" s="181">
        <v>35.700000000000003</v>
      </c>
      <c r="M144" s="181">
        <v>445367625.39199996</v>
      </c>
      <c r="N144" s="181">
        <v>2179479.5119999996</v>
      </c>
      <c r="O144" s="181">
        <v>1917286.4879999999</v>
      </c>
      <c r="P144" s="181">
        <v>190.24599999999998</v>
      </c>
      <c r="Q144" s="181">
        <v>22809482.122879997</v>
      </c>
      <c r="R144" s="181">
        <v>368708.93999999994</v>
      </c>
      <c r="S144" s="181">
        <v>235973.72159999999</v>
      </c>
      <c r="T144" s="181">
        <v>42.925999999999995</v>
      </c>
      <c r="U144" s="181">
        <v>1136311.791888</v>
      </c>
      <c r="V144" s="181">
        <v>1138592074130.0071</v>
      </c>
    </row>
    <row r="145" spans="1:22">
      <c r="A145" s="2" t="s">
        <v>305</v>
      </c>
      <c r="B145" s="2" t="s">
        <v>306</v>
      </c>
      <c r="C145" s="181">
        <v>89.289599999999993</v>
      </c>
      <c r="D145" s="181">
        <v>11354.816000000001</v>
      </c>
      <c r="E145" s="181">
        <v>462.28</v>
      </c>
      <c r="F145" s="181">
        <v>192.02399999999997</v>
      </c>
      <c r="G145" s="181">
        <v>10.540999999999999</v>
      </c>
      <c r="H145" s="181">
        <v>17.652999999999999</v>
      </c>
      <c r="I145" s="181">
        <v>0</v>
      </c>
      <c r="J145" s="181">
        <v>17.271999999999998</v>
      </c>
      <c r="K145" s="181">
        <v>5.44</v>
      </c>
      <c r="L145" s="181">
        <v>38.700000000000003</v>
      </c>
      <c r="M145" s="181">
        <v>409571722.79039997</v>
      </c>
      <c r="N145" s="181">
        <v>2015608.8719999997</v>
      </c>
      <c r="O145" s="181">
        <v>1769802.9119999998</v>
      </c>
      <c r="P145" s="181">
        <v>189.73799999999997</v>
      </c>
      <c r="Q145" s="181">
        <v>20853194.422559999</v>
      </c>
      <c r="R145" s="181">
        <v>337573.5184</v>
      </c>
      <c r="S145" s="181">
        <v>217947.95119999998</v>
      </c>
      <c r="T145" s="181">
        <v>42.671999999999997</v>
      </c>
      <c r="U145" s="181">
        <v>903222.19355199987</v>
      </c>
      <c r="V145" s="181">
        <v>1036548444844.7705</v>
      </c>
    </row>
    <row r="146" spans="1:22">
      <c r="A146" s="2" t="s">
        <v>307</v>
      </c>
      <c r="B146" s="2" t="s">
        <v>308</v>
      </c>
      <c r="C146" s="181">
        <v>81.848799999999997</v>
      </c>
      <c r="D146" s="181">
        <v>10451.591999999999</v>
      </c>
      <c r="E146" s="181">
        <v>459.74</v>
      </c>
      <c r="F146" s="181">
        <v>191.262</v>
      </c>
      <c r="G146" s="181">
        <v>9.9060000000000006</v>
      </c>
      <c r="H146" s="181">
        <v>16.001999999999999</v>
      </c>
      <c r="I146" s="181">
        <v>0</v>
      </c>
      <c r="J146" s="181">
        <v>17.3355</v>
      </c>
      <c r="K146" s="181">
        <v>5.98</v>
      </c>
      <c r="L146" s="181">
        <v>41.1</v>
      </c>
      <c r="M146" s="181">
        <v>370445968.78399998</v>
      </c>
      <c r="N146" s="181">
        <v>1835351.1679999998</v>
      </c>
      <c r="O146" s="181">
        <v>1610848.3911999997</v>
      </c>
      <c r="P146" s="181">
        <v>188.214</v>
      </c>
      <c r="Q146" s="181">
        <v>18688791.009439997</v>
      </c>
      <c r="R146" s="181">
        <v>303160.68399999995</v>
      </c>
      <c r="S146" s="181">
        <v>195006.06159999999</v>
      </c>
      <c r="T146" s="181">
        <v>42.417999999999999</v>
      </c>
      <c r="U146" s="181">
        <v>690944.1664959999</v>
      </c>
      <c r="V146" s="181">
        <v>921078022232.52917</v>
      </c>
    </row>
    <row r="147" spans="1:22">
      <c r="A147" s="2" t="s">
        <v>309</v>
      </c>
      <c r="B147" s="2" t="s">
        <v>310</v>
      </c>
      <c r="C147" s="181">
        <v>74.408000000000001</v>
      </c>
      <c r="D147" s="181">
        <v>9483.851999999999</v>
      </c>
      <c r="E147" s="181">
        <v>457.2</v>
      </c>
      <c r="F147" s="181">
        <v>190.5</v>
      </c>
      <c r="G147" s="181">
        <v>9.0169999999999995</v>
      </c>
      <c r="H147" s="181">
        <v>14.477999999999998</v>
      </c>
      <c r="I147" s="181">
        <v>0</v>
      </c>
      <c r="J147" s="181">
        <v>17.272000000000002</v>
      </c>
      <c r="K147" s="181">
        <v>6.57</v>
      </c>
      <c r="L147" s="181">
        <v>45.2</v>
      </c>
      <c r="M147" s="181">
        <v>332985140.47999996</v>
      </c>
      <c r="N147" s="181">
        <v>1655093.4639999999</v>
      </c>
      <c r="O147" s="181">
        <v>1456809.9896</v>
      </c>
      <c r="P147" s="181">
        <v>187.452</v>
      </c>
      <c r="Q147" s="181">
        <v>16690880.16656</v>
      </c>
      <c r="R147" s="181">
        <v>272025.26240000001</v>
      </c>
      <c r="S147" s="181">
        <v>175341.58479999998</v>
      </c>
      <c r="T147" s="181">
        <v>41.91</v>
      </c>
      <c r="U147" s="181">
        <v>516126.96774399997</v>
      </c>
      <c r="V147" s="181">
        <v>816349034281.89185</v>
      </c>
    </row>
    <row r="148" spans="1:22">
      <c r="A148" s="2" t="s">
        <v>311</v>
      </c>
      <c r="B148" s="2" t="s">
        <v>312</v>
      </c>
      <c r="C148" s="181">
        <v>68.455359999999999</v>
      </c>
      <c r="D148" s="181">
        <v>8709.66</v>
      </c>
      <c r="E148" s="181">
        <v>459.74</v>
      </c>
      <c r="F148" s="181">
        <v>153.92399999999998</v>
      </c>
      <c r="G148" s="181">
        <v>9.1439999999999984</v>
      </c>
      <c r="H148" s="181">
        <v>15.366999999999999</v>
      </c>
      <c r="I148" s="181">
        <v>0</v>
      </c>
      <c r="J148" s="181">
        <v>16.383000000000003</v>
      </c>
      <c r="K148" s="181">
        <v>5.01</v>
      </c>
      <c r="L148" s="181">
        <v>44.6</v>
      </c>
      <c r="M148" s="181">
        <v>296356775.02719998</v>
      </c>
      <c r="N148" s="181">
        <v>1486306.7047999999</v>
      </c>
      <c r="O148" s="181">
        <v>1291300.6431999998</v>
      </c>
      <c r="P148" s="181">
        <v>184.14999999999998</v>
      </c>
      <c r="Q148" s="181">
        <v>9365207.0759999994</v>
      </c>
      <c r="R148" s="181">
        <v>191728.64879999997</v>
      </c>
      <c r="S148" s="181">
        <v>121755.88551999998</v>
      </c>
      <c r="T148" s="181">
        <v>32.765999999999998</v>
      </c>
      <c r="U148" s="181">
        <v>507802.33923199994</v>
      </c>
      <c r="V148" s="181">
        <v>459196331783.56415</v>
      </c>
    </row>
    <row r="149" spans="1:22">
      <c r="A149" s="2" t="s">
        <v>313</v>
      </c>
      <c r="B149" s="2" t="s">
        <v>314</v>
      </c>
      <c r="C149" s="181">
        <v>59.526399999999995</v>
      </c>
      <c r="D149" s="181">
        <v>7612.8879999999999</v>
      </c>
      <c r="E149" s="181">
        <v>454.65999999999991</v>
      </c>
      <c r="F149" s="181">
        <v>152.90799999999999</v>
      </c>
      <c r="G149" s="181">
        <v>8.0009999999999994</v>
      </c>
      <c r="H149" s="181">
        <v>13.334999999999999</v>
      </c>
      <c r="I149" s="181">
        <v>0</v>
      </c>
      <c r="J149" s="181">
        <v>16.827500000000001</v>
      </c>
      <c r="K149" s="181">
        <v>5.73</v>
      </c>
      <c r="L149" s="181">
        <v>50.9</v>
      </c>
      <c r="M149" s="181">
        <v>254733632.46719998</v>
      </c>
      <c r="N149" s="181">
        <v>1284745.8176</v>
      </c>
      <c r="O149" s="181">
        <v>1120875.1776000001</v>
      </c>
      <c r="P149" s="181">
        <v>183.13399999999999</v>
      </c>
      <c r="Q149" s="181">
        <v>7950020.22896</v>
      </c>
      <c r="R149" s="181">
        <v>163051.28679999997</v>
      </c>
      <c r="S149" s="181">
        <v>104057.85639999999</v>
      </c>
      <c r="T149" s="181">
        <v>32.257999999999996</v>
      </c>
      <c r="U149" s="181">
        <v>337147.45473599999</v>
      </c>
      <c r="V149" s="181">
        <v>386691647817.73822</v>
      </c>
    </row>
    <row r="150" spans="1:22">
      <c r="A150" s="2" t="s">
        <v>315</v>
      </c>
      <c r="B150" s="2" t="s">
        <v>316</v>
      </c>
      <c r="C150" s="181">
        <v>52.085599999999999</v>
      </c>
      <c r="D150" s="181">
        <v>6645.1480000000001</v>
      </c>
      <c r="E150" s="181">
        <v>449.58</v>
      </c>
      <c r="F150" s="181">
        <v>152.39999999999998</v>
      </c>
      <c r="G150" s="181">
        <v>7.6199999999999992</v>
      </c>
      <c r="H150" s="181">
        <v>10.795</v>
      </c>
      <c r="I150" s="181">
        <v>0</v>
      </c>
      <c r="J150" s="181">
        <v>17.78</v>
      </c>
      <c r="K150" s="181">
        <v>7.06</v>
      </c>
      <c r="L150" s="181">
        <v>53.5</v>
      </c>
      <c r="M150" s="181">
        <v>212278027.05599996</v>
      </c>
      <c r="N150" s="181">
        <v>1089739.7559999998</v>
      </c>
      <c r="O150" s="181">
        <v>943894.88639999996</v>
      </c>
      <c r="P150" s="181">
        <v>178.816</v>
      </c>
      <c r="Q150" s="181">
        <v>6368340.8116799993</v>
      </c>
      <c r="R150" s="181">
        <v>132079.73584000001</v>
      </c>
      <c r="S150" s="181">
        <v>83901.76767999999</v>
      </c>
      <c r="T150" s="181">
        <v>30.987999999999996</v>
      </c>
      <c r="U150" s="181">
        <v>210613.10135359998</v>
      </c>
      <c r="V150" s="181">
        <v>306130887855.70941</v>
      </c>
    </row>
    <row r="151" spans="1:22">
      <c r="A151" s="2" t="s">
        <v>317</v>
      </c>
      <c r="B151" s="2" t="s">
        <v>318</v>
      </c>
      <c r="C151" s="181">
        <v>148.816</v>
      </c>
      <c r="D151" s="181">
        <v>19161.252</v>
      </c>
      <c r="E151" s="181">
        <v>431.79999999999995</v>
      </c>
      <c r="F151" s="181">
        <v>264.15999999999997</v>
      </c>
      <c r="G151" s="181">
        <v>14.858999999999998</v>
      </c>
      <c r="H151" s="181">
        <v>25.018999999999998</v>
      </c>
      <c r="I151" s="181">
        <v>0</v>
      </c>
      <c r="J151" s="181">
        <v>22.606000000000002</v>
      </c>
      <c r="K151" s="181">
        <v>5.29</v>
      </c>
      <c r="L151" s="181">
        <v>23.2</v>
      </c>
      <c r="M151" s="181">
        <v>624347138.39999998</v>
      </c>
      <c r="N151" s="181">
        <v>3277412.8</v>
      </c>
      <c r="O151" s="181">
        <v>2900510.3279999997</v>
      </c>
      <c r="P151" s="181">
        <v>180.33999999999997</v>
      </c>
      <c r="Q151" s="181">
        <v>77419045.161599994</v>
      </c>
      <c r="R151" s="181">
        <v>901288.5199999999</v>
      </c>
      <c r="S151" s="181">
        <v>585018.18480000005</v>
      </c>
      <c r="T151" s="181">
        <v>63.5</v>
      </c>
      <c r="U151" s="181">
        <v>3417260.0041760001</v>
      </c>
      <c r="V151" s="181">
        <v>3195576811827.1421</v>
      </c>
    </row>
    <row r="152" spans="1:22">
      <c r="A152" s="2" t="s">
        <v>319</v>
      </c>
      <c r="B152" s="2" t="s">
        <v>320</v>
      </c>
      <c r="C152" s="181">
        <v>132.44623999999999</v>
      </c>
      <c r="D152" s="181">
        <v>17032.223999999998</v>
      </c>
      <c r="E152" s="181">
        <v>426.71999999999997</v>
      </c>
      <c r="F152" s="181">
        <v>264.15999999999997</v>
      </c>
      <c r="G152" s="181">
        <v>13.334999999999999</v>
      </c>
      <c r="H152" s="181">
        <v>22.224999999999998</v>
      </c>
      <c r="I152" s="181">
        <v>0</v>
      </c>
      <c r="J152" s="181">
        <v>22.224999999999998</v>
      </c>
      <c r="K152" s="181">
        <v>5.92</v>
      </c>
      <c r="L152" s="181">
        <v>25.9</v>
      </c>
      <c r="M152" s="181">
        <v>545263167.53599989</v>
      </c>
      <c r="N152" s="181">
        <v>2900510.3279999997</v>
      </c>
      <c r="O152" s="181">
        <v>2572769.048</v>
      </c>
      <c r="P152" s="181">
        <v>179.07</v>
      </c>
      <c r="Q152" s="181">
        <v>67845722.372799993</v>
      </c>
      <c r="R152" s="181">
        <v>789856.48479999998</v>
      </c>
      <c r="S152" s="181">
        <v>514553.80959999992</v>
      </c>
      <c r="T152" s="181">
        <v>62.991999999999997</v>
      </c>
      <c r="U152" s="181">
        <v>2426629.2112479997</v>
      </c>
      <c r="V152" s="181">
        <v>2765919425362.9888</v>
      </c>
    </row>
    <row r="153" spans="1:22">
      <c r="A153" s="2" t="s">
        <v>321</v>
      </c>
      <c r="B153" s="2" t="s">
        <v>322</v>
      </c>
      <c r="C153" s="181">
        <v>114.58832</v>
      </c>
      <c r="D153" s="181">
        <v>14774.163999999999</v>
      </c>
      <c r="E153" s="181">
        <v>419.09999999999997</v>
      </c>
      <c r="F153" s="181">
        <v>261.62</v>
      </c>
      <c r="G153" s="181">
        <v>11.557</v>
      </c>
      <c r="H153" s="181">
        <v>19.303999999999998</v>
      </c>
      <c r="I153" s="181">
        <v>0</v>
      </c>
      <c r="J153" s="181">
        <v>21.971</v>
      </c>
      <c r="K153" s="181">
        <v>6.77</v>
      </c>
      <c r="L153" s="181">
        <v>29.9</v>
      </c>
      <c r="M153" s="181">
        <v>466179196.67199993</v>
      </c>
      <c r="N153" s="181">
        <v>2490833.7279999997</v>
      </c>
      <c r="O153" s="181">
        <v>2228640.7039999999</v>
      </c>
      <c r="P153" s="181">
        <v>177.79999999999998</v>
      </c>
      <c r="Q153" s="181">
        <v>57439936.732799992</v>
      </c>
      <c r="R153" s="181">
        <v>675147.0368</v>
      </c>
      <c r="S153" s="181">
        <v>440812.02159999992</v>
      </c>
      <c r="T153" s="181">
        <v>62.483999999999995</v>
      </c>
      <c r="U153" s="181">
        <v>1606653.3028159998</v>
      </c>
      <c r="V153" s="181">
        <v>2301352376248.6226</v>
      </c>
    </row>
    <row r="154" spans="1:22">
      <c r="A154" s="2" t="s">
        <v>323</v>
      </c>
      <c r="B154" s="2" t="s">
        <v>324</v>
      </c>
      <c r="C154" s="181">
        <v>99.70671999999999</v>
      </c>
      <c r="D154" s="181">
        <v>12903.199999999999</v>
      </c>
      <c r="E154" s="181">
        <v>414.02</v>
      </c>
      <c r="F154" s="181">
        <v>259.08</v>
      </c>
      <c r="G154" s="181">
        <v>10.032999999999999</v>
      </c>
      <c r="H154" s="181">
        <v>16.890999999999998</v>
      </c>
      <c r="I154" s="181">
        <v>0</v>
      </c>
      <c r="J154" s="181">
        <v>22.796500000000002</v>
      </c>
      <c r="K154" s="181">
        <v>7.7</v>
      </c>
      <c r="L154" s="181">
        <v>34.4</v>
      </c>
      <c r="M154" s="181">
        <v>403744482.83199996</v>
      </c>
      <c r="N154" s="181">
        <v>2163092.4479999999</v>
      </c>
      <c r="O154" s="181">
        <v>1950060.6159999999</v>
      </c>
      <c r="P154" s="181">
        <v>177.03799999999998</v>
      </c>
      <c r="Q154" s="181">
        <v>49531539.646399997</v>
      </c>
      <c r="R154" s="181">
        <v>583379.47840000002</v>
      </c>
      <c r="S154" s="181">
        <v>380179.88479999994</v>
      </c>
      <c r="T154" s="181">
        <v>61.975999999999992</v>
      </c>
      <c r="U154" s="181">
        <v>1090526.335072</v>
      </c>
      <c r="V154" s="181">
        <v>1960311825742.7007</v>
      </c>
    </row>
    <row r="155" spans="1:22">
      <c r="A155" s="2" t="s">
        <v>325</v>
      </c>
      <c r="B155" s="2" t="s">
        <v>326</v>
      </c>
      <c r="C155" s="181">
        <v>84.825119999999998</v>
      </c>
      <c r="D155" s="181">
        <v>10838.688</v>
      </c>
      <c r="E155" s="181">
        <v>416.55999999999995</v>
      </c>
      <c r="F155" s="181">
        <v>180.84799999999998</v>
      </c>
      <c r="G155" s="181">
        <v>10.921999999999999</v>
      </c>
      <c r="H155" s="181">
        <v>18.160999999999998</v>
      </c>
      <c r="I155" s="181">
        <v>0</v>
      </c>
      <c r="J155" s="181">
        <v>16.763999999999999</v>
      </c>
      <c r="K155" s="181">
        <v>4.9800000000000004</v>
      </c>
      <c r="L155" s="181">
        <v>33</v>
      </c>
      <c r="M155" s="181">
        <v>315503420.60479999</v>
      </c>
      <c r="N155" s="181">
        <v>1720641.7199999997</v>
      </c>
      <c r="O155" s="181">
        <v>1510887.3007999999</v>
      </c>
      <c r="P155" s="181">
        <v>170.68799999999999</v>
      </c>
      <c r="Q155" s="181">
        <v>17939574.443359997</v>
      </c>
      <c r="R155" s="181">
        <v>309715.50959999993</v>
      </c>
      <c r="S155" s="181">
        <v>198283.47439999998</v>
      </c>
      <c r="T155" s="181">
        <v>40.64</v>
      </c>
      <c r="U155" s="181">
        <v>924033.76483200002</v>
      </c>
      <c r="V155" s="181">
        <v>714305404996.65527</v>
      </c>
    </row>
    <row r="156" spans="1:22">
      <c r="A156" s="2" t="s">
        <v>327</v>
      </c>
      <c r="B156" s="2" t="s">
        <v>328</v>
      </c>
      <c r="C156" s="181">
        <v>74.408000000000001</v>
      </c>
      <c r="D156" s="181">
        <v>9483.851999999999</v>
      </c>
      <c r="E156" s="181">
        <v>414.02</v>
      </c>
      <c r="F156" s="181">
        <v>179.578</v>
      </c>
      <c r="G156" s="181">
        <v>9.6519999999999992</v>
      </c>
      <c r="H156" s="181">
        <v>16.001999999999999</v>
      </c>
      <c r="I156" s="181">
        <v>0</v>
      </c>
      <c r="J156" s="181">
        <v>17.3355</v>
      </c>
      <c r="K156" s="181">
        <v>5.61</v>
      </c>
      <c r="L156" s="181">
        <v>37.4</v>
      </c>
      <c r="M156" s="181">
        <v>274296509.47039998</v>
      </c>
      <c r="N156" s="181">
        <v>1507609.8879999998</v>
      </c>
      <c r="O156" s="181">
        <v>1327352.1839999999</v>
      </c>
      <c r="P156" s="181">
        <v>169.672</v>
      </c>
      <c r="Q156" s="181">
        <v>15483809.03232</v>
      </c>
      <c r="R156" s="181">
        <v>267109.14319999999</v>
      </c>
      <c r="S156" s="181">
        <v>172064.17199999999</v>
      </c>
      <c r="T156" s="181">
        <v>40.386000000000003</v>
      </c>
      <c r="U156" s="181">
        <v>632671.7669119999</v>
      </c>
      <c r="V156" s="181">
        <v>609576417046.01794</v>
      </c>
    </row>
    <row r="157" spans="1:22">
      <c r="A157" s="2" t="s">
        <v>329</v>
      </c>
      <c r="B157" s="2" t="s">
        <v>330</v>
      </c>
      <c r="C157" s="181">
        <v>66.967199999999991</v>
      </c>
      <c r="D157" s="181">
        <v>8580.6280000000006</v>
      </c>
      <c r="E157" s="181">
        <v>408.94</v>
      </c>
      <c r="F157" s="181">
        <v>178.816</v>
      </c>
      <c r="G157" s="181">
        <v>8.7629999999999981</v>
      </c>
      <c r="H157" s="181">
        <v>14.350999999999997</v>
      </c>
      <c r="I157" s="181">
        <v>0</v>
      </c>
      <c r="J157" s="181">
        <v>17.399000000000001</v>
      </c>
      <c r="K157" s="181">
        <v>6.23</v>
      </c>
      <c r="L157" s="181">
        <v>41.1</v>
      </c>
      <c r="M157" s="181">
        <v>243911615.40159997</v>
      </c>
      <c r="N157" s="181">
        <v>1348655.3671999997</v>
      </c>
      <c r="O157" s="181">
        <v>1191339.5527999999</v>
      </c>
      <c r="P157" s="181">
        <v>168.91</v>
      </c>
      <c r="Q157" s="181">
        <v>13652390.759679997</v>
      </c>
      <c r="R157" s="181">
        <v>237612.42799999999</v>
      </c>
      <c r="S157" s="181">
        <v>153055.17775999999</v>
      </c>
      <c r="T157" s="181">
        <v>39.878</v>
      </c>
      <c r="U157" s="181">
        <v>462016.88241600001</v>
      </c>
      <c r="V157" s="181">
        <v>534386374414.79102</v>
      </c>
    </row>
    <row r="158" spans="1:22">
      <c r="A158" s="2" t="s">
        <v>331</v>
      </c>
      <c r="B158" s="2" t="s">
        <v>332</v>
      </c>
      <c r="C158" s="181">
        <v>59.526399999999995</v>
      </c>
      <c r="D158" s="181">
        <v>7612.8879999999999</v>
      </c>
      <c r="E158" s="181">
        <v>406.4</v>
      </c>
      <c r="F158" s="181">
        <v>177.79999999999998</v>
      </c>
      <c r="G158" s="181">
        <v>7.746999999999999</v>
      </c>
      <c r="H158" s="181">
        <v>12.827</v>
      </c>
      <c r="I158" s="181">
        <v>0</v>
      </c>
      <c r="J158" s="181">
        <v>17.335499999999996</v>
      </c>
      <c r="K158" s="181">
        <v>6.93</v>
      </c>
      <c r="L158" s="181">
        <v>46.5</v>
      </c>
      <c r="M158" s="181">
        <v>215607878.46079999</v>
      </c>
      <c r="N158" s="181">
        <v>1196255.6719999998</v>
      </c>
      <c r="O158" s="181">
        <v>1060243.0407999998</v>
      </c>
      <c r="P158" s="181">
        <v>168.40199999999999</v>
      </c>
      <c r="Q158" s="181">
        <v>12029088.199839998</v>
      </c>
      <c r="R158" s="181">
        <v>208115.71279999998</v>
      </c>
      <c r="S158" s="181">
        <v>135193.27799999999</v>
      </c>
      <c r="T158" s="181">
        <v>39.878</v>
      </c>
      <c r="U158" s="181">
        <v>330487.7519264</v>
      </c>
      <c r="V158" s="181">
        <v>467252407779.76703</v>
      </c>
    </row>
    <row r="159" spans="1:22">
      <c r="A159" s="2" t="s">
        <v>333</v>
      </c>
      <c r="B159" s="2" t="s">
        <v>334</v>
      </c>
      <c r="C159" s="181">
        <v>53.57376</v>
      </c>
      <c r="D159" s="181">
        <v>6838.695999999999</v>
      </c>
      <c r="E159" s="181">
        <v>403.86</v>
      </c>
      <c r="F159" s="181">
        <v>177.54599999999999</v>
      </c>
      <c r="G159" s="181">
        <v>7.4929999999999994</v>
      </c>
      <c r="H159" s="181">
        <v>10.921999999999999</v>
      </c>
      <c r="I159" s="181">
        <v>0</v>
      </c>
      <c r="J159" s="181">
        <v>17.652999999999999</v>
      </c>
      <c r="K159" s="181">
        <v>8.1199999999999992</v>
      </c>
      <c r="L159" s="181">
        <v>48.1</v>
      </c>
      <c r="M159" s="181">
        <v>186471678.6688</v>
      </c>
      <c r="N159" s="181">
        <v>1048772.0959999999</v>
      </c>
      <c r="O159" s="181">
        <v>925869.11599999992</v>
      </c>
      <c r="P159" s="181">
        <v>165.35399999999998</v>
      </c>
      <c r="Q159" s="181">
        <v>10197669.927199999</v>
      </c>
      <c r="R159" s="181">
        <v>176980.29120000001</v>
      </c>
      <c r="S159" s="181">
        <v>114709.44799999999</v>
      </c>
      <c r="T159" s="181">
        <v>38.607999999999997</v>
      </c>
      <c r="U159" s="181">
        <v>226846.12695199999</v>
      </c>
      <c r="V159" s="181">
        <v>392062365148.54016</v>
      </c>
    </row>
    <row r="160" spans="1:22">
      <c r="A160" s="2" t="s">
        <v>335</v>
      </c>
      <c r="B160" s="2" t="s">
        <v>336</v>
      </c>
      <c r="C160" s="181">
        <v>46.132959999999997</v>
      </c>
      <c r="D160" s="181">
        <v>5890.3108000000002</v>
      </c>
      <c r="E160" s="181">
        <v>403.86</v>
      </c>
      <c r="F160" s="181">
        <v>140.46199999999999</v>
      </c>
      <c r="G160" s="181">
        <v>6.9850000000000003</v>
      </c>
      <c r="H160" s="181">
        <v>11.176</v>
      </c>
      <c r="I160" s="181">
        <v>0</v>
      </c>
      <c r="J160" s="181">
        <v>17.399000000000001</v>
      </c>
      <c r="K160" s="181">
        <v>6.28</v>
      </c>
      <c r="L160" s="181">
        <v>51.6</v>
      </c>
      <c r="M160" s="181">
        <v>156086784.59999999</v>
      </c>
      <c r="N160" s="181">
        <v>884901.45599999989</v>
      </c>
      <c r="O160" s="181">
        <v>773469.42079999996</v>
      </c>
      <c r="P160" s="181">
        <v>162.81399999999999</v>
      </c>
      <c r="Q160" s="181">
        <v>5161269.6774399998</v>
      </c>
      <c r="R160" s="181">
        <v>115201.05992</v>
      </c>
      <c r="S160" s="181">
        <v>73577.917359999992</v>
      </c>
      <c r="T160" s="181">
        <v>29.717999999999996</v>
      </c>
      <c r="U160" s="181">
        <v>191882.6872016</v>
      </c>
      <c r="V160" s="181">
        <v>198448005373.13092</v>
      </c>
    </row>
    <row r="161" spans="1:22">
      <c r="A161" s="2" t="s">
        <v>337</v>
      </c>
      <c r="B161" s="2" t="s">
        <v>338</v>
      </c>
      <c r="C161" s="181">
        <v>38.692160000000001</v>
      </c>
      <c r="D161" s="181">
        <v>4954.8287999999993</v>
      </c>
      <c r="E161" s="181">
        <v>398.78</v>
      </c>
      <c r="F161" s="181">
        <v>139.69999999999999</v>
      </c>
      <c r="G161" s="181">
        <v>6.35</v>
      </c>
      <c r="H161" s="181">
        <v>8.7629999999999981</v>
      </c>
      <c r="I161" s="181">
        <v>0</v>
      </c>
      <c r="J161" s="181">
        <v>18.224499999999999</v>
      </c>
      <c r="K161" s="181">
        <v>7.97</v>
      </c>
      <c r="L161" s="181">
        <v>56.8</v>
      </c>
      <c r="M161" s="181">
        <v>125285659.10559998</v>
      </c>
      <c r="N161" s="181">
        <v>724308.22879999992</v>
      </c>
      <c r="O161" s="181">
        <v>629263.2575999999</v>
      </c>
      <c r="P161" s="181">
        <v>159.00399999999999</v>
      </c>
      <c r="Q161" s="181">
        <v>3991659.3715039995</v>
      </c>
      <c r="R161" s="181">
        <v>89801.110719999997</v>
      </c>
      <c r="S161" s="181">
        <v>57190.853360000001</v>
      </c>
      <c r="T161" s="181">
        <v>28.448</v>
      </c>
      <c r="U161" s="181">
        <v>109052.63350719999</v>
      </c>
      <c r="V161" s="181">
        <v>151722764595.15424</v>
      </c>
    </row>
    <row r="162" spans="1:22">
      <c r="A162" s="2" t="s">
        <v>339</v>
      </c>
      <c r="B162" s="2" t="s">
        <v>340</v>
      </c>
      <c r="C162" s="181">
        <v>1202.43328</v>
      </c>
      <c r="D162" s="181">
        <v>152902.91999999998</v>
      </c>
      <c r="E162" s="181">
        <v>579.12</v>
      </c>
      <c r="F162" s="181">
        <v>472.44</v>
      </c>
      <c r="G162" s="181">
        <v>94.995999999999995</v>
      </c>
      <c r="H162" s="181">
        <v>130.048</v>
      </c>
      <c r="I162" s="181">
        <v>0</v>
      </c>
      <c r="J162" s="181">
        <v>33.464499999999987</v>
      </c>
      <c r="K162" s="181">
        <v>1.81</v>
      </c>
      <c r="L162" s="181">
        <v>3.05</v>
      </c>
      <c r="M162" s="181">
        <v>6659702809.5999994</v>
      </c>
      <c r="N162" s="181">
        <v>29988327.119999997</v>
      </c>
      <c r="O162" s="181">
        <v>22941889.599999998</v>
      </c>
      <c r="P162" s="181">
        <v>208.27999999999997</v>
      </c>
      <c r="Q162" s="181">
        <v>2293435155.0559998</v>
      </c>
      <c r="R162" s="181">
        <v>15190808.327999998</v>
      </c>
      <c r="S162" s="181">
        <v>9733916.0159999989</v>
      </c>
      <c r="T162" s="181">
        <v>122.428</v>
      </c>
      <c r="U162" s="181">
        <v>765865823.10399997</v>
      </c>
      <c r="V162" s="181">
        <v>116276030211861.56</v>
      </c>
    </row>
    <row r="163" spans="1:22">
      <c r="A163" s="2" t="s">
        <v>341</v>
      </c>
      <c r="B163" s="2" t="s">
        <v>342</v>
      </c>
      <c r="C163" s="181">
        <v>1086.3568</v>
      </c>
      <c r="D163" s="181">
        <v>138709.4</v>
      </c>
      <c r="E163" s="181">
        <v>568.95999999999992</v>
      </c>
      <c r="F163" s="181">
        <v>454.65999999999991</v>
      </c>
      <c r="G163" s="181">
        <v>77.977999999999994</v>
      </c>
      <c r="H163" s="181">
        <v>124.714</v>
      </c>
      <c r="I163" s="181">
        <v>0</v>
      </c>
      <c r="J163" s="181">
        <v>32.448499999999996</v>
      </c>
      <c r="K163" s="181">
        <v>1.82</v>
      </c>
      <c r="L163" s="181">
        <v>3.71</v>
      </c>
      <c r="M163" s="181">
        <v>5952109386.079999</v>
      </c>
      <c r="N163" s="181">
        <v>27202526.239999998</v>
      </c>
      <c r="O163" s="181">
        <v>20975441.919999998</v>
      </c>
      <c r="P163" s="181">
        <v>207.518</v>
      </c>
      <c r="Q163" s="181">
        <v>1964612328.8319998</v>
      </c>
      <c r="R163" s="181">
        <v>13371844.223999999</v>
      </c>
      <c r="S163" s="181">
        <v>8635982.7280000001</v>
      </c>
      <c r="T163" s="181">
        <v>119.126</v>
      </c>
      <c r="U163" s="181">
        <v>603535567.11999989</v>
      </c>
      <c r="V163" s="181">
        <v>97209983687514.75</v>
      </c>
    </row>
    <row r="164" spans="1:22">
      <c r="A164" s="2" t="s">
        <v>343</v>
      </c>
      <c r="B164" s="2" t="s">
        <v>344</v>
      </c>
      <c r="C164" s="181">
        <v>989.62639999999999</v>
      </c>
      <c r="D164" s="181">
        <v>126451.36</v>
      </c>
      <c r="E164" s="181">
        <v>548.64</v>
      </c>
      <c r="F164" s="181">
        <v>449.58</v>
      </c>
      <c r="G164" s="181">
        <v>71.881999999999991</v>
      </c>
      <c r="H164" s="181">
        <v>114.80799999999998</v>
      </c>
      <c r="I164" s="181">
        <v>0</v>
      </c>
      <c r="J164" s="181">
        <v>32.82950000000001</v>
      </c>
      <c r="K164" s="181">
        <v>1.95</v>
      </c>
      <c r="L164" s="181">
        <v>4.03</v>
      </c>
      <c r="M164" s="181">
        <v>5161269677.4399996</v>
      </c>
      <c r="N164" s="181">
        <v>24252854.719999999</v>
      </c>
      <c r="O164" s="181">
        <v>18845123.599999998</v>
      </c>
      <c r="P164" s="181">
        <v>202.69200000000001</v>
      </c>
      <c r="Q164" s="181">
        <v>1735685044.7519999</v>
      </c>
      <c r="R164" s="181">
        <v>11962556.719999999</v>
      </c>
      <c r="S164" s="181">
        <v>7734694.2079999996</v>
      </c>
      <c r="T164" s="181">
        <v>117.348</v>
      </c>
      <c r="U164" s="181">
        <v>466179196.67199993</v>
      </c>
      <c r="V164" s="181">
        <v>82171975161269.375</v>
      </c>
    </row>
    <row r="165" spans="1:22">
      <c r="A165" s="2" t="s">
        <v>345</v>
      </c>
      <c r="B165" s="2" t="s">
        <v>346</v>
      </c>
      <c r="C165" s="181">
        <v>900.33679999999993</v>
      </c>
      <c r="D165" s="181">
        <v>114838.48</v>
      </c>
      <c r="E165" s="181">
        <v>530.8599999999999</v>
      </c>
      <c r="F165" s="181">
        <v>441.95999999999992</v>
      </c>
      <c r="G165" s="181">
        <v>66.039999999999992</v>
      </c>
      <c r="H165" s="181">
        <v>105.664</v>
      </c>
      <c r="I165" s="181">
        <v>0</v>
      </c>
      <c r="J165" s="181">
        <v>32.448499999999981</v>
      </c>
      <c r="K165" s="181">
        <v>2.09</v>
      </c>
      <c r="L165" s="181">
        <v>4.3899999999999997</v>
      </c>
      <c r="M165" s="181">
        <v>4495299396.4799995</v>
      </c>
      <c r="N165" s="181">
        <v>21630924.479999997</v>
      </c>
      <c r="O165" s="181">
        <v>17042546.559999999</v>
      </c>
      <c r="P165" s="181">
        <v>198.11999999999998</v>
      </c>
      <c r="Q165" s="181">
        <v>1531731646.2079999</v>
      </c>
      <c r="R165" s="181">
        <v>10684365.727999998</v>
      </c>
      <c r="S165" s="181">
        <v>6931728.0719999997</v>
      </c>
      <c r="T165" s="181">
        <v>115.57</v>
      </c>
      <c r="U165" s="181">
        <v>361705108.84639996</v>
      </c>
      <c r="V165" s="181">
        <v>69282253567344.766</v>
      </c>
    </row>
    <row r="166" spans="1:22">
      <c r="A166" s="2" t="s">
        <v>347</v>
      </c>
      <c r="B166" s="2" t="s">
        <v>348</v>
      </c>
      <c r="C166" s="181">
        <v>818.48799999999994</v>
      </c>
      <c r="D166" s="181">
        <v>104515.92</v>
      </c>
      <c r="E166" s="181">
        <v>513.07999999999993</v>
      </c>
      <c r="F166" s="181">
        <v>436.87999999999994</v>
      </c>
      <c r="G166" s="181">
        <v>60.451999999999991</v>
      </c>
      <c r="H166" s="181">
        <v>97.027999999999992</v>
      </c>
      <c r="I166" s="181">
        <v>0</v>
      </c>
      <c r="J166" s="181">
        <v>33.146999999999991</v>
      </c>
      <c r="K166" s="181">
        <v>2.25</v>
      </c>
      <c r="L166" s="181">
        <v>4.79</v>
      </c>
      <c r="M166" s="181">
        <v>3925062343.4079995</v>
      </c>
      <c r="N166" s="181">
        <v>19336735.52</v>
      </c>
      <c r="O166" s="181">
        <v>15256356.583999999</v>
      </c>
      <c r="P166" s="181">
        <v>193.80199999999999</v>
      </c>
      <c r="Q166" s="181">
        <v>1352752133.1999998</v>
      </c>
      <c r="R166" s="181">
        <v>9553658.311999999</v>
      </c>
      <c r="S166" s="181">
        <v>6194310.1919999998</v>
      </c>
      <c r="T166" s="181">
        <v>114.04599999999999</v>
      </c>
      <c r="U166" s="181">
        <v>278458823.72639996</v>
      </c>
      <c r="V166" s="181">
        <v>58809354772281.023</v>
      </c>
    </row>
    <row r="167" spans="1:22">
      <c r="A167" s="2" t="s">
        <v>349</v>
      </c>
      <c r="B167" s="2" t="s">
        <v>350</v>
      </c>
      <c r="C167" s="181">
        <v>744.07999999999993</v>
      </c>
      <c r="D167" s="181">
        <v>94838.51999999999</v>
      </c>
      <c r="E167" s="181">
        <v>497.84000000000003</v>
      </c>
      <c r="F167" s="181">
        <v>431.79999999999995</v>
      </c>
      <c r="G167" s="181">
        <v>55.625999999999998</v>
      </c>
      <c r="H167" s="181">
        <v>88.899999999999991</v>
      </c>
      <c r="I167" s="181">
        <v>0</v>
      </c>
      <c r="J167" s="181">
        <v>33.337500000000006</v>
      </c>
      <c r="K167" s="181">
        <v>2.4300000000000002</v>
      </c>
      <c r="L167" s="181">
        <v>5.21</v>
      </c>
      <c r="M167" s="181">
        <v>3417260004.1759996</v>
      </c>
      <c r="N167" s="181">
        <v>17206417.199999999</v>
      </c>
      <c r="O167" s="181">
        <v>13732359.631999999</v>
      </c>
      <c r="P167" s="181">
        <v>189.99199999999999</v>
      </c>
      <c r="Q167" s="181">
        <v>1198746505.7279999</v>
      </c>
      <c r="R167" s="181">
        <v>8554047.4079999998</v>
      </c>
      <c r="S167" s="181">
        <v>5555214.6959999995</v>
      </c>
      <c r="T167" s="181">
        <v>112.52199999999999</v>
      </c>
      <c r="U167" s="181">
        <v>213942952.75839999</v>
      </c>
      <c r="V167" s="181">
        <v>50216207042997.945</v>
      </c>
    </row>
    <row r="168" spans="1:22">
      <c r="A168" s="2" t="s">
        <v>351</v>
      </c>
      <c r="B168" s="2" t="s">
        <v>352</v>
      </c>
      <c r="C168" s="181">
        <v>677.11279999999999</v>
      </c>
      <c r="D168" s="181">
        <v>86451.44</v>
      </c>
      <c r="E168" s="181">
        <v>482.59999999999997</v>
      </c>
      <c r="F168" s="181">
        <v>426.71999999999997</v>
      </c>
      <c r="G168" s="181">
        <v>51.308</v>
      </c>
      <c r="H168" s="181">
        <v>81.533999999999992</v>
      </c>
      <c r="I168" s="181">
        <v>0</v>
      </c>
      <c r="J168" s="181">
        <v>32.766000000000005</v>
      </c>
      <c r="K168" s="181">
        <v>2.62</v>
      </c>
      <c r="L168" s="181">
        <v>5.66</v>
      </c>
      <c r="M168" s="181">
        <v>2992703950.0639997</v>
      </c>
      <c r="N168" s="181">
        <v>15338291.903999999</v>
      </c>
      <c r="O168" s="181">
        <v>12388620.384</v>
      </c>
      <c r="P168" s="181">
        <v>186.18199999999999</v>
      </c>
      <c r="Q168" s="181">
        <v>1065552449.5359999</v>
      </c>
      <c r="R168" s="181">
        <v>7669145.9519999996</v>
      </c>
      <c r="S168" s="181">
        <v>4981667.4559999993</v>
      </c>
      <c r="T168" s="181">
        <v>111.252</v>
      </c>
      <c r="U168" s="181">
        <v>164411413.11199999</v>
      </c>
      <c r="V168" s="181">
        <v>42965738646415.359</v>
      </c>
    </row>
    <row r="169" spans="1:22">
      <c r="A169" s="2" t="s">
        <v>353</v>
      </c>
      <c r="B169" s="2" t="s">
        <v>354</v>
      </c>
      <c r="C169" s="181">
        <v>633.95615999999995</v>
      </c>
      <c r="D169" s="181">
        <v>80645</v>
      </c>
      <c r="E169" s="181">
        <v>474.97999999999996</v>
      </c>
      <c r="F169" s="181">
        <v>424.17999999999995</v>
      </c>
      <c r="G169" s="181">
        <v>47.751999999999995</v>
      </c>
      <c r="H169" s="181">
        <v>77.215999999999994</v>
      </c>
      <c r="I169" s="181">
        <v>0</v>
      </c>
      <c r="J169" s="181">
        <v>32.3215</v>
      </c>
      <c r="K169" s="181">
        <v>2.75</v>
      </c>
      <c r="L169" s="181">
        <v>6.08</v>
      </c>
      <c r="M169" s="181">
        <v>2747127408.9599996</v>
      </c>
      <c r="N169" s="181">
        <v>14240358.615999999</v>
      </c>
      <c r="O169" s="181">
        <v>11569267.183999998</v>
      </c>
      <c r="P169" s="181">
        <v>184.404</v>
      </c>
      <c r="Q169" s="181">
        <v>982306164.41599989</v>
      </c>
      <c r="R169" s="181">
        <v>7111985.7759999996</v>
      </c>
      <c r="S169" s="181">
        <v>4637539.1119999997</v>
      </c>
      <c r="T169" s="181">
        <v>110.23599999999999</v>
      </c>
      <c r="U169" s="181">
        <v>137772601.87359998</v>
      </c>
      <c r="V169" s="181">
        <v>38669164781773.82</v>
      </c>
    </row>
    <row r="170" spans="1:22">
      <c r="A170" s="2" t="s">
        <v>355</v>
      </c>
      <c r="B170" s="2" t="s">
        <v>356</v>
      </c>
      <c r="C170" s="181">
        <v>592.28768000000002</v>
      </c>
      <c r="D170" s="181">
        <v>75483.72</v>
      </c>
      <c r="E170" s="181">
        <v>464.82</v>
      </c>
      <c r="F170" s="181">
        <v>421.64</v>
      </c>
      <c r="G170" s="181">
        <v>44.957999999999998</v>
      </c>
      <c r="H170" s="181">
        <v>72.39</v>
      </c>
      <c r="I170" s="181">
        <v>0</v>
      </c>
      <c r="J170" s="181">
        <v>32.384999999999991</v>
      </c>
      <c r="K170" s="181">
        <v>2.92</v>
      </c>
      <c r="L170" s="181">
        <v>6.44</v>
      </c>
      <c r="M170" s="181">
        <v>2497388553.5999999</v>
      </c>
      <c r="N170" s="181">
        <v>13126038.263999999</v>
      </c>
      <c r="O170" s="181">
        <v>10749913.983999999</v>
      </c>
      <c r="P170" s="181">
        <v>181.864</v>
      </c>
      <c r="Q170" s="181">
        <v>903222193.55199993</v>
      </c>
      <c r="R170" s="181">
        <v>6587599.7279999992</v>
      </c>
      <c r="S170" s="181">
        <v>4293410.7679999992</v>
      </c>
      <c r="T170" s="181">
        <v>109.47399999999999</v>
      </c>
      <c r="U170" s="181">
        <v>113631179.18879999</v>
      </c>
      <c r="V170" s="181">
        <v>34641126783672.383</v>
      </c>
    </row>
    <row r="171" spans="1:22">
      <c r="A171" s="2" t="s">
        <v>357</v>
      </c>
      <c r="B171" s="2" t="s">
        <v>358</v>
      </c>
      <c r="C171" s="181">
        <v>550.61919999999998</v>
      </c>
      <c r="D171" s="181">
        <v>70322.44</v>
      </c>
      <c r="E171" s="181">
        <v>454.65999999999991</v>
      </c>
      <c r="F171" s="181">
        <v>419.09999999999997</v>
      </c>
      <c r="G171" s="181">
        <v>42.163999999999994</v>
      </c>
      <c r="H171" s="181">
        <v>67.563999999999993</v>
      </c>
      <c r="I171" s="181">
        <v>0</v>
      </c>
      <c r="J171" s="181">
        <v>32.448499999999996</v>
      </c>
      <c r="K171" s="181">
        <v>3.1</v>
      </c>
      <c r="L171" s="181">
        <v>6.89</v>
      </c>
      <c r="M171" s="181">
        <v>2264298955.2639999</v>
      </c>
      <c r="N171" s="181">
        <v>12060879.103999998</v>
      </c>
      <c r="O171" s="181">
        <v>9946947.8479999993</v>
      </c>
      <c r="P171" s="181">
        <v>179.578</v>
      </c>
      <c r="Q171" s="181">
        <v>828300536.94399989</v>
      </c>
      <c r="R171" s="181">
        <v>6063213.6799999997</v>
      </c>
      <c r="S171" s="181">
        <v>3949282.4239999996</v>
      </c>
      <c r="T171" s="181">
        <v>108.45799999999998</v>
      </c>
      <c r="U171" s="181">
        <v>92403376.483199984</v>
      </c>
      <c r="V171" s="181">
        <v>31150160518651.133</v>
      </c>
    </row>
    <row r="172" spans="1:22">
      <c r="A172" s="2" t="s">
        <v>359</v>
      </c>
      <c r="B172" s="2" t="s">
        <v>360</v>
      </c>
      <c r="C172" s="181">
        <v>508.95071999999999</v>
      </c>
      <c r="D172" s="181">
        <v>65161.159999999996</v>
      </c>
      <c r="E172" s="181">
        <v>444.5</v>
      </c>
      <c r="F172" s="181">
        <v>416.55999999999995</v>
      </c>
      <c r="G172" s="181">
        <v>39.116</v>
      </c>
      <c r="H172" s="181">
        <v>62.738</v>
      </c>
      <c r="I172" s="181">
        <v>0</v>
      </c>
      <c r="J172" s="181">
        <v>32.512</v>
      </c>
      <c r="K172" s="181">
        <v>3.31</v>
      </c>
      <c r="L172" s="181">
        <v>7.41</v>
      </c>
      <c r="M172" s="181">
        <v>2039533985.4399998</v>
      </c>
      <c r="N172" s="181">
        <v>11012107.007999999</v>
      </c>
      <c r="O172" s="181">
        <v>9143981.7119999994</v>
      </c>
      <c r="P172" s="181">
        <v>177.292</v>
      </c>
      <c r="Q172" s="181">
        <v>753378880.33599997</v>
      </c>
      <c r="R172" s="181">
        <v>5538827.6319999993</v>
      </c>
      <c r="S172" s="181">
        <v>3621541.1439999999</v>
      </c>
      <c r="T172" s="181">
        <v>107.696</v>
      </c>
      <c r="U172" s="181">
        <v>74089193.756799996</v>
      </c>
      <c r="V172" s="181">
        <v>27659194253629.887</v>
      </c>
    </row>
    <row r="173" spans="1:22">
      <c r="A173" s="2" t="s">
        <v>361</v>
      </c>
      <c r="B173" s="2" t="s">
        <v>362</v>
      </c>
      <c r="C173" s="181">
        <v>462.81775999999996</v>
      </c>
      <c r="D173" s="181">
        <v>58967.624000000003</v>
      </c>
      <c r="E173" s="181">
        <v>434.34000000000003</v>
      </c>
      <c r="F173" s="181">
        <v>411.47999999999996</v>
      </c>
      <c r="G173" s="181">
        <v>35.813999999999993</v>
      </c>
      <c r="H173" s="181">
        <v>57.403999999999989</v>
      </c>
      <c r="I173" s="181">
        <v>0</v>
      </c>
      <c r="J173" s="181">
        <v>33.083500000000008</v>
      </c>
      <c r="K173" s="181">
        <v>3.59</v>
      </c>
      <c r="L173" s="181">
        <v>8.09</v>
      </c>
      <c r="M173" s="181">
        <v>1802282072.8479998</v>
      </c>
      <c r="N173" s="181">
        <v>9881399.5919999983</v>
      </c>
      <c r="O173" s="181">
        <v>8291854.3839999996</v>
      </c>
      <c r="P173" s="181">
        <v>174.75199999999998</v>
      </c>
      <c r="Q173" s="181">
        <v>670132595.21599996</v>
      </c>
      <c r="R173" s="181">
        <v>4981667.4559999993</v>
      </c>
      <c r="S173" s="181">
        <v>3261025.7359999996</v>
      </c>
      <c r="T173" s="181">
        <v>106.67999999999999</v>
      </c>
      <c r="U173" s="181">
        <v>56607473.881599993</v>
      </c>
      <c r="V173" s="181">
        <v>23872838535414.531</v>
      </c>
    </row>
    <row r="174" spans="1:22">
      <c r="A174" s="2" t="s">
        <v>363</v>
      </c>
      <c r="B174" s="2" t="s">
        <v>364</v>
      </c>
      <c r="C174" s="181">
        <v>421.14927999999998</v>
      </c>
      <c r="D174" s="181">
        <v>53741.827999999994</v>
      </c>
      <c r="E174" s="181">
        <v>424.17999999999995</v>
      </c>
      <c r="F174" s="181">
        <v>408.94</v>
      </c>
      <c r="G174" s="181">
        <v>32.765999999999998</v>
      </c>
      <c r="H174" s="181">
        <v>52.577999999999996</v>
      </c>
      <c r="I174" s="181">
        <v>0</v>
      </c>
      <c r="J174" s="181">
        <v>33.146999999999998</v>
      </c>
      <c r="K174" s="181">
        <v>3.89</v>
      </c>
      <c r="L174" s="181">
        <v>8.84</v>
      </c>
      <c r="M174" s="181">
        <v>1598328674.3039999</v>
      </c>
      <c r="N174" s="181">
        <v>8881788.6879999992</v>
      </c>
      <c r="O174" s="181">
        <v>7521662.3759999992</v>
      </c>
      <c r="P174" s="181">
        <v>172.46599999999998</v>
      </c>
      <c r="Q174" s="181">
        <v>599373252.86399996</v>
      </c>
      <c r="R174" s="181">
        <v>4490055.5359999994</v>
      </c>
      <c r="S174" s="181">
        <v>2933284.4559999998</v>
      </c>
      <c r="T174" s="181">
        <v>105.91799999999999</v>
      </c>
      <c r="U174" s="181">
        <v>43288068.262399994</v>
      </c>
      <c r="V174" s="181">
        <v>20811529656857.438</v>
      </c>
    </row>
    <row r="175" spans="1:22">
      <c r="A175" s="2" t="s">
        <v>365</v>
      </c>
      <c r="B175" s="2" t="s">
        <v>366</v>
      </c>
      <c r="C175" s="181">
        <v>382.45711999999997</v>
      </c>
      <c r="D175" s="181">
        <v>48774.09599999999</v>
      </c>
      <c r="E175" s="181">
        <v>416.55999999999995</v>
      </c>
      <c r="F175" s="181">
        <v>406.4</v>
      </c>
      <c r="G175" s="181">
        <v>29.971999999999998</v>
      </c>
      <c r="H175" s="181">
        <v>48.005999999999993</v>
      </c>
      <c r="I175" s="181">
        <v>0</v>
      </c>
      <c r="J175" s="181">
        <v>32.956499999999998</v>
      </c>
      <c r="K175" s="181">
        <v>4.2300000000000004</v>
      </c>
      <c r="L175" s="181">
        <v>9.7100000000000009</v>
      </c>
      <c r="M175" s="181">
        <v>1415186847.04</v>
      </c>
      <c r="N175" s="181">
        <v>7980500.1679999996</v>
      </c>
      <c r="O175" s="181">
        <v>6800631.5599999996</v>
      </c>
      <c r="P175" s="181">
        <v>170.434</v>
      </c>
      <c r="Q175" s="181">
        <v>536938539.02399993</v>
      </c>
      <c r="R175" s="181">
        <v>4031217.7439999995</v>
      </c>
      <c r="S175" s="181">
        <v>2638317.3039999995</v>
      </c>
      <c r="T175" s="181">
        <v>104.90199999999999</v>
      </c>
      <c r="U175" s="181">
        <v>32923905.764959995</v>
      </c>
      <c r="V175" s="181">
        <v>18179878164764.5</v>
      </c>
    </row>
    <row r="176" spans="1:22">
      <c r="A176" s="2" t="s">
        <v>367</v>
      </c>
      <c r="B176" s="2" t="s">
        <v>368</v>
      </c>
      <c r="C176" s="181">
        <v>346.74127999999996</v>
      </c>
      <c r="D176" s="181">
        <v>44193.46</v>
      </c>
      <c r="E176" s="181">
        <v>406.4</v>
      </c>
      <c r="F176" s="181">
        <v>403.86</v>
      </c>
      <c r="G176" s="181">
        <v>27.178000000000001</v>
      </c>
      <c r="H176" s="181">
        <v>43.687999999999995</v>
      </c>
      <c r="I176" s="181">
        <v>0</v>
      </c>
      <c r="J176" s="181">
        <v>32.511999999999993</v>
      </c>
      <c r="K176" s="181">
        <v>4.62</v>
      </c>
      <c r="L176" s="181">
        <v>10.7</v>
      </c>
      <c r="M176" s="181">
        <v>1252856591.056</v>
      </c>
      <c r="N176" s="181">
        <v>7144759.9039999992</v>
      </c>
      <c r="O176" s="181">
        <v>6145148.9999999991</v>
      </c>
      <c r="P176" s="181">
        <v>168.40199999999999</v>
      </c>
      <c r="Q176" s="181">
        <v>478666139.43999994</v>
      </c>
      <c r="R176" s="181">
        <v>3621541.1439999999</v>
      </c>
      <c r="S176" s="181">
        <v>2376124.2799999998</v>
      </c>
      <c r="T176" s="181">
        <v>104.13999999999999</v>
      </c>
      <c r="U176" s="181">
        <v>24765769.823199999</v>
      </c>
      <c r="V176" s="181">
        <v>15843616125865.664</v>
      </c>
    </row>
    <row r="177" spans="1:22">
      <c r="A177" s="2" t="s">
        <v>369</v>
      </c>
      <c r="B177" s="2" t="s">
        <v>370</v>
      </c>
      <c r="C177" s="181">
        <v>314.00175999999999</v>
      </c>
      <c r="D177" s="181">
        <v>39999.919999999998</v>
      </c>
      <c r="E177" s="181">
        <v>398.78</v>
      </c>
      <c r="F177" s="181">
        <v>401.32</v>
      </c>
      <c r="G177" s="181">
        <v>24.891999999999999</v>
      </c>
      <c r="H177" s="181">
        <v>39.624000000000002</v>
      </c>
      <c r="I177" s="181">
        <v>0</v>
      </c>
      <c r="J177" s="181">
        <v>33.400999999999989</v>
      </c>
      <c r="K177" s="181">
        <v>5.0599999999999996</v>
      </c>
      <c r="L177" s="181">
        <v>11.6</v>
      </c>
      <c r="M177" s="181">
        <v>1107175592.096</v>
      </c>
      <c r="N177" s="181">
        <v>6390954.959999999</v>
      </c>
      <c r="O177" s="181">
        <v>5538827.6319999993</v>
      </c>
      <c r="P177" s="181">
        <v>166.36999999999998</v>
      </c>
      <c r="Q177" s="181">
        <v>428718368.36799997</v>
      </c>
      <c r="R177" s="181">
        <v>3244638.6719999998</v>
      </c>
      <c r="S177" s="181">
        <v>2130318.3199999998</v>
      </c>
      <c r="T177" s="181">
        <v>103.378</v>
      </c>
      <c r="U177" s="181">
        <v>18563921.58176</v>
      </c>
      <c r="V177" s="181">
        <v>13856450713468.953</v>
      </c>
    </row>
    <row r="178" spans="1:22">
      <c r="A178" s="2" t="s">
        <v>371</v>
      </c>
      <c r="B178" s="2" t="s">
        <v>372</v>
      </c>
      <c r="C178" s="181">
        <v>287.21487999999999</v>
      </c>
      <c r="D178" s="181">
        <v>36645.087999999996</v>
      </c>
      <c r="E178" s="181">
        <v>393.7</v>
      </c>
      <c r="F178" s="181">
        <v>398.78</v>
      </c>
      <c r="G178" s="181">
        <v>22.605999999999998</v>
      </c>
      <c r="H178" s="181">
        <v>36.575999999999993</v>
      </c>
      <c r="I178" s="181">
        <v>0</v>
      </c>
      <c r="J178" s="181">
        <v>33.274000000000001</v>
      </c>
      <c r="K178" s="181">
        <v>5.45</v>
      </c>
      <c r="L178" s="181">
        <v>12.8</v>
      </c>
      <c r="M178" s="181">
        <v>998955421.43999994</v>
      </c>
      <c r="N178" s="181">
        <v>5817407.7199999997</v>
      </c>
      <c r="O178" s="181">
        <v>5079989.84</v>
      </c>
      <c r="P178" s="181">
        <v>165.1</v>
      </c>
      <c r="Q178" s="181">
        <v>387511457.23359996</v>
      </c>
      <c r="R178" s="181">
        <v>2949671.5199999996</v>
      </c>
      <c r="S178" s="181">
        <v>1950060.6159999999</v>
      </c>
      <c r="T178" s="181">
        <v>102.86999999999999</v>
      </c>
      <c r="U178" s="181">
        <v>14484853.610879997</v>
      </c>
      <c r="V178" s="181">
        <v>12325796274190.406</v>
      </c>
    </row>
    <row r="179" spans="1:22">
      <c r="A179" s="2" t="s">
        <v>373</v>
      </c>
      <c r="B179" s="2" t="s">
        <v>374</v>
      </c>
      <c r="C179" s="181">
        <v>261.91615999999999</v>
      </c>
      <c r="D179" s="181">
        <v>33419.287999999993</v>
      </c>
      <c r="E179" s="181">
        <v>386.08</v>
      </c>
      <c r="F179" s="181">
        <v>398.78</v>
      </c>
      <c r="G179" s="181">
        <v>21.081999999999997</v>
      </c>
      <c r="H179" s="181">
        <v>33.274000000000001</v>
      </c>
      <c r="I179" s="181">
        <v>0</v>
      </c>
      <c r="J179" s="181">
        <v>33.400999999999996</v>
      </c>
      <c r="K179" s="181">
        <v>5.97</v>
      </c>
      <c r="L179" s="181">
        <v>13.7</v>
      </c>
      <c r="M179" s="181">
        <v>890735250.78399992</v>
      </c>
      <c r="N179" s="181">
        <v>5243860.4799999995</v>
      </c>
      <c r="O179" s="181">
        <v>4604764.9839999992</v>
      </c>
      <c r="P179" s="181">
        <v>163.32199999999997</v>
      </c>
      <c r="Q179" s="181">
        <v>348801934.65279996</v>
      </c>
      <c r="R179" s="181">
        <v>2671091.4319999996</v>
      </c>
      <c r="S179" s="181">
        <v>1753415.8479999998</v>
      </c>
      <c r="T179" s="181">
        <v>102.10799999999999</v>
      </c>
      <c r="U179" s="181">
        <v>11030132.778399998</v>
      </c>
      <c r="V179" s="181">
        <v>10875702594873.887</v>
      </c>
    </row>
    <row r="180" spans="1:22">
      <c r="A180" s="2" t="s">
        <v>375</v>
      </c>
      <c r="B180" s="2" t="s">
        <v>376</v>
      </c>
      <c r="C180" s="181">
        <v>236.61743999999999</v>
      </c>
      <c r="D180" s="181">
        <v>30128.972000000002</v>
      </c>
      <c r="E180" s="181">
        <v>381</v>
      </c>
      <c r="F180" s="181">
        <v>396.23999999999995</v>
      </c>
      <c r="G180" s="181">
        <v>18.922999999999998</v>
      </c>
      <c r="H180" s="181">
        <v>30.225999999999996</v>
      </c>
      <c r="I180" s="181">
        <v>0</v>
      </c>
      <c r="J180" s="181">
        <v>33.274000000000001</v>
      </c>
      <c r="K180" s="181">
        <v>6.54</v>
      </c>
      <c r="L180" s="181">
        <v>15.3</v>
      </c>
      <c r="M180" s="181">
        <v>790839708.63999987</v>
      </c>
      <c r="N180" s="181">
        <v>4703087.3679999998</v>
      </c>
      <c r="O180" s="181">
        <v>4162314.2559999996</v>
      </c>
      <c r="P180" s="181">
        <v>162.05199999999999</v>
      </c>
      <c r="Q180" s="181">
        <v>311341106.34879994</v>
      </c>
      <c r="R180" s="181">
        <v>2392511.3439999996</v>
      </c>
      <c r="S180" s="181">
        <v>1576435.5567999999</v>
      </c>
      <c r="T180" s="181">
        <v>101.6</v>
      </c>
      <c r="U180" s="181">
        <v>8199759.0843199985</v>
      </c>
      <c r="V180" s="181">
        <v>9559876848827.418</v>
      </c>
    </row>
    <row r="181" spans="1:22">
      <c r="A181" s="2" t="s">
        <v>377</v>
      </c>
      <c r="B181" s="2" t="s">
        <v>378</v>
      </c>
      <c r="C181" s="181">
        <v>215.78319999999999</v>
      </c>
      <c r="D181" s="181">
        <v>27548.332000000002</v>
      </c>
      <c r="E181" s="181">
        <v>375.92</v>
      </c>
      <c r="F181" s="181">
        <v>393.7</v>
      </c>
      <c r="G181" s="181">
        <v>17.272000000000002</v>
      </c>
      <c r="H181" s="181">
        <v>27.686</v>
      </c>
      <c r="I181" s="181">
        <v>0</v>
      </c>
      <c r="J181" s="181">
        <v>32.638999999999996</v>
      </c>
      <c r="K181" s="181">
        <v>7.11</v>
      </c>
      <c r="L181" s="181">
        <v>16.8</v>
      </c>
      <c r="M181" s="181">
        <v>711755737.7759999</v>
      </c>
      <c r="N181" s="181">
        <v>4260636.6399999997</v>
      </c>
      <c r="O181" s="181">
        <v>3801798.8479999998</v>
      </c>
      <c r="P181" s="181">
        <v>160.78199999999998</v>
      </c>
      <c r="Q181" s="181">
        <v>281788675.13119996</v>
      </c>
      <c r="R181" s="181">
        <v>2179479.5119999996</v>
      </c>
      <c r="S181" s="181">
        <v>1430590.6871999998</v>
      </c>
      <c r="T181" s="181">
        <v>101.092</v>
      </c>
      <c r="U181" s="181">
        <v>6326717.6691199988</v>
      </c>
      <c r="V181" s="181">
        <v>8512586969321.043</v>
      </c>
    </row>
    <row r="182" spans="1:22">
      <c r="A182" s="2" t="s">
        <v>379</v>
      </c>
      <c r="B182" s="2" t="s">
        <v>380</v>
      </c>
      <c r="C182" s="181">
        <v>196.43711999999999</v>
      </c>
      <c r="D182" s="181">
        <v>25032.207999999999</v>
      </c>
      <c r="E182" s="181">
        <v>373.37999999999994</v>
      </c>
      <c r="F182" s="181">
        <v>373.37999999999994</v>
      </c>
      <c r="G182" s="181">
        <v>16.382999999999999</v>
      </c>
      <c r="H182" s="181">
        <v>26.161999999999999</v>
      </c>
      <c r="I182" s="181">
        <v>0</v>
      </c>
      <c r="J182" s="181">
        <v>32.575499999999998</v>
      </c>
      <c r="K182" s="181">
        <v>7.15</v>
      </c>
      <c r="L182" s="181">
        <v>17.7</v>
      </c>
      <c r="M182" s="181">
        <v>636834081.16799998</v>
      </c>
      <c r="N182" s="181">
        <v>3834572.9759999998</v>
      </c>
      <c r="O182" s="181">
        <v>3424896.3759999997</v>
      </c>
      <c r="P182" s="181">
        <v>159.512</v>
      </c>
      <c r="Q182" s="181">
        <v>228094821.22879997</v>
      </c>
      <c r="R182" s="181">
        <v>1851738.2319999998</v>
      </c>
      <c r="S182" s="181">
        <v>1220836.2679999999</v>
      </c>
      <c r="T182" s="181">
        <v>95.503999999999991</v>
      </c>
      <c r="U182" s="181">
        <v>5119646.5348800002</v>
      </c>
      <c r="V182" s="181">
        <v>6847664596772.4473</v>
      </c>
    </row>
    <row r="183" spans="1:22">
      <c r="A183" s="2" t="s">
        <v>381</v>
      </c>
      <c r="B183" s="2" t="s">
        <v>382</v>
      </c>
      <c r="C183" s="181">
        <v>178.57919999999999</v>
      </c>
      <c r="D183" s="181">
        <v>22774.147999999997</v>
      </c>
      <c r="E183" s="181">
        <v>368.29999999999995</v>
      </c>
      <c r="F183" s="181">
        <v>373.37999999999994</v>
      </c>
      <c r="G183" s="181">
        <v>14.985999999999999</v>
      </c>
      <c r="H183" s="181">
        <v>23.875999999999998</v>
      </c>
      <c r="I183" s="181">
        <v>0</v>
      </c>
      <c r="J183" s="181">
        <v>33.274000000000001</v>
      </c>
      <c r="K183" s="181">
        <v>7.8</v>
      </c>
      <c r="L183" s="181">
        <v>19.3</v>
      </c>
      <c r="M183" s="181">
        <v>574399367.32799995</v>
      </c>
      <c r="N183" s="181">
        <v>3474057.5679999995</v>
      </c>
      <c r="O183" s="181">
        <v>3113542.1599999997</v>
      </c>
      <c r="P183" s="181">
        <v>158.49600000000001</v>
      </c>
      <c r="Q183" s="181">
        <v>206034555.67199999</v>
      </c>
      <c r="R183" s="181">
        <v>1671480.5279999999</v>
      </c>
      <c r="S183" s="181">
        <v>1106126.8199999998</v>
      </c>
      <c r="T183" s="181">
        <v>94.995999999999995</v>
      </c>
      <c r="U183" s="181">
        <v>3900088.4578719991</v>
      </c>
      <c r="V183" s="181">
        <v>6095764170460.1787</v>
      </c>
    </row>
    <row r="184" spans="1:22">
      <c r="A184" s="2" t="s">
        <v>383</v>
      </c>
      <c r="B184" s="2" t="s">
        <v>384</v>
      </c>
      <c r="C184" s="181">
        <v>162.20944</v>
      </c>
      <c r="D184" s="181">
        <v>20645.12</v>
      </c>
      <c r="E184" s="181">
        <v>363.21999999999997</v>
      </c>
      <c r="F184" s="181">
        <v>370.84</v>
      </c>
      <c r="G184" s="181">
        <v>13.334999999999999</v>
      </c>
      <c r="H184" s="181">
        <v>21.843999999999998</v>
      </c>
      <c r="I184" s="181">
        <v>0</v>
      </c>
      <c r="J184" s="181">
        <v>33.718500000000006</v>
      </c>
      <c r="K184" s="181">
        <v>8.49</v>
      </c>
      <c r="L184" s="181">
        <v>21.7</v>
      </c>
      <c r="M184" s="181">
        <v>516126967.74399996</v>
      </c>
      <c r="N184" s="181">
        <v>3146316.2879999997</v>
      </c>
      <c r="O184" s="181">
        <v>2834962.0719999997</v>
      </c>
      <c r="P184" s="181">
        <v>157.98799999999997</v>
      </c>
      <c r="Q184" s="181">
        <v>186055447.24319997</v>
      </c>
      <c r="R184" s="181">
        <v>1519080.8328</v>
      </c>
      <c r="S184" s="181">
        <v>1002888.3167999999</v>
      </c>
      <c r="T184" s="181">
        <v>94.74199999999999</v>
      </c>
      <c r="U184" s="181">
        <v>2963567.7502719997</v>
      </c>
      <c r="V184" s="181">
        <v>5424424504109.9385</v>
      </c>
    </row>
    <row r="185" spans="1:22">
      <c r="A185" s="2" t="s">
        <v>385</v>
      </c>
      <c r="B185" s="2" t="s">
        <v>386</v>
      </c>
      <c r="C185" s="181">
        <v>147.32783999999998</v>
      </c>
      <c r="D185" s="181">
        <v>18774.155999999999</v>
      </c>
      <c r="E185" s="181">
        <v>360.67999999999995</v>
      </c>
      <c r="F185" s="181">
        <v>370.84</v>
      </c>
      <c r="G185" s="181">
        <v>12.318999999999999</v>
      </c>
      <c r="H185" s="181">
        <v>19.812000000000001</v>
      </c>
      <c r="I185" s="181">
        <v>0</v>
      </c>
      <c r="J185" s="181">
        <v>32.575499999999991</v>
      </c>
      <c r="K185" s="181">
        <v>9.34</v>
      </c>
      <c r="L185" s="181">
        <v>23.5</v>
      </c>
      <c r="M185" s="181">
        <v>462016882.41599995</v>
      </c>
      <c r="N185" s="181">
        <v>2834962.0719999997</v>
      </c>
      <c r="O185" s="181">
        <v>2572769.048</v>
      </c>
      <c r="P185" s="181">
        <v>156.71799999999999</v>
      </c>
      <c r="Q185" s="181">
        <v>167325033.09119999</v>
      </c>
      <c r="R185" s="181">
        <v>1369958.5503999998</v>
      </c>
      <c r="S185" s="181">
        <v>904565.93279999995</v>
      </c>
      <c r="T185" s="181">
        <v>94.233999999999995</v>
      </c>
      <c r="U185" s="181">
        <v>2235162.7554719998</v>
      </c>
      <c r="V185" s="181">
        <v>4833645597721.7275</v>
      </c>
    </row>
    <row r="186" spans="1:22">
      <c r="A186" s="2" t="s">
        <v>387</v>
      </c>
      <c r="B186" s="2" t="s">
        <v>388</v>
      </c>
      <c r="C186" s="181">
        <v>133.93439999999998</v>
      </c>
      <c r="D186" s="181">
        <v>17096.739999999998</v>
      </c>
      <c r="E186" s="181">
        <v>355.59999999999997</v>
      </c>
      <c r="F186" s="181">
        <v>368.29999999999995</v>
      </c>
      <c r="G186" s="181">
        <v>11.176</v>
      </c>
      <c r="H186" s="181">
        <v>18.033999999999999</v>
      </c>
      <c r="I186" s="181">
        <v>0</v>
      </c>
      <c r="J186" s="181">
        <v>32.765999999999998</v>
      </c>
      <c r="K186" s="181">
        <v>10.199999999999999</v>
      </c>
      <c r="L186" s="181">
        <v>25.9</v>
      </c>
      <c r="M186" s="181">
        <v>415815194.17439997</v>
      </c>
      <c r="N186" s="181">
        <v>2572769.048</v>
      </c>
      <c r="O186" s="181">
        <v>2343350.1519999998</v>
      </c>
      <c r="P186" s="181">
        <v>155.95599999999999</v>
      </c>
      <c r="Q186" s="181">
        <v>150675776.06719998</v>
      </c>
      <c r="R186" s="181">
        <v>1238862.0383999997</v>
      </c>
      <c r="S186" s="181">
        <v>817714.49359999993</v>
      </c>
      <c r="T186" s="181">
        <v>93.98</v>
      </c>
      <c r="U186" s="181">
        <v>1689899.5879359997</v>
      </c>
      <c r="V186" s="181">
        <v>4296573864641.5356</v>
      </c>
    </row>
    <row r="187" spans="1:22">
      <c r="A187" s="2" t="s">
        <v>389</v>
      </c>
      <c r="B187" s="2" t="s">
        <v>390</v>
      </c>
      <c r="C187" s="181">
        <v>122.02911999999999</v>
      </c>
      <c r="D187" s="181">
        <v>15483.84</v>
      </c>
      <c r="E187" s="181">
        <v>363.21999999999997</v>
      </c>
      <c r="F187" s="181">
        <v>256.53999999999996</v>
      </c>
      <c r="G187" s="181">
        <v>12.953999999999999</v>
      </c>
      <c r="H187" s="181">
        <v>21.716999999999999</v>
      </c>
      <c r="I187" s="181">
        <v>0</v>
      </c>
      <c r="J187" s="181">
        <v>21.145499999999998</v>
      </c>
      <c r="K187" s="181">
        <v>5.92</v>
      </c>
      <c r="L187" s="181">
        <v>22.4</v>
      </c>
      <c r="M187" s="181">
        <v>366699885.95359999</v>
      </c>
      <c r="N187" s="181">
        <v>2277801.8959999997</v>
      </c>
      <c r="O187" s="181">
        <v>2015608.8719999997</v>
      </c>
      <c r="P187" s="181">
        <v>153.66999999999999</v>
      </c>
      <c r="Q187" s="181">
        <v>61602250.988799997</v>
      </c>
      <c r="R187" s="181">
        <v>734140.46719999984</v>
      </c>
      <c r="S187" s="181">
        <v>480140.97519999999</v>
      </c>
      <c r="T187" s="181">
        <v>62.991999999999997</v>
      </c>
      <c r="U187" s="181">
        <v>2110293.327792</v>
      </c>
      <c r="V187" s="181">
        <v>1799190305818.6431</v>
      </c>
    </row>
    <row r="188" spans="1:22">
      <c r="A188" s="2" t="s">
        <v>391</v>
      </c>
      <c r="B188" s="2" t="s">
        <v>392</v>
      </c>
      <c r="C188" s="181">
        <v>110.12384</v>
      </c>
      <c r="D188" s="181">
        <v>14064.487999999999</v>
      </c>
      <c r="E188" s="181">
        <v>360.67999999999995</v>
      </c>
      <c r="F188" s="181">
        <v>256.53999999999996</v>
      </c>
      <c r="G188" s="181">
        <v>11.43</v>
      </c>
      <c r="H188" s="181">
        <v>19.939</v>
      </c>
      <c r="I188" s="181">
        <v>0</v>
      </c>
      <c r="J188" s="181">
        <v>21.335999999999999</v>
      </c>
      <c r="K188" s="181">
        <v>6.41</v>
      </c>
      <c r="L188" s="181">
        <v>25.4</v>
      </c>
      <c r="M188" s="181">
        <v>330903983.35199994</v>
      </c>
      <c r="N188" s="181">
        <v>2064770.0639999998</v>
      </c>
      <c r="O188" s="181">
        <v>1835351.1679999998</v>
      </c>
      <c r="P188" s="181">
        <v>153.416</v>
      </c>
      <c r="Q188" s="181">
        <v>55775011.030399993</v>
      </c>
      <c r="R188" s="181">
        <v>663676.09199999995</v>
      </c>
      <c r="S188" s="181">
        <v>435895.90239999996</v>
      </c>
      <c r="T188" s="181">
        <v>62.991999999999997</v>
      </c>
      <c r="U188" s="181">
        <v>1610815.6170719999</v>
      </c>
      <c r="V188" s="181">
        <v>1611215199240.5759</v>
      </c>
    </row>
    <row r="189" spans="1:22">
      <c r="A189" s="2" t="s">
        <v>393</v>
      </c>
      <c r="B189" s="2" t="s">
        <v>394</v>
      </c>
      <c r="C189" s="181">
        <v>101.19488</v>
      </c>
      <c r="D189" s="181">
        <v>12903.199999999999</v>
      </c>
      <c r="E189" s="181">
        <v>355.59999999999997</v>
      </c>
      <c r="F189" s="181">
        <v>254</v>
      </c>
      <c r="G189" s="181">
        <v>10.540999999999999</v>
      </c>
      <c r="H189" s="181">
        <v>18.287999999999997</v>
      </c>
      <c r="I189" s="181">
        <v>0</v>
      </c>
      <c r="J189" s="181">
        <v>21.399500000000003</v>
      </c>
      <c r="K189" s="181">
        <v>6.97</v>
      </c>
      <c r="L189" s="181">
        <v>27.5</v>
      </c>
      <c r="M189" s="181">
        <v>300519089.28319997</v>
      </c>
      <c r="N189" s="181">
        <v>1884512.3599999999</v>
      </c>
      <c r="O189" s="181">
        <v>1687867.5919999999</v>
      </c>
      <c r="P189" s="181">
        <v>152.654</v>
      </c>
      <c r="Q189" s="181">
        <v>50364002.497599997</v>
      </c>
      <c r="R189" s="181">
        <v>604682.66159999988</v>
      </c>
      <c r="S189" s="181">
        <v>396566.94879999995</v>
      </c>
      <c r="T189" s="181">
        <v>62.483999999999995</v>
      </c>
      <c r="U189" s="181">
        <v>1252856.5910559997</v>
      </c>
      <c r="V189" s="181">
        <v>1442037603320.3154</v>
      </c>
    </row>
    <row r="190" spans="1:22">
      <c r="A190" s="2" t="s">
        <v>395</v>
      </c>
      <c r="B190" s="2" t="s">
        <v>396</v>
      </c>
      <c r="C190" s="181">
        <v>90.777760000000001</v>
      </c>
      <c r="D190" s="181">
        <v>11548.363999999998</v>
      </c>
      <c r="E190" s="181">
        <v>353.06</v>
      </c>
      <c r="F190" s="181">
        <v>253.74599999999998</v>
      </c>
      <c r="G190" s="181">
        <v>9.5249999999999986</v>
      </c>
      <c r="H190" s="181">
        <v>16.382999999999999</v>
      </c>
      <c r="I190" s="181">
        <v>0</v>
      </c>
      <c r="J190" s="181">
        <v>21.716999999999995</v>
      </c>
      <c r="K190" s="181">
        <v>7.75</v>
      </c>
      <c r="L190" s="181">
        <v>30.4</v>
      </c>
      <c r="M190" s="181">
        <v>266388112.38399997</v>
      </c>
      <c r="N190" s="181">
        <v>1671480.5279999999</v>
      </c>
      <c r="O190" s="181">
        <v>1509248.5943999998</v>
      </c>
      <c r="P190" s="181">
        <v>151.892</v>
      </c>
      <c r="Q190" s="181">
        <v>44536762.539199993</v>
      </c>
      <c r="R190" s="181">
        <v>537495.69919999992</v>
      </c>
      <c r="S190" s="181">
        <v>352321.87599999999</v>
      </c>
      <c r="T190" s="181">
        <v>62.230000000000004</v>
      </c>
      <c r="U190" s="181">
        <v>911546.82206399983</v>
      </c>
      <c r="V190" s="181">
        <v>1259433214073.05</v>
      </c>
    </row>
    <row r="191" spans="1:22">
      <c r="A191" s="2" t="s">
        <v>397</v>
      </c>
      <c r="B191" s="2" t="s">
        <v>398</v>
      </c>
      <c r="C191" s="181">
        <v>78.872479999999996</v>
      </c>
      <c r="D191" s="181">
        <v>10064.495999999999</v>
      </c>
      <c r="E191" s="181">
        <v>353.06</v>
      </c>
      <c r="F191" s="181">
        <v>204.72399999999999</v>
      </c>
      <c r="G191" s="181">
        <v>9.3979999999999997</v>
      </c>
      <c r="H191" s="181">
        <v>16.763999999999999</v>
      </c>
      <c r="I191" s="181">
        <v>0</v>
      </c>
      <c r="J191" s="181">
        <v>21.335999999999995</v>
      </c>
      <c r="K191" s="181">
        <v>6.11</v>
      </c>
      <c r="L191" s="181">
        <v>30.9</v>
      </c>
      <c r="M191" s="181">
        <v>225181201.24959996</v>
      </c>
      <c r="N191" s="181">
        <v>1427313.2743999998</v>
      </c>
      <c r="O191" s="181">
        <v>1274913.5791999998</v>
      </c>
      <c r="P191" s="181">
        <v>149.60599999999999</v>
      </c>
      <c r="Q191" s="181">
        <v>24016553.257119998</v>
      </c>
      <c r="R191" s="181">
        <v>360515.40799999994</v>
      </c>
      <c r="S191" s="181">
        <v>234335.01519999999</v>
      </c>
      <c r="T191" s="181">
        <v>48.767999999999994</v>
      </c>
      <c r="U191" s="181">
        <v>807488.9656639999</v>
      </c>
      <c r="V191" s="181">
        <v>682081101011.84375</v>
      </c>
    </row>
    <row r="192" spans="1:22">
      <c r="A192" s="2" t="s">
        <v>399</v>
      </c>
      <c r="B192" s="2" t="s">
        <v>400</v>
      </c>
      <c r="C192" s="181">
        <v>71.43168</v>
      </c>
      <c r="D192" s="181">
        <v>9096.7559999999994</v>
      </c>
      <c r="E192" s="181">
        <v>350.52</v>
      </c>
      <c r="F192" s="181">
        <v>203.96199999999996</v>
      </c>
      <c r="G192" s="181">
        <v>8.636000000000001</v>
      </c>
      <c r="H192" s="181">
        <v>15.112999999999998</v>
      </c>
      <c r="I192" s="181">
        <v>0</v>
      </c>
      <c r="J192" s="181">
        <v>21.399499999999996</v>
      </c>
      <c r="K192" s="181">
        <v>6.75</v>
      </c>
      <c r="L192" s="181">
        <v>33.6</v>
      </c>
      <c r="M192" s="181">
        <v>201456009.99039999</v>
      </c>
      <c r="N192" s="181">
        <v>1284745.8176</v>
      </c>
      <c r="O192" s="181">
        <v>1150371.8928</v>
      </c>
      <c r="P192" s="181">
        <v>148.58999999999997</v>
      </c>
      <c r="Q192" s="181">
        <v>21394295.275839996</v>
      </c>
      <c r="R192" s="181">
        <v>321186.45439999999</v>
      </c>
      <c r="S192" s="181">
        <v>209754.4192</v>
      </c>
      <c r="T192" s="181">
        <v>48.513999999999996</v>
      </c>
      <c r="U192" s="181">
        <v>603535.56711999991</v>
      </c>
      <c r="V192" s="181">
        <v>601520341049.81506</v>
      </c>
    </row>
    <row r="193" spans="1:22">
      <c r="A193" s="2" t="s">
        <v>401</v>
      </c>
      <c r="B193" s="2" t="s">
        <v>402</v>
      </c>
      <c r="C193" s="181">
        <v>63.990879999999997</v>
      </c>
      <c r="D193" s="181">
        <v>8129.0159999999996</v>
      </c>
      <c r="E193" s="181">
        <v>347.97999999999996</v>
      </c>
      <c r="F193" s="181">
        <v>203.2</v>
      </c>
      <c r="G193" s="181">
        <v>7.746999999999999</v>
      </c>
      <c r="H193" s="181">
        <v>13.462</v>
      </c>
      <c r="I193" s="181">
        <v>0</v>
      </c>
      <c r="J193" s="181">
        <v>21.462999999999997</v>
      </c>
      <c r="K193" s="181">
        <v>7.54</v>
      </c>
      <c r="L193" s="181">
        <v>37.4</v>
      </c>
      <c r="M193" s="181">
        <v>178147050.15679997</v>
      </c>
      <c r="N193" s="181">
        <v>1140539.6543999999</v>
      </c>
      <c r="O193" s="181">
        <v>1025830.2063999999</v>
      </c>
      <c r="P193" s="181">
        <v>147.828</v>
      </c>
      <c r="Q193" s="181">
        <v>18813660.437119998</v>
      </c>
      <c r="R193" s="181">
        <v>283496.2072</v>
      </c>
      <c r="S193" s="181">
        <v>185173.82319999998</v>
      </c>
      <c r="T193" s="181">
        <v>48.005999999999993</v>
      </c>
      <c r="U193" s="181">
        <v>437042.99687999999</v>
      </c>
      <c r="V193" s="181">
        <v>523644939753.18719</v>
      </c>
    </row>
    <row r="194" spans="1:22">
      <c r="A194" s="2" t="s">
        <v>403</v>
      </c>
      <c r="B194" s="2" t="s">
        <v>404</v>
      </c>
      <c r="C194" s="181">
        <v>56.550079999999994</v>
      </c>
      <c r="D194" s="181">
        <v>7225.7919999999995</v>
      </c>
      <c r="E194" s="181">
        <v>358.14</v>
      </c>
      <c r="F194" s="181">
        <v>171.95799999999997</v>
      </c>
      <c r="G194" s="181">
        <v>7.8739999999999997</v>
      </c>
      <c r="H194" s="181">
        <v>13.081</v>
      </c>
      <c r="I194" s="181">
        <v>0</v>
      </c>
      <c r="J194" s="181">
        <v>18.669</v>
      </c>
      <c r="K194" s="181">
        <v>6.57</v>
      </c>
      <c r="L194" s="181">
        <v>39.6</v>
      </c>
      <c r="M194" s="181">
        <v>160249098.85599998</v>
      </c>
      <c r="N194" s="181">
        <v>1007804.4359999999</v>
      </c>
      <c r="O194" s="181">
        <v>894733.69439999992</v>
      </c>
      <c r="P194" s="181">
        <v>149.09799999999998</v>
      </c>
      <c r="Q194" s="181">
        <v>11113379.063519999</v>
      </c>
      <c r="R194" s="181">
        <v>198283.47439999998</v>
      </c>
      <c r="S194" s="181">
        <v>129130.06431999999</v>
      </c>
      <c r="T194" s="181">
        <v>39.369999999999997</v>
      </c>
      <c r="U194" s="181">
        <v>332152.67762879998</v>
      </c>
      <c r="V194" s="181">
        <v>330299115844.31805</v>
      </c>
    </row>
    <row r="195" spans="1:22">
      <c r="A195" s="2" t="s">
        <v>405</v>
      </c>
      <c r="B195" s="2" t="s">
        <v>406</v>
      </c>
      <c r="C195" s="181">
        <v>50.597439999999999</v>
      </c>
      <c r="D195" s="181">
        <v>6451.5999999999995</v>
      </c>
      <c r="E195" s="181">
        <v>355.59999999999997</v>
      </c>
      <c r="F195" s="181">
        <v>171.45</v>
      </c>
      <c r="G195" s="181">
        <v>7.238999999999999</v>
      </c>
      <c r="H195" s="181">
        <v>11.557</v>
      </c>
      <c r="I195" s="181">
        <v>0</v>
      </c>
      <c r="J195" s="181">
        <v>18.605499999999999</v>
      </c>
      <c r="K195" s="181">
        <v>7.41</v>
      </c>
      <c r="L195" s="181">
        <v>43.1</v>
      </c>
      <c r="M195" s="181">
        <v>141518684.704</v>
      </c>
      <c r="N195" s="181">
        <v>894733.69439999992</v>
      </c>
      <c r="O195" s="181">
        <v>796411.31039999996</v>
      </c>
      <c r="P195" s="181">
        <v>148.08199999999999</v>
      </c>
      <c r="Q195" s="181">
        <v>9698192.2164799999</v>
      </c>
      <c r="R195" s="181">
        <v>173702.87839999999</v>
      </c>
      <c r="S195" s="181">
        <v>113234.61223999999</v>
      </c>
      <c r="T195" s="181">
        <v>38.862000000000002</v>
      </c>
      <c r="U195" s="181">
        <v>236835.68116639997</v>
      </c>
      <c r="V195" s="181">
        <v>287333377197.90271</v>
      </c>
    </row>
    <row r="196" spans="1:22">
      <c r="A196" s="2" t="s">
        <v>407</v>
      </c>
      <c r="B196" s="2" t="s">
        <v>408</v>
      </c>
      <c r="C196" s="181">
        <v>44.644799999999996</v>
      </c>
      <c r="D196" s="181">
        <v>5709.6659999999993</v>
      </c>
      <c r="E196" s="181">
        <v>350.52</v>
      </c>
      <c r="F196" s="181">
        <v>170.94200000000001</v>
      </c>
      <c r="G196" s="181">
        <v>6.8579999999999997</v>
      </c>
      <c r="H196" s="181">
        <v>9.7789999999999999</v>
      </c>
      <c r="I196" s="181">
        <v>0</v>
      </c>
      <c r="J196" s="181">
        <v>18.795999999999999</v>
      </c>
      <c r="K196" s="181">
        <v>8.74</v>
      </c>
      <c r="L196" s="181">
        <v>45.4</v>
      </c>
      <c r="M196" s="181">
        <v>121123344.84959999</v>
      </c>
      <c r="N196" s="181">
        <v>775108.12719999987</v>
      </c>
      <c r="O196" s="181">
        <v>688256.68799999997</v>
      </c>
      <c r="P196" s="181">
        <v>145.542</v>
      </c>
      <c r="Q196" s="181">
        <v>8158135.9417599998</v>
      </c>
      <c r="R196" s="181">
        <v>147319.70535999999</v>
      </c>
      <c r="S196" s="181">
        <v>95372.712480000002</v>
      </c>
      <c r="T196" s="181">
        <v>37.845999999999997</v>
      </c>
      <c r="U196" s="181">
        <v>158167.94172799998</v>
      </c>
      <c r="V196" s="181">
        <v>238191313621.06512</v>
      </c>
    </row>
    <row r="197" spans="1:22">
      <c r="A197" s="2" t="s">
        <v>409</v>
      </c>
      <c r="B197" s="2" t="s">
        <v>410</v>
      </c>
      <c r="C197" s="181">
        <v>38.692160000000001</v>
      </c>
      <c r="D197" s="181">
        <v>4961.2803999999996</v>
      </c>
      <c r="E197" s="181">
        <v>353.06</v>
      </c>
      <c r="F197" s="181">
        <v>127.762</v>
      </c>
      <c r="G197" s="181">
        <v>6.4769999999999994</v>
      </c>
      <c r="H197" s="181">
        <v>10.667999999999999</v>
      </c>
      <c r="I197" s="181">
        <v>0</v>
      </c>
      <c r="J197" s="181">
        <v>17.907</v>
      </c>
      <c r="K197" s="181">
        <v>5.98</v>
      </c>
      <c r="L197" s="181">
        <v>48.1</v>
      </c>
      <c r="M197" s="181">
        <v>101976699.27199998</v>
      </c>
      <c r="N197" s="181">
        <v>658759.97279999999</v>
      </c>
      <c r="O197" s="181">
        <v>578463.35919999995</v>
      </c>
      <c r="P197" s="181">
        <v>143.51</v>
      </c>
      <c r="Q197" s="181">
        <v>3708622.0020959997</v>
      </c>
      <c r="R197" s="181">
        <v>90784.334559999988</v>
      </c>
      <c r="S197" s="181">
        <v>58174.077199999992</v>
      </c>
      <c r="T197" s="181">
        <v>27.431999999999999</v>
      </c>
      <c r="U197" s="181">
        <v>149010.85036479999</v>
      </c>
      <c r="V197" s="181">
        <v>108757025948.73888</v>
      </c>
    </row>
    <row r="198" spans="1:22">
      <c r="A198" s="2" t="s">
        <v>411</v>
      </c>
      <c r="B198" s="2" t="s">
        <v>412</v>
      </c>
      <c r="C198" s="181">
        <v>32.739519999999999</v>
      </c>
      <c r="D198" s="181">
        <v>4187.0883999999996</v>
      </c>
      <c r="E198" s="181">
        <v>347.97999999999996</v>
      </c>
      <c r="F198" s="181">
        <v>127</v>
      </c>
      <c r="G198" s="181">
        <v>5.8419999999999996</v>
      </c>
      <c r="H198" s="181">
        <v>8.5090000000000003</v>
      </c>
      <c r="I198" s="181">
        <v>0</v>
      </c>
      <c r="J198" s="181">
        <v>18.478499999999997</v>
      </c>
      <c r="K198" s="181">
        <v>7.46</v>
      </c>
      <c r="L198" s="181">
        <v>53.3</v>
      </c>
      <c r="M198" s="181">
        <v>82830053.694399998</v>
      </c>
      <c r="N198" s="181">
        <v>544050.52480000001</v>
      </c>
      <c r="O198" s="181">
        <v>475224.85599999997</v>
      </c>
      <c r="P198" s="181">
        <v>140.71599999999998</v>
      </c>
      <c r="Q198" s="181">
        <v>2913619.9791999999</v>
      </c>
      <c r="R198" s="181">
        <v>71939.210959999982</v>
      </c>
      <c r="S198" s="181">
        <v>45883.77919999999</v>
      </c>
      <c r="T198" s="181">
        <v>26.416</v>
      </c>
      <c r="U198" s="181">
        <v>86576.136524799993</v>
      </c>
      <c r="V198" s="181">
        <v>84320262093.590134</v>
      </c>
    </row>
    <row r="199" spans="1:22">
      <c r="A199" s="2" t="s">
        <v>413</v>
      </c>
      <c r="B199" s="2" t="s">
        <v>414</v>
      </c>
      <c r="C199" s="181">
        <v>500.02175999999997</v>
      </c>
      <c r="D199" s="181">
        <v>63741.807999999997</v>
      </c>
      <c r="E199" s="181">
        <v>426.71999999999997</v>
      </c>
      <c r="F199" s="181">
        <v>340.36</v>
      </c>
      <c r="G199" s="181">
        <v>45.211999999999996</v>
      </c>
      <c r="H199" s="181">
        <v>75.183999999999997</v>
      </c>
      <c r="I199" s="181">
        <v>0</v>
      </c>
      <c r="J199" s="181">
        <v>23.241</v>
      </c>
      <c r="K199" s="181">
        <v>2.2599999999999998</v>
      </c>
      <c r="L199" s="181">
        <v>5.47</v>
      </c>
      <c r="M199" s="181">
        <v>1689899587.9359999</v>
      </c>
      <c r="N199" s="181">
        <v>9881399.5919999983</v>
      </c>
      <c r="O199" s="181">
        <v>7914951.9119999995</v>
      </c>
      <c r="P199" s="181">
        <v>162.81399999999999</v>
      </c>
      <c r="Q199" s="181">
        <v>495315396.46399993</v>
      </c>
      <c r="R199" s="181">
        <v>4490055.5359999994</v>
      </c>
      <c r="S199" s="181">
        <v>2900510.3279999997</v>
      </c>
      <c r="T199" s="181">
        <v>88.138000000000005</v>
      </c>
      <c r="U199" s="181">
        <v>101144236.42079999</v>
      </c>
      <c r="V199" s="181">
        <v>15360251566093.49</v>
      </c>
    </row>
    <row r="200" spans="1:22">
      <c r="A200" s="2" t="s">
        <v>415</v>
      </c>
      <c r="B200" s="2" t="s">
        <v>416</v>
      </c>
      <c r="C200" s="181">
        <v>453.8888</v>
      </c>
      <c r="D200" s="181">
        <v>57806.335999999996</v>
      </c>
      <c r="E200" s="181">
        <v>414.02</v>
      </c>
      <c r="F200" s="181">
        <v>335.28</v>
      </c>
      <c r="G200" s="181">
        <v>41.401999999999994</v>
      </c>
      <c r="H200" s="181">
        <v>68.833999999999989</v>
      </c>
      <c r="I200" s="181">
        <v>0</v>
      </c>
      <c r="J200" s="181">
        <v>23.241</v>
      </c>
      <c r="K200" s="181">
        <v>2.4500000000000002</v>
      </c>
      <c r="L200" s="181">
        <v>5.98</v>
      </c>
      <c r="M200" s="181">
        <v>1477621560.8799999</v>
      </c>
      <c r="N200" s="181">
        <v>8799853.3679999989</v>
      </c>
      <c r="O200" s="181">
        <v>7128372.8399999989</v>
      </c>
      <c r="P200" s="181">
        <v>159.76599999999999</v>
      </c>
      <c r="Q200" s="181">
        <v>437042996.87999994</v>
      </c>
      <c r="R200" s="181">
        <v>3998443.6159999995</v>
      </c>
      <c r="S200" s="181">
        <v>2605543.176</v>
      </c>
      <c r="T200" s="181">
        <v>86.867999999999995</v>
      </c>
      <c r="U200" s="181">
        <v>77002813.735999987</v>
      </c>
      <c r="V200" s="181">
        <v>13077696700502.674</v>
      </c>
    </row>
    <row r="201" spans="1:22">
      <c r="A201" s="2" t="s">
        <v>417</v>
      </c>
      <c r="B201" s="2" t="s">
        <v>418</v>
      </c>
      <c r="C201" s="181">
        <v>415.19664</v>
      </c>
      <c r="D201" s="181">
        <v>52838.603999999999</v>
      </c>
      <c r="E201" s="181">
        <v>403.86</v>
      </c>
      <c r="F201" s="181">
        <v>332.73999999999995</v>
      </c>
      <c r="G201" s="181">
        <v>38.862000000000002</v>
      </c>
      <c r="H201" s="181">
        <v>62.738</v>
      </c>
      <c r="I201" s="181">
        <v>0</v>
      </c>
      <c r="J201" s="181">
        <v>22.986999999999995</v>
      </c>
      <c r="K201" s="181">
        <v>2.66</v>
      </c>
      <c r="L201" s="181">
        <v>6.35</v>
      </c>
      <c r="M201" s="181">
        <v>1294479733.6159999</v>
      </c>
      <c r="N201" s="181">
        <v>7882177.7839999991</v>
      </c>
      <c r="O201" s="181">
        <v>6440116.1519999998</v>
      </c>
      <c r="P201" s="181">
        <v>156.464</v>
      </c>
      <c r="Q201" s="181">
        <v>390008845.78719997</v>
      </c>
      <c r="R201" s="181">
        <v>3605154.0799999996</v>
      </c>
      <c r="S201" s="181">
        <v>2343350.1519999998</v>
      </c>
      <c r="T201" s="181">
        <v>85.85199999999999</v>
      </c>
      <c r="U201" s="181">
        <v>59521093.860799991</v>
      </c>
      <c r="V201" s="181">
        <v>11251652808030.021</v>
      </c>
    </row>
    <row r="202" spans="1:22">
      <c r="A202" s="2" t="s">
        <v>419</v>
      </c>
      <c r="B202" s="2" t="s">
        <v>420</v>
      </c>
      <c r="C202" s="181">
        <v>375.01632000000001</v>
      </c>
      <c r="D202" s="181">
        <v>47741.84</v>
      </c>
      <c r="E202" s="181">
        <v>391.15999999999997</v>
      </c>
      <c r="F202" s="181">
        <v>330.2</v>
      </c>
      <c r="G202" s="181">
        <v>35.559999999999995</v>
      </c>
      <c r="H202" s="181">
        <v>57.15</v>
      </c>
      <c r="I202" s="181">
        <v>0</v>
      </c>
      <c r="J202" s="181">
        <v>22.225000000000001</v>
      </c>
      <c r="K202" s="181">
        <v>2.89</v>
      </c>
      <c r="L202" s="181">
        <v>6.96</v>
      </c>
      <c r="M202" s="181">
        <v>1132149477.632</v>
      </c>
      <c r="N202" s="181">
        <v>7013663.3919999991</v>
      </c>
      <c r="O202" s="181">
        <v>5784633.5919999992</v>
      </c>
      <c r="P202" s="181">
        <v>153.92399999999998</v>
      </c>
      <c r="Q202" s="181">
        <v>344639620.39679998</v>
      </c>
      <c r="R202" s="181">
        <v>3211864.5439999998</v>
      </c>
      <c r="S202" s="181">
        <v>2081157.1279999998</v>
      </c>
      <c r="T202" s="181">
        <v>84.835999999999999</v>
      </c>
      <c r="U202" s="181">
        <v>44952993.964799993</v>
      </c>
      <c r="V202" s="181">
        <v>9613584022135.4355</v>
      </c>
    </row>
    <row r="203" spans="1:22">
      <c r="A203" s="2" t="s">
        <v>421</v>
      </c>
      <c r="B203" s="2" t="s">
        <v>422</v>
      </c>
      <c r="C203" s="181">
        <v>342.27679999999998</v>
      </c>
      <c r="D203" s="181">
        <v>43677.332000000002</v>
      </c>
      <c r="E203" s="181">
        <v>383.53999999999996</v>
      </c>
      <c r="F203" s="181">
        <v>327.65999999999997</v>
      </c>
      <c r="G203" s="181">
        <v>32.765999999999998</v>
      </c>
      <c r="H203" s="181">
        <v>52.577999999999996</v>
      </c>
      <c r="I203" s="181">
        <v>0</v>
      </c>
      <c r="J203" s="181">
        <v>22.034500000000001</v>
      </c>
      <c r="K203" s="181">
        <v>3.11</v>
      </c>
      <c r="L203" s="181">
        <v>7.56</v>
      </c>
      <c r="M203" s="181">
        <v>1007280049.9519999</v>
      </c>
      <c r="N203" s="181">
        <v>6325406.703999999</v>
      </c>
      <c r="O203" s="181">
        <v>5260247.5439999998</v>
      </c>
      <c r="P203" s="181">
        <v>151.63799999999998</v>
      </c>
      <c r="Q203" s="181">
        <v>308843717.79519999</v>
      </c>
      <c r="R203" s="181">
        <v>2900510.3279999997</v>
      </c>
      <c r="S203" s="181">
        <v>1884512.3599999999</v>
      </c>
      <c r="T203" s="181">
        <v>84.073999999999998</v>
      </c>
      <c r="U203" s="181">
        <v>34880193.465279996</v>
      </c>
      <c r="V203" s="181">
        <v>8405172622705.0039</v>
      </c>
    </row>
    <row r="204" spans="1:22">
      <c r="A204" s="2" t="s">
        <v>423</v>
      </c>
      <c r="B204" s="2" t="s">
        <v>424</v>
      </c>
      <c r="C204" s="181">
        <v>312.5136</v>
      </c>
      <c r="D204" s="181">
        <v>39870.887999999999</v>
      </c>
      <c r="E204" s="181">
        <v>373.37999999999994</v>
      </c>
      <c r="F204" s="181">
        <v>325.12</v>
      </c>
      <c r="G204" s="181">
        <v>29.971999999999998</v>
      </c>
      <c r="H204" s="181">
        <v>48.26</v>
      </c>
      <c r="I204" s="181">
        <v>0</v>
      </c>
      <c r="J204" s="181">
        <v>23.177500000000002</v>
      </c>
      <c r="K204" s="181">
        <v>3.37</v>
      </c>
      <c r="L204" s="181">
        <v>8.23</v>
      </c>
      <c r="M204" s="181">
        <v>890735250.78399992</v>
      </c>
      <c r="N204" s="181">
        <v>5702698.2719999999</v>
      </c>
      <c r="O204" s="181">
        <v>4785022.6879999992</v>
      </c>
      <c r="P204" s="181">
        <v>149.60599999999999</v>
      </c>
      <c r="Q204" s="181">
        <v>276377666.5984</v>
      </c>
      <c r="R204" s="181">
        <v>2605543.176</v>
      </c>
      <c r="S204" s="181">
        <v>1704254.656</v>
      </c>
      <c r="T204" s="181">
        <v>83.311999999999983</v>
      </c>
      <c r="U204" s="181">
        <v>26930173.23632</v>
      </c>
      <c r="V204" s="181">
        <v>7304175569890.6104</v>
      </c>
    </row>
    <row r="205" spans="1:22">
      <c r="A205" s="2" t="s">
        <v>425</v>
      </c>
      <c r="B205" s="2" t="s">
        <v>426</v>
      </c>
      <c r="C205" s="181">
        <v>282.75040000000001</v>
      </c>
      <c r="D205" s="181">
        <v>35999.928</v>
      </c>
      <c r="E205" s="181">
        <v>365.76</v>
      </c>
      <c r="F205" s="181">
        <v>322.58</v>
      </c>
      <c r="G205" s="181">
        <v>26.923999999999999</v>
      </c>
      <c r="H205" s="181">
        <v>44.195999999999998</v>
      </c>
      <c r="I205" s="181">
        <v>0</v>
      </c>
      <c r="J205" s="181">
        <v>22.478999999999999</v>
      </c>
      <c r="K205" s="181">
        <v>3.65</v>
      </c>
      <c r="L205" s="181">
        <v>9.16</v>
      </c>
      <c r="M205" s="181">
        <v>786677394.38399994</v>
      </c>
      <c r="N205" s="181">
        <v>5096376.9039999992</v>
      </c>
      <c r="O205" s="181">
        <v>4309797.8319999995</v>
      </c>
      <c r="P205" s="181">
        <v>147.828</v>
      </c>
      <c r="Q205" s="181">
        <v>245160309.67839998</v>
      </c>
      <c r="R205" s="181">
        <v>2343350.1519999998</v>
      </c>
      <c r="S205" s="181">
        <v>1523996.9519999998</v>
      </c>
      <c r="T205" s="181">
        <v>82.55</v>
      </c>
      <c r="U205" s="181">
        <v>20312093.569279999</v>
      </c>
      <c r="V205" s="181">
        <v>6310592863692.2559</v>
      </c>
    </row>
    <row r="206" spans="1:22">
      <c r="A206" s="2" t="s">
        <v>427</v>
      </c>
      <c r="B206" s="2" t="s">
        <v>428</v>
      </c>
      <c r="C206" s="181">
        <v>252.9872</v>
      </c>
      <c r="D206" s="181">
        <v>32258</v>
      </c>
      <c r="E206" s="181">
        <v>355.59999999999997</v>
      </c>
      <c r="F206" s="181">
        <v>320.03999999999996</v>
      </c>
      <c r="G206" s="181">
        <v>24.383999999999997</v>
      </c>
      <c r="H206" s="181">
        <v>39.624000000000002</v>
      </c>
      <c r="I206" s="181">
        <v>0</v>
      </c>
      <c r="J206" s="181">
        <v>22.288499999999992</v>
      </c>
      <c r="K206" s="181">
        <v>4.03</v>
      </c>
      <c r="L206" s="181">
        <v>10.1</v>
      </c>
      <c r="M206" s="181">
        <v>686781852.23999989</v>
      </c>
      <c r="N206" s="181">
        <v>4506442.5999999996</v>
      </c>
      <c r="O206" s="181">
        <v>3850960.0399999996</v>
      </c>
      <c r="P206" s="181">
        <v>145.79599999999999</v>
      </c>
      <c r="Q206" s="181">
        <v>215191647.03519997</v>
      </c>
      <c r="R206" s="181">
        <v>2064770.0639999998</v>
      </c>
      <c r="S206" s="181">
        <v>1348655.3671999997</v>
      </c>
      <c r="T206" s="181">
        <v>81.787999999999997</v>
      </c>
      <c r="U206" s="181">
        <v>14817838.751359999</v>
      </c>
      <c r="V206" s="181">
        <v>5397570917455.9297</v>
      </c>
    </row>
    <row r="207" spans="1:22">
      <c r="A207" s="2" t="s">
        <v>429</v>
      </c>
      <c r="B207" s="2" t="s">
        <v>430</v>
      </c>
      <c r="C207" s="181">
        <v>226.20031999999998</v>
      </c>
      <c r="D207" s="181">
        <v>28838.652000000002</v>
      </c>
      <c r="E207" s="181">
        <v>347.97999999999996</v>
      </c>
      <c r="F207" s="181">
        <v>317.5</v>
      </c>
      <c r="G207" s="181">
        <v>22.097999999999999</v>
      </c>
      <c r="H207" s="181">
        <v>35.559999999999995</v>
      </c>
      <c r="I207" s="181">
        <v>0</v>
      </c>
      <c r="J207" s="181">
        <v>23.177500000000002</v>
      </c>
      <c r="K207" s="181">
        <v>4.46</v>
      </c>
      <c r="L207" s="181">
        <v>11.2</v>
      </c>
      <c r="M207" s="181">
        <v>595210938.60799992</v>
      </c>
      <c r="N207" s="181">
        <v>3982056.5519999997</v>
      </c>
      <c r="O207" s="181">
        <v>3424896.3759999997</v>
      </c>
      <c r="P207" s="181">
        <v>143.76399999999998</v>
      </c>
      <c r="Q207" s="181">
        <v>188969067.22239998</v>
      </c>
      <c r="R207" s="181">
        <v>1818964.1039999998</v>
      </c>
      <c r="S207" s="181">
        <v>1192978.2591999997</v>
      </c>
      <c r="T207" s="181">
        <v>81.025999999999996</v>
      </c>
      <c r="U207" s="181">
        <v>10738770.780479999</v>
      </c>
      <c r="V207" s="181">
        <v>4618816904489.6514</v>
      </c>
    </row>
    <row r="208" spans="1:22">
      <c r="A208" s="2" t="s">
        <v>431</v>
      </c>
      <c r="B208" s="2" t="s">
        <v>432</v>
      </c>
      <c r="C208" s="181">
        <v>202.38976</v>
      </c>
      <c r="D208" s="181">
        <v>25741.883999999998</v>
      </c>
      <c r="E208" s="181">
        <v>340.36</v>
      </c>
      <c r="F208" s="181">
        <v>314.95999999999998</v>
      </c>
      <c r="G208" s="181">
        <v>20.065999999999999</v>
      </c>
      <c r="H208" s="181">
        <v>31.75</v>
      </c>
      <c r="I208" s="181">
        <v>0</v>
      </c>
      <c r="J208" s="181">
        <v>22.224999999999994</v>
      </c>
      <c r="K208" s="181">
        <v>4.96</v>
      </c>
      <c r="L208" s="181">
        <v>12.3</v>
      </c>
      <c r="M208" s="181">
        <v>516126967.74399996</v>
      </c>
      <c r="N208" s="181">
        <v>3506831.6959999995</v>
      </c>
      <c r="O208" s="181">
        <v>3047993.9039999996</v>
      </c>
      <c r="P208" s="181">
        <v>141.732</v>
      </c>
      <c r="Q208" s="181">
        <v>165660107.3888</v>
      </c>
      <c r="R208" s="181">
        <v>1605932.2719999999</v>
      </c>
      <c r="S208" s="181">
        <v>1052049.5088</v>
      </c>
      <c r="T208" s="181">
        <v>80.263999999999996</v>
      </c>
      <c r="U208" s="181">
        <v>7700281.3735999996</v>
      </c>
      <c r="V208" s="181">
        <v>3947477238139.4111</v>
      </c>
    </row>
    <row r="209" spans="1:22">
      <c r="A209" s="2" t="s">
        <v>433</v>
      </c>
      <c r="B209" s="2" t="s">
        <v>434</v>
      </c>
      <c r="C209" s="181">
        <v>178.57919999999999</v>
      </c>
      <c r="D209" s="181">
        <v>22774.147999999997</v>
      </c>
      <c r="E209" s="181">
        <v>332.73999999999995</v>
      </c>
      <c r="F209" s="181">
        <v>312.42</v>
      </c>
      <c r="G209" s="181">
        <v>18.033999999999999</v>
      </c>
      <c r="H209" s="181">
        <v>28.194000000000003</v>
      </c>
      <c r="I209" s="181">
        <v>0</v>
      </c>
      <c r="J209" s="181">
        <v>22.605999999999995</v>
      </c>
      <c r="K209" s="181">
        <v>5.57</v>
      </c>
      <c r="L209" s="181">
        <v>13.7</v>
      </c>
      <c r="M209" s="181">
        <v>445367625.39199996</v>
      </c>
      <c r="N209" s="181">
        <v>3047993.9039999996</v>
      </c>
      <c r="O209" s="181">
        <v>2671091.4319999996</v>
      </c>
      <c r="P209" s="181">
        <v>139.95399999999998</v>
      </c>
      <c r="Q209" s="181">
        <v>143599841.83199999</v>
      </c>
      <c r="R209" s="181">
        <v>1399455.2656</v>
      </c>
      <c r="S209" s="181">
        <v>917675.58399999992</v>
      </c>
      <c r="T209" s="181">
        <v>79.501999999999995</v>
      </c>
      <c r="U209" s="181">
        <v>5369385.3902399996</v>
      </c>
      <c r="V209" s="181">
        <v>3356698331751.1997</v>
      </c>
    </row>
    <row r="210" spans="1:22">
      <c r="A210" s="2" t="s">
        <v>435</v>
      </c>
      <c r="B210" s="2" t="s">
        <v>436</v>
      </c>
      <c r="C210" s="181">
        <v>157.74495999999999</v>
      </c>
      <c r="D210" s="181">
        <v>20128.991999999998</v>
      </c>
      <c r="E210" s="181">
        <v>327.65999999999997</v>
      </c>
      <c r="F210" s="181">
        <v>309.87999999999994</v>
      </c>
      <c r="G210" s="181">
        <v>15.493999999999998</v>
      </c>
      <c r="H210" s="181">
        <v>25.145999999999997</v>
      </c>
      <c r="I210" s="181">
        <v>0</v>
      </c>
      <c r="J210" s="181">
        <v>22.479000000000003</v>
      </c>
      <c r="K210" s="181">
        <v>6.17</v>
      </c>
      <c r="L210" s="181">
        <v>15.9</v>
      </c>
      <c r="M210" s="181">
        <v>388343920.08479995</v>
      </c>
      <c r="N210" s="181">
        <v>2687478.4959999998</v>
      </c>
      <c r="O210" s="181">
        <v>2376124.2799999998</v>
      </c>
      <c r="P210" s="181">
        <v>138.93799999999999</v>
      </c>
      <c r="Q210" s="181">
        <v>125285659.10559998</v>
      </c>
      <c r="R210" s="181">
        <v>1230668.5063999998</v>
      </c>
      <c r="S210" s="181">
        <v>807882.2551999999</v>
      </c>
      <c r="T210" s="181">
        <v>78.993999999999986</v>
      </c>
      <c r="U210" s="181">
        <v>3800192.915728</v>
      </c>
      <c r="V210" s="181">
        <v>2873333771979.0269</v>
      </c>
    </row>
    <row r="211" spans="1:22">
      <c r="A211" s="2" t="s">
        <v>437</v>
      </c>
      <c r="B211" s="2" t="s">
        <v>438</v>
      </c>
      <c r="C211" s="181">
        <v>142.86336</v>
      </c>
      <c r="D211" s="181">
        <v>18193.511999999999</v>
      </c>
      <c r="E211" s="181">
        <v>322.58</v>
      </c>
      <c r="F211" s="181">
        <v>309.87999999999994</v>
      </c>
      <c r="G211" s="181">
        <v>13.97</v>
      </c>
      <c r="H211" s="181">
        <v>22.86</v>
      </c>
      <c r="I211" s="181">
        <v>0</v>
      </c>
      <c r="J211" s="181">
        <v>23.177499999999995</v>
      </c>
      <c r="K211" s="181">
        <v>6.76</v>
      </c>
      <c r="L211" s="181">
        <v>17.7</v>
      </c>
      <c r="M211" s="181">
        <v>346720777.52479994</v>
      </c>
      <c r="N211" s="181">
        <v>2408898.4079999998</v>
      </c>
      <c r="O211" s="181">
        <v>2146705.3839999996</v>
      </c>
      <c r="P211" s="181">
        <v>138.17600000000002</v>
      </c>
      <c r="Q211" s="181">
        <v>112382484.91199999</v>
      </c>
      <c r="R211" s="181">
        <v>1106126.8199999998</v>
      </c>
      <c r="S211" s="181">
        <v>727585.64159999986</v>
      </c>
      <c r="T211" s="181">
        <v>78.48599999999999</v>
      </c>
      <c r="U211" s="181">
        <v>2851185.2653599996</v>
      </c>
      <c r="V211" s="181">
        <v>2526922504142.3032</v>
      </c>
    </row>
    <row r="212" spans="1:22">
      <c r="A212" s="2" t="s">
        <v>439</v>
      </c>
      <c r="B212" s="2" t="s">
        <v>440</v>
      </c>
      <c r="C212" s="181">
        <v>129.46992</v>
      </c>
      <c r="D212" s="181">
        <v>16516.096000000001</v>
      </c>
      <c r="E212" s="181">
        <v>317.5</v>
      </c>
      <c r="F212" s="181">
        <v>307.33999999999997</v>
      </c>
      <c r="G212" s="181">
        <v>13.081</v>
      </c>
      <c r="H212" s="181">
        <v>20.574000000000002</v>
      </c>
      <c r="I212" s="181">
        <v>0</v>
      </c>
      <c r="J212" s="181">
        <v>22.288499999999996</v>
      </c>
      <c r="K212" s="181">
        <v>7.48</v>
      </c>
      <c r="L212" s="181">
        <v>18.899999999999999</v>
      </c>
      <c r="M212" s="181">
        <v>308011254.94399995</v>
      </c>
      <c r="N212" s="181">
        <v>2163092.4479999999</v>
      </c>
      <c r="O212" s="181">
        <v>1933673.5519999999</v>
      </c>
      <c r="P212" s="181">
        <v>136.65199999999999</v>
      </c>
      <c r="Q212" s="181">
        <v>100311773.56959999</v>
      </c>
      <c r="R212" s="181">
        <v>989778.66559999983</v>
      </c>
      <c r="S212" s="181">
        <v>650566.44079999998</v>
      </c>
      <c r="T212" s="181">
        <v>77.977999999999994</v>
      </c>
      <c r="U212" s="181">
        <v>2122780.2705599996</v>
      </c>
      <c r="V212" s="181">
        <v>2223476974951.9946</v>
      </c>
    </row>
    <row r="213" spans="1:22">
      <c r="A213" s="2" t="s">
        <v>441</v>
      </c>
      <c r="B213" s="2" t="s">
        <v>442</v>
      </c>
      <c r="C213" s="181">
        <v>117.56464</v>
      </c>
      <c r="D213" s="181">
        <v>14967.712</v>
      </c>
      <c r="E213" s="181">
        <v>314.95999999999998</v>
      </c>
      <c r="F213" s="181">
        <v>307.33999999999997</v>
      </c>
      <c r="G213" s="181">
        <v>11.937999999999999</v>
      </c>
      <c r="H213" s="181">
        <v>18.668999999999997</v>
      </c>
      <c r="I213" s="181">
        <v>0</v>
      </c>
      <c r="J213" s="181">
        <v>22.606000000000002</v>
      </c>
      <c r="K213" s="181">
        <v>8.2200000000000006</v>
      </c>
      <c r="L213" s="181">
        <v>20.7</v>
      </c>
      <c r="M213" s="181">
        <v>275545203.74719995</v>
      </c>
      <c r="N213" s="181">
        <v>1950060.6159999999</v>
      </c>
      <c r="O213" s="181">
        <v>1753415.8479999998</v>
      </c>
      <c r="P213" s="181">
        <v>135.636</v>
      </c>
      <c r="Q213" s="181">
        <v>89905987.929599985</v>
      </c>
      <c r="R213" s="181">
        <v>889817.57519999985</v>
      </c>
      <c r="S213" s="181">
        <v>586656.89119999995</v>
      </c>
      <c r="T213" s="181">
        <v>77.469999999999985</v>
      </c>
      <c r="U213" s="181">
        <v>1598328.6743039999</v>
      </c>
      <c r="V213" s="181">
        <v>1965682543073.5027</v>
      </c>
    </row>
    <row r="214" spans="1:22">
      <c r="A214" s="2" t="s">
        <v>443</v>
      </c>
      <c r="B214" s="2" t="s">
        <v>444</v>
      </c>
      <c r="C214" s="181">
        <v>107.14752</v>
      </c>
      <c r="D214" s="181">
        <v>13612.876</v>
      </c>
      <c r="E214" s="181">
        <v>312.42</v>
      </c>
      <c r="F214" s="181">
        <v>304.79999999999995</v>
      </c>
      <c r="G214" s="181">
        <v>10.921999999999999</v>
      </c>
      <c r="H214" s="181">
        <v>17.018000000000001</v>
      </c>
      <c r="I214" s="181">
        <v>0</v>
      </c>
      <c r="J214" s="181">
        <v>22.669499999999999</v>
      </c>
      <c r="K214" s="181">
        <v>8.99</v>
      </c>
      <c r="L214" s="181">
        <v>22.6</v>
      </c>
      <c r="M214" s="181">
        <v>248490161.08319998</v>
      </c>
      <c r="N214" s="181">
        <v>1769802.9119999998</v>
      </c>
      <c r="O214" s="181">
        <v>1596100.0336</v>
      </c>
      <c r="P214" s="181">
        <v>134.874</v>
      </c>
      <c r="Q214" s="181">
        <v>81165127.991999999</v>
      </c>
      <c r="R214" s="181">
        <v>806243.54879999999</v>
      </c>
      <c r="S214" s="181">
        <v>530940.87359999993</v>
      </c>
      <c r="T214" s="181">
        <v>77.215999999999994</v>
      </c>
      <c r="U214" s="181">
        <v>1219558.0770079999</v>
      </c>
      <c r="V214" s="181">
        <v>1756224567172.2278</v>
      </c>
    </row>
    <row r="215" spans="1:22">
      <c r="A215" s="2" t="s">
        <v>445</v>
      </c>
      <c r="B215" s="2" t="s">
        <v>446</v>
      </c>
      <c r="C215" s="181">
        <v>96.730399999999989</v>
      </c>
      <c r="D215" s="181">
        <v>12322.556</v>
      </c>
      <c r="E215" s="181">
        <v>307.33999999999997</v>
      </c>
      <c r="F215" s="181">
        <v>304.79999999999995</v>
      </c>
      <c r="G215" s="181">
        <v>9.9060000000000006</v>
      </c>
      <c r="H215" s="181">
        <v>15.366999999999999</v>
      </c>
      <c r="I215" s="181">
        <v>0</v>
      </c>
      <c r="J215" s="181">
        <v>22.732999999999997</v>
      </c>
      <c r="K215" s="181">
        <v>9.92</v>
      </c>
      <c r="L215" s="181">
        <v>24.9</v>
      </c>
      <c r="M215" s="181">
        <v>221851349.84479997</v>
      </c>
      <c r="N215" s="181">
        <v>1586267.7951999998</v>
      </c>
      <c r="O215" s="181">
        <v>1440422.9256</v>
      </c>
      <c r="P215" s="181">
        <v>134.11199999999999</v>
      </c>
      <c r="Q215" s="181">
        <v>72424268.054399997</v>
      </c>
      <c r="R215" s="181">
        <v>722669.5223999999</v>
      </c>
      <c r="S215" s="181">
        <v>476863.5624</v>
      </c>
      <c r="T215" s="181">
        <v>76.707999999999998</v>
      </c>
      <c r="U215" s="181">
        <v>907384.50780799997</v>
      </c>
      <c r="V215" s="181">
        <v>1549451949936.3538</v>
      </c>
    </row>
    <row r="216" spans="1:22">
      <c r="A216" s="2" t="s">
        <v>447</v>
      </c>
      <c r="B216" s="2" t="s">
        <v>448</v>
      </c>
      <c r="C216" s="181">
        <v>86.313279999999992</v>
      </c>
      <c r="D216" s="181">
        <v>10967.72</v>
      </c>
      <c r="E216" s="181">
        <v>309.87999999999994</v>
      </c>
      <c r="F216" s="181">
        <v>254</v>
      </c>
      <c r="G216" s="181">
        <v>9.1439999999999984</v>
      </c>
      <c r="H216" s="181">
        <v>16.256</v>
      </c>
      <c r="I216" s="181">
        <v>0</v>
      </c>
      <c r="J216" s="181">
        <v>21.843999999999994</v>
      </c>
      <c r="K216" s="181">
        <v>7.82</v>
      </c>
      <c r="L216" s="181">
        <v>27</v>
      </c>
      <c r="M216" s="181">
        <v>197709927.15999997</v>
      </c>
      <c r="N216" s="181">
        <v>1415842.3296000001</v>
      </c>
      <c r="O216" s="181">
        <v>1278190.9919999999</v>
      </c>
      <c r="P216" s="181">
        <v>134.11199999999999</v>
      </c>
      <c r="Q216" s="181">
        <v>44536762.539199993</v>
      </c>
      <c r="R216" s="181">
        <v>532579.57999999996</v>
      </c>
      <c r="S216" s="181">
        <v>350683.16959999996</v>
      </c>
      <c r="T216" s="181">
        <v>63.753999999999991</v>
      </c>
      <c r="U216" s="181">
        <v>874085.99375999998</v>
      </c>
      <c r="V216" s="181">
        <v>958673043548.1427</v>
      </c>
    </row>
    <row r="217" spans="1:22">
      <c r="A217" s="2" t="s">
        <v>449</v>
      </c>
      <c r="B217" s="2" t="s">
        <v>450</v>
      </c>
      <c r="C217" s="181">
        <v>78.872479999999996</v>
      </c>
      <c r="D217" s="181">
        <v>10064.495999999999</v>
      </c>
      <c r="E217" s="181">
        <v>307.33999999999997</v>
      </c>
      <c r="F217" s="181">
        <v>253.74599999999998</v>
      </c>
      <c r="G217" s="181">
        <v>8.7629999999999981</v>
      </c>
      <c r="H217" s="181">
        <v>14.604999999999999</v>
      </c>
      <c r="I217" s="181">
        <v>0</v>
      </c>
      <c r="J217" s="181">
        <v>20.32</v>
      </c>
      <c r="K217" s="181">
        <v>8.69</v>
      </c>
      <c r="L217" s="181">
        <v>28.1</v>
      </c>
      <c r="M217" s="181">
        <v>176898355.88</v>
      </c>
      <c r="N217" s="181">
        <v>1276552.2856000001</v>
      </c>
      <c r="O217" s="181">
        <v>1156926.7183999999</v>
      </c>
      <c r="P217" s="181">
        <v>132.84200000000001</v>
      </c>
      <c r="Q217" s="181">
        <v>39874970.572479993</v>
      </c>
      <c r="R217" s="181">
        <v>476863.5624</v>
      </c>
      <c r="S217" s="181">
        <v>314631.62879999995</v>
      </c>
      <c r="T217" s="181">
        <v>62.991999999999997</v>
      </c>
      <c r="U217" s="181">
        <v>657645.65244799992</v>
      </c>
      <c r="V217" s="181">
        <v>848573338266.70337</v>
      </c>
    </row>
    <row r="218" spans="1:22">
      <c r="A218" s="2" t="s">
        <v>451</v>
      </c>
      <c r="B218" s="2" t="s">
        <v>452</v>
      </c>
      <c r="C218" s="181">
        <v>74.408000000000001</v>
      </c>
      <c r="D218" s="181">
        <v>9419.3359999999993</v>
      </c>
      <c r="E218" s="181">
        <v>309.87999999999994</v>
      </c>
      <c r="F218" s="181">
        <v>205.232</v>
      </c>
      <c r="G218" s="181">
        <v>9.3979999999999997</v>
      </c>
      <c r="H218" s="181">
        <v>16.256</v>
      </c>
      <c r="I218" s="181">
        <v>0</v>
      </c>
      <c r="J218" s="181">
        <v>21.843999999999994</v>
      </c>
      <c r="K218" s="181">
        <v>6.31</v>
      </c>
      <c r="L218" s="181">
        <v>26.8</v>
      </c>
      <c r="M218" s="181">
        <v>162746487.40959999</v>
      </c>
      <c r="N218" s="181">
        <v>1178229.9016</v>
      </c>
      <c r="O218" s="181">
        <v>1052049.5088</v>
      </c>
      <c r="P218" s="181">
        <v>131.57199999999997</v>
      </c>
      <c r="Q218" s="181">
        <v>23433829.261279996</v>
      </c>
      <c r="R218" s="181">
        <v>349044.4632</v>
      </c>
      <c r="S218" s="181">
        <v>227780.18959999998</v>
      </c>
      <c r="T218" s="181">
        <v>49.783999999999999</v>
      </c>
      <c r="U218" s="181">
        <v>711755.73777599994</v>
      </c>
      <c r="V218" s="181">
        <v>504847429095.38043</v>
      </c>
    </row>
    <row r="219" spans="1:22">
      <c r="A219" s="2" t="s">
        <v>453</v>
      </c>
      <c r="B219" s="2" t="s">
        <v>454</v>
      </c>
      <c r="C219" s="181">
        <v>66.967199999999991</v>
      </c>
      <c r="D219" s="181">
        <v>8451.5959999999995</v>
      </c>
      <c r="E219" s="181">
        <v>307.33999999999997</v>
      </c>
      <c r="F219" s="181">
        <v>204.47</v>
      </c>
      <c r="G219" s="181">
        <v>8.5090000000000003</v>
      </c>
      <c r="H219" s="181">
        <v>14.604999999999999</v>
      </c>
      <c r="I219" s="181">
        <v>0</v>
      </c>
      <c r="J219" s="181">
        <v>20.32</v>
      </c>
      <c r="K219" s="181">
        <v>7</v>
      </c>
      <c r="L219" s="181">
        <v>29.6</v>
      </c>
      <c r="M219" s="181">
        <v>144848536.10879999</v>
      </c>
      <c r="N219" s="181">
        <v>1052049.5088</v>
      </c>
      <c r="O219" s="181">
        <v>945533.59279999998</v>
      </c>
      <c r="P219" s="181">
        <v>130.81</v>
      </c>
      <c r="Q219" s="181">
        <v>20811571.279999997</v>
      </c>
      <c r="R219" s="181">
        <v>311354.21599999996</v>
      </c>
      <c r="S219" s="181">
        <v>203199.59359999999</v>
      </c>
      <c r="T219" s="181">
        <v>49.529999999999994</v>
      </c>
      <c r="U219" s="181">
        <v>524451.59625599999</v>
      </c>
      <c r="V219" s="181">
        <v>443084179791.15839</v>
      </c>
    </row>
    <row r="220" spans="1:22">
      <c r="A220" s="2" t="s">
        <v>455</v>
      </c>
      <c r="B220" s="2" t="s">
        <v>456</v>
      </c>
      <c r="C220" s="181">
        <v>59.526399999999995</v>
      </c>
      <c r="D220" s="181">
        <v>7548.3719999999994</v>
      </c>
      <c r="E220" s="181">
        <v>302.26</v>
      </c>
      <c r="F220" s="181">
        <v>203.45399999999998</v>
      </c>
      <c r="G220" s="181">
        <v>7.4929999999999994</v>
      </c>
      <c r="H220" s="181">
        <v>13.081</v>
      </c>
      <c r="I220" s="181">
        <v>0</v>
      </c>
      <c r="J220" s="181">
        <v>21.843999999999998</v>
      </c>
      <c r="K220" s="181">
        <v>7.77</v>
      </c>
      <c r="L220" s="181">
        <v>33.6</v>
      </c>
      <c r="M220" s="181">
        <v>127783047.65919998</v>
      </c>
      <c r="N220" s="181">
        <v>934062.64799999993</v>
      </c>
      <c r="O220" s="181">
        <v>843933.79599999997</v>
      </c>
      <c r="P220" s="181">
        <v>130.30199999999999</v>
      </c>
      <c r="Q220" s="181">
        <v>18355805.868960001</v>
      </c>
      <c r="R220" s="181">
        <v>275302.6752</v>
      </c>
      <c r="S220" s="181">
        <v>180257.70399999997</v>
      </c>
      <c r="T220" s="181">
        <v>49.275999999999996</v>
      </c>
      <c r="U220" s="181">
        <v>377105.67159359995</v>
      </c>
      <c r="V220" s="181">
        <v>386691647817.73822</v>
      </c>
    </row>
    <row r="221" spans="1:22">
      <c r="A221" s="2" t="s">
        <v>457</v>
      </c>
      <c r="B221" s="2" t="s">
        <v>458</v>
      </c>
      <c r="C221" s="181">
        <v>52.085599999999999</v>
      </c>
      <c r="D221" s="181">
        <v>6645.1480000000001</v>
      </c>
      <c r="E221" s="181">
        <v>317.5</v>
      </c>
      <c r="F221" s="181">
        <v>166.62399999999997</v>
      </c>
      <c r="G221" s="181">
        <v>7.6199999999999992</v>
      </c>
      <c r="H221" s="181">
        <v>13.208</v>
      </c>
      <c r="I221" s="181">
        <v>0</v>
      </c>
      <c r="J221" s="181">
        <v>16.954499999999996</v>
      </c>
      <c r="K221" s="181">
        <v>6.31</v>
      </c>
      <c r="L221" s="181">
        <v>36.200000000000003</v>
      </c>
      <c r="M221" s="181">
        <v>118625956.29599999</v>
      </c>
      <c r="N221" s="181">
        <v>839017.67680000002</v>
      </c>
      <c r="O221" s="181">
        <v>747250.11839999992</v>
      </c>
      <c r="P221" s="181">
        <v>133.35</v>
      </c>
      <c r="Q221" s="181">
        <v>10197669.927199999</v>
      </c>
      <c r="R221" s="181">
        <v>188451.23599999998</v>
      </c>
      <c r="S221" s="181">
        <v>122411.36807999999</v>
      </c>
      <c r="T221" s="181">
        <v>39.116</v>
      </c>
      <c r="U221" s="181">
        <v>308427.48636959994</v>
      </c>
      <c r="V221" s="181">
        <v>236043026688.74438</v>
      </c>
    </row>
    <row r="222" spans="1:22">
      <c r="A222" s="2" t="s">
        <v>459</v>
      </c>
      <c r="B222" s="2" t="s">
        <v>460</v>
      </c>
      <c r="C222" s="181">
        <v>44.644799999999996</v>
      </c>
      <c r="D222" s="181">
        <v>5670.9563999999991</v>
      </c>
      <c r="E222" s="181">
        <v>312.42</v>
      </c>
      <c r="F222" s="181">
        <v>165.60799999999998</v>
      </c>
      <c r="G222" s="181">
        <v>6.6040000000000001</v>
      </c>
      <c r="H222" s="181">
        <v>11.176</v>
      </c>
      <c r="I222" s="181">
        <v>0</v>
      </c>
      <c r="J222" s="181">
        <v>17.399000000000001</v>
      </c>
      <c r="K222" s="181">
        <v>7.41</v>
      </c>
      <c r="L222" s="181">
        <v>41.8</v>
      </c>
      <c r="M222" s="181">
        <v>99063079.292799994</v>
      </c>
      <c r="N222" s="181">
        <v>706282.4584</v>
      </c>
      <c r="O222" s="181">
        <v>632540.67039999994</v>
      </c>
      <c r="P222" s="181">
        <v>132.334</v>
      </c>
      <c r="Q222" s="181">
        <v>8449497.9396799989</v>
      </c>
      <c r="R222" s="181">
        <v>156660.33184</v>
      </c>
      <c r="S222" s="181">
        <v>102255.27936</v>
      </c>
      <c r="T222" s="181">
        <v>38.607999999999997</v>
      </c>
      <c r="U222" s="181">
        <v>190217.76149919999</v>
      </c>
      <c r="V222" s="181">
        <v>193077288042.32901</v>
      </c>
    </row>
    <row r="223" spans="1:22">
      <c r="A223" s="2" t="s">
        <v>461</v>
      </c>
      <c r="B223" s="2" t="s">
        <v>462</v>
      </c>
      <c r="C223" s="181">
        <v>38.692160000000001</v>
      </c>
      <c r="D223" s="181">
        <v>4935.4740000000002</v>
      </c>
      <c r="E223" s="181">
        <v>309.87999999999994</v>
      </c>
      <c r="F223" s="181">
        <v>164.846</v>
      </c>
      <c r="G223" s="181">
        <v>5.8419999999999996</v>
      </c>
      <c r="H223" s="181">
        <v>9.6519999999999992</v>
      </c>
      <c r="I223" s="181">
        <v>0</v>
      </c>
      <c r="J223" s="181">
        <v>17.335499999999996</v>
      </c>
      <c r="K223" s="181">
        <v>8.5399999999999991</v>
      </c>
      <c r="L223" s="181">
        <v>47.2</v>
      </c>
      <c r="M223" s="181">
        <v>84911210.822399989</v>
      </c>
      <c r="N223" s="181">
        <v>609598.78079999995</v>
      </c>
      <c r="O223" s="181">
        <v>547327.93759999995</v>
      </c>
      <c r="P223" s="181">
        <v>131.31799999999998</v>
      </c>
      <c r="Q223" s="181">
        <v>7200803.6628799997</v>
      </c>
      <c r="R223" s="181">
        <v>133882.31287999998</v>
      </c>
      <c r="S223" s="181">
        <v>87506.921759999983</v>
      </c>
      <c r="T223" s="181">
        <v>38.353999999999999</v>
      </c>
      <c r="U223" s="181">
        <v>124869.42767999998</v>
      </c>
      <c r="V223" s="181">
        <v>162732735123.29816</v>
      </c>
    </row>
    <row r="224" spans="1:22">
      <c r="A224" s="2" t="s">
        <v>463</v>
      </c>
      <c r="B224" s="2" t="s">
        <v>464</v>
      </c>
      <c r="C224" s="181">
        <v>32.739519999999999</v>
      </c>
      <c r="D224" s="181">
        <v>4180.6368000000002</v>
      </c>
      <c r="E224" s="181">
        <v>312.42</v>
      </c>
      <c r="F224" s="181">
        <v>102.36199999999999</v>
      </c>
      <c r="G224" s="181">
        <v>6.6040000000000001</v>
      </c>
      <c r="H224" s="181">
        <v>10.795</v>
      </c>
      <c r="I224" s="181">
        <v>0</v>
      </c>
      <c r="J224" s="181">
        <v>13.0175</v>
      </c>
      <c r="K224" s="181">
        <v>4.74</v>
      </c>
      <c r="L224" s="181">
        <v>41.8</v>
      </c>
      <c r="M224" s="181">
        <v>64932102.393599994</v>
      </c>
      <c r="N224" s="181">
        <v>480140.97519999999</v>
      </c>
      <c r="O224" s="181">
        <v>416231.42559999996</v>
      </c>
      <c r="P224" s="181">
        <v>124.714</v>
      </c>
      <c r="Q224" s="181">
        <v>1939638.4432959999</v>
      </c>
      <c r="R224" s="181">
        <v>59976.654239999996</v>
      </c>
      <c r="S224" s="181">
        <v>37854.117839999999</v>
      </c>
      <c r="T224" s="181">
        <v>21.539199999999997</v>
      </c>
      <c r="U224" s="181">
        <v>121955.80770079998</v>
      </c>
      <c r="V224" s="181">
        <v>44308417979.115837</v>
      </c>
    </row>
    <row r="225" spans="1:22">
      <c r="A225" s="2" t="s">
        <v>465</v>
      </c>
      <c r="B225" s="2" t="s">
        <v>466</v>
      </c>
      <c r="C225" s="181">
        <v>28.275039999999997</v>
      </c>
      <c r="D225" s="181">
        <v>3593.5412000000001</v>
      </c>
      <c r="E225" s="181">
        <v>309.87999999999994</v>
      </c>
      <c r="F225" s="181">
        <v>101.85399999999998</v>
      </c>
      <c r="G225" s="181">
        <v>5.9689999999999994</v>
      </c>
      <c r="H225" s="181">
        <v>8.8899999999999988</v>
      </c>
      <c r="I225" s="181">
        <v>0</v>
      </c>
      <c r="J225" s="181">
        <v>13.334999999999999</v>
      </c>
      <c r="K225" s="181">
        <v>5.72</v>
      </c>
      <c r="L225" s="181">
        <v>46.2</v>
      </c>
      <c r="M225" s="181">
        <v>54110085.327999994</v>
      </c>
      <c r="N225" s="181">
        <v>404760.48079999996</v>
      </c>
      <c r="O225" s="181">
        <v>349044.4632</v>
      </c>
      <c r="P225" s="181">
        <v>122.428</v>
      </c>
      <c r="Q225" s="181">
        <v>1565030.1602559998</v>
      </c>
      <c r="R225" s="181">
        <v>48833.450719999993</v>
      </c>
      <c r="S225" s="181">
        <v>30807.680319999996</v>
      </c>
      <c r="T225" s="181">
        <v>20.878799999999998</v>
      </c>
      <c r="U225" s="181">
        <v>74921.65660799999</v>
      </c>
      <c r="V225" s="181">
        <v>35178198516.752571</v>
      </c>
    </row>
    <row r="226" spans="1:22">
      <c r="A226" s="2" t="s">
        <v>467</v>
      </c>
      <c r="B226" s="2" t="s">
        <v>468</v>
      </c>
      <c r="C226" s="181">
        <v>23.810559999999999</v>
      </c>
      <c r="D226" s="181">
        <v>3038.7035999999998</v>
      </c>
      <c r="E226" s="181">
        <v>304.79999999999995</v>
      </c>
      <c r="F226" s="181">
        <v>101.346</v>
      </c>
      <c r="G226" s="181">
        <v>5.5880000000000001</v>
      </c>
      <c r="H226" s="181">
        <v>6.7309999999999999</v>
      </c>
      <c r="I226" s="181">
        <v>0</v>
      </c>
      <c r="J226" s="181">
        <v>13.906499999999999</v>
      </c>
      <c r="K226" s="181">
        <v>7.53</v>
      </c>
      <c r="L226" s="181">
        <v>49.4</v>
      </c>
      <c r="M226" s="181">
        <v>42871836.836799994</v>
      </c>
      <c r="N226" s="181">
        <v>329379.98639999999</v>
      </c>
      <c r="O226" s="181">
        <v>280218.79440000001</v>
      </c>
      <c r="P226" s="181">
        <v>118.61799999999999</v>
      </c>
      <c r="Q226" s="181">
        <v>1173772.6201919997</v>
      </c>
      <c r="R226" s="181">
        <v>37034.764639999994</v>
      </c>
      <c r="S226" s="181">
        <v>23105.760239999996</v>
      </c>
      <c r="T226" s="181">
        <v>19.6342</v>
      </c>
      <c r="U226" s="181">
        <v>42871.836836799994</v>
      </c>
      <c r="V226" s="181">
        <v>26021125467.735302</v>
      </c>
    </row>
    <row r="227" spans="1:22">
      <c r="A227" s="2" t="s">
        <v>469</v>
      </c>
      <c r="B227" s="2" t="s">
        <v>470</v>
      </c>
      <c r="C227" s="181">
        <v>20.834239999999998</v>
      </c>
      <c r="D227" s="181">
        <v>2683.8656000000001</v>
      </c>
      <c r="E227" s="181">
        <v>302.26</v>
      </c>
      <c r="F227" s="181">
        <v>100.83799999999999</v>
      </c>
      <c r="G227" s="181">
        <v>5.08</v>
      </c>
      <c r="H227" s="181">
        <v>5.7149999999999999</v>
      </c>
      <c r="I227" s="181">
        <v>0</v>
      </c>
      <c r="J227" s="181">
        <v>13.334999999999997</v>
      </c>
      <c r="K227" s="181">
        <v>8.82</v>
      </c>
      <c r="L227" s="181">
        <v>54.3</v>
      </c>
      <c r="M227" s="181">
        <v>36878104.308159992</v>
      </c>
      <c r="N227" s="181">
        <v>285134.91359999997</v>
      </c>
      <c r="O227" s="181">
        <v>244167.2536</v>
      </c>
      <c r="P227" s="181">
        <v>117.348</v>
      </c>
      <c r="Q227" s="181">
        <v>982306.1644159999</v>
      </c>
      <c r="R227" s="181">
        <v>31135.421599999994</v>
      </c>
      <c r="S227" s="181">
        <v>19500.606159999996</v>
      </c>
      <c r="T227" s="181">
        <v>19.126200000000001</v>
      </c>
      <c r="U227" s="181">
        <v>29302.692362239999</v>
      </c>
      <c r="V227" s="181">
        <v>21643990843.131737</v>
      </c>
    </row>
    <row r="228" spans="1:22">
      <c r="A228" s="2" t="s">
        <v>471</v>
      </c>
      <c r="B228" s="2" t="s">
        <v>472</v>
      </c>
      <c r="C228" s="181">
        <v>166.67391999999998</v>
      </c>
      <c r="D228" s="181">
        <v>21225.763999999999</v>
      </c>
      <c r="E228" s="181">
        <v>289.56</v>
      </c>
      <c r="F228" s="181">
        <v>264.15999999999997</v>
      </c>
      <c r="G228" s="181">
        <v>19.177</v>
      </c>
      <c r="H228" s="181">
        <v>31.75</v>
      </c>
      <c r="I228" s="181">
        <v>0</v>
      </c>
      <c r="J228" s="181">
        <v>17.462499999999999</v>
      </c>
      <c r="K228" s="181">
        <v>4.17</v>
      </c>
      <c r="L228" s="181">
        <v>10.4</v>
      </c>
      <c r="M228" s="181">
        <v>298021700.72959995</v>
      </c>
      <c r="N228" s="181">
        <v>2408898.4079999998</v>
      </c>
      <c r="O228" s="181">
        <v>2064770.0639999998</v>
      </c>
      <c r="P228" s="181">
        <v>118.36399999999999</v>
      </c>
      <c r="Q228" s="181">
        <v>98230616.441599995</v>
      </c>
      <c r="R228" s="181">
        <v>1133984.8288</v>
      </c>
      <c r="S228" s="181">
        <v>742333.99919999985</v>
      </c>
      <c r="T228" s="181">
        <v>68.072000000000003</v>
      </c>
      <c r="U228" s="181">
        <v>6285094.5265599992</v>
      </c>
      <c r="V228" s="181">
        <v>1619271275236.7788</v>
      </c>
    </row>
    <row r="229" spans="1:22">
      <c r="A229" s="2" t="s">
        <v>473</v>
      </c>
      <c r="B229" s="2" t="s">
        <v>474</v>
      </c>
      <c r="C229" s="181">
        <v>148.816</v>
      </c>
      <c r="D229" s="181">
        <v>18967.703999999998</v>
      </c>
      <c r="E229" s="181">
        <v>281.94</v>
      </c>
      <c r="F229" s="181">
        <v>261.62</v>
      </c>
      <c r="G229" s="181">
        <v>17.272000000000002</v>
      </c>
      <c r="H229" s="181">
        <v>28.448</v>
      </c>
      <c r="I229" s="181">
        <v>0</v>
      </c>
      <c r="J229" s="181">
        <v>17.589499999999994</v>
      </c>
      <c r="K229" s="181">
        <v>4.62</v>
      </c>
      <c r="L229" s="181">
        <v>11.6</v>
      </c>
      <c r="M229" s="181">
        <v>259312178.14879999</v>
      </c>
      <c r="N229" s="181">
        <v>2130318.3199999998</v>
      </c>
      <c r="O229" s="181">
        <v>1835351.1679999998</v>
      </c>
      <c r="P229" s="181">
        <v>116.83999999999999</v>
      </c>
      <c r="Q229" s="181">
        <v>86159905.099199995</v>
      </c>
      <c r="R229" s="181">
        <v>999610.90399999986</v>
      </c>
      <c r="S229" s="181">
        <v>655482.55999999994</v>
      </c>
      <c r="T229" s="181">
        <v>67.309999999999988</v>
      </c>
      <c r="U229" s="181">
        <v>4536922.5390399992</v>
      </c>
      <c r="V229" s="181">
        <v>1382959712681.4944</v>
      </c>
    </row>
    <row r="230" spans="1:22">
      <c r="A230" s="2" t="s">
        <v>475</v>
      </c>
      <c r="B230" s="2" t="s">
        <v>476</v>
      </c>
      <c r="C230" s="181">
        <v>130.95808</v>
      </c>
      <c r="D230" s="181">
        <v>16709.643999999997</v>
      </c>
      <c r="E230" s="181">
        <v>274.32</v>
      </c>
      <c r="F230" s="181">
        <v>261.62</v>
      </c>
      <c r="G230" s="181">
        <v>15.366999999999999</v>
      </c>
      <c r="H230" s="181">
        <v>25.145999999999997</v>
      </c>
      <c r="I230" s="181">
        <v>0</v>
      </c>
      <c r="J230" s="181">
        <v>17.7165</v>
      </c>
      <c r="K230" s="181">
        <v>5.18</v>
      </c>
      <c r="L230" s="181">
        <v>13</v>
      </c>
      <c r="M230" s="181">
        <v>222267581.27039999</v>
      </c>
      <c r="N230" s="181">
        <v>1851738.2319999998</v>
      </c>
      <c r="O230" s="181">
        <v>1614125.8039999998</v>
      </c>
      <c r="P230" s="181">
        <v>115.31599999999999</v>
      </c>
      <c r="Q230" s="181">
        <v>74505425.182399988</v>
      </c>
      <c r="R230" s="181">
        <v>870153.0983999999</v>
      </c>
      <c r="S230" s="181">
        <v>570269.82719999994</v>
      </c>
      <c r="T230" s="181">
        <v>66.801999999999992</v>
      </c>
      <c r="U230" s="181">
        <v>3134222.6347679999</v>
      </c>
      <c r="V230" s="181">
        <v>1165445660784.0166</v>
      </c>
    </row>
    <row r="231" spans="1:22">
      <c r="A231" s="2" t="s">
        <v>477</v>
      </c>
      <c r="B231" s="2" t="s">
        <v>478</v>
      </c>
      <c r="C231" s="181">
        <v>114.58832</v>
      </c>
      <c r="D231" s="181">
        <v>14580.616</v>
      </c>
      <c r="E231" s="181">
        <v>269.23999999999995</v>
      </c>
      <c r="F231" s="181">
        <v>259.08</v>
      </c>
      <c r="G231" s="181">
        <v>13.462</v>
      </c>
      <c r="H231" s="181">
        <v>22.097999999999999</v>
      </c>
      <c r="I231" s="181">
        <v>0</v>
      </c>
      <c r="J231" s="181">
        <v>17.589500000000001</v>
      </c>
      <c r="K231" s="181">
        <v>5.86</v>
      </c>
      <c r="L231" s="181">
        <v>14.8</v>
      </c>
      <c r="M231" s="181">
        <v>189385298.64799997</v>
      </c>
      <c r="N231" s="181">
        <v>1599377.4463999998</v>
      </c>
      <c r="O231" s="181">
        <v>1407648.7975999999</v>
      </c>
      <c r="P231" s="181">
        <v>114.04599999999999</v>
      </c>
      <c r="Q231" s="181">
        <v>64099639.542399995</v>
      </c>
      <c r="R231" s="181">
        <v>752166.23759999988</v>
      </c>
      <c r="S231" s="181">
        <v>493250.62639999995</v>
      </c>
      <c r="T231" s="181">
        <v>66.039999999999992</v>
      </c>
      <c r="U231" s="181">
        <v>2126942.584816</v>
      </c>
      <c r="V231" s="181">
        <v>977470554205.94934</v>
      </c>
    </row>
    <row r="232" spans="1:22">
      <c r="A232" s="2" t="s">
        <v>479</v>
      </c>
      <c r="B232" s="2" t="s">
        <v>480</v>
      </c>
      <c r="C232" s="181">
        <v>101.19488</v>
      </c>
      <c r="D232" s="181">
        <v>12903.199999999999</v>
      </c>
      <c r="E232" s="181">
        <v>264.15999999999997</v>
      </c>
      <c r="F232" s="181">
        <v>256.53999999999996</v>
      </c>
      <c r="G232" s="181">
        <v>11.937999999999999</v>
      </c>
      <c r="H232" s="181">
        <v>19.558</v>
      </c>
      <c r="I232" s="181">
        <v>0</v>
      </c>
      <c r="J232" s="181">
        <v>16.954499999999996</v>
      </c>
      <c r="K232" s="181">
        <v>6.58</v>
      </c>
      <c r="L232" s="181">
        <v>16.7</v>
      </c>
      <c r="M232" s="181">
        <v>163995181.6864</v>
      </c>
      <c r="N232" s="181">
        <v>1397816.5591999998</v>
      </c>
      <c r="O232" s="181">
        <v>1240500.7448</v>
      </c>
      <c r="P232" s="181">
        <v>112.77600000000001</v>
      </c>
      <c r="Q232" s="181">
        <v>55775011.030399993</v>
      </c>
      <c r="R232" s="181">
        <v>657121.26639999996</v>
      </c>
      <c r="S232" s="181">
        <v>432618.48959999991</v>
      </c>
      <c r="T232" s="181">
        <v>65.785999999999987</v>
      </c>
      <c r="U232" s="181">
        <v>1481783.8751359999</v>
      </c>
      <c r="V232" s="181">
        <v>835146544939.69849</v>
      </c>
    </row>
    <row r="233" spans="1:22">
      <c r="A233" s="2" t="s">
        <v>481</v>
      </c>
      <c r="B233" s="2" t="s">
        <v>482</v>
      </c>
      <c r="C233" s="181">
        <v>89.289599999999993</v>
      </c>
      <c r="D233" s="181">
        <v>11354.816000000001</v>
      </c>
      <c r="E233" s="181">
        <v>259.08</v>
      </c>
      <c r="F233" s="181">
        <v>256.53999999999996</v>
      </c>
      <c r="G233" s="181">
        <v>10.667999999999999</v>
      </c>
      <c r="H233" s="181">
        <v>17.272000000000002</v>
      </c>
      <c r="I233" s="181">
        <v>0</v>
      </c>
      <c r="J233" s="181">
        <v>17.652999999999995</v>
      </c>
      <c r="K233" s="181">
        <v>7.41</v>
      </c>
      <c r="L233" s="181">
        <v>18.7</v>
      </c>
      <c r="M233" s="181">
        <v>141934916.12959999</v>
      </c>
      <c r="N233" s="181">
        <v>1222474.9743999997</v>
      </c>
      <c r="O233" s="181">
        <v>1093017.1687999999</v>
      </c>
      <c r="P233" s="181">
        <v>111.50599999999999</v>
      </c>
      <c r="Q233" s="181">
        <v>48282845.369599998</v>
      </c>
      <c r="R233" s="181">
        <v>573547.24</v>
      </c>
      <c r="S233" s="181">
        <v>376902.47199999995</v>
      </c>
      <c r="T233" s="181">
        <v>65.277999999999992</v>
      </c>
      <c r="U233" s="181">
        <v>1032253.9354879999</v>
      </c>
      <c r="V233" s="181">
        <v>708934687665.85339</v>
      </c>
    </row>
    <row r="234" spans="1:22">
      <c r="A234" s="2" t="s">
        <v>483</v>
      </c>
      <c r="B234" s="2" t="s">
        <v>484</v>
      </c>
      <c r="C234" s="181">
        <v>80.360639999999989</v>
      </c>
      <c r="D234" s="181">
        <v>10193.528</v>
      </c>
      <c r="E234" s="181">
        <v>256.53999999999996</v>
      </c>
      <c r="F234" s="181">
        <v>254</v>
      </c>
      <c r="G234" s="181">
        <v>9.3979999999999997</v>
      </c>
      <c r="H234" s="181">
        <v>15.620999999999999</v>
      </c>
      <c r="I234" s="181">
        <v>0</v>
      </c>
      <c r="J234" s="181">
        <v>17.7165</v>
      </c>
      <c r="K234" s="181">
        <v>8.15</v>
      </c>
      <c r="L234" s="181">
        <v>21.2</v>
      </c>
      <c r="M234" s="181">
        <v>126118121.95679998</v>
      </c>
      <c r="N234" s="181">
        <v>1091378.4623999998</v>
      </c>
      <c r="O234" s="181">
        <v>983223.83999999985</v>
      </c>
      <c r="P234" s="181">
        <v>110.99799999999999</v>
      </c>
      <c r="Q234" s="181">
        <v>42871836.836799994</v>
      </c>
      <c r="R234" s="181">
        <v>512915.10319999995</v>
      </c>
      <c r="S234" s="181">
        <v>337573.5184</v>
      </c>
      <c r="T234" s="181">
        <v>65.024000000000001</v>
      </c>
      <c r="U234" s="181">
        <v>757541.19459199999</v>
      </c>
      <c r="V234" s="181">
        <v>620317851707.6217</v>
      </c>
    </row>
    <row r="235" spans="1:22">
      <c r="A235" s="2" t="s">
        <v>485</v>
      </c>
      <c r="B235" s="2" t="s">
        <v>486</v>
      </c>
      <c r="C235" s="181">
        <v>72.919839999999994</v>
      </c>
      <c r="D235" s="181">
        <v>9290.3040000000001</v>
      </c>
      <c r="E235" s="181">
        <v>253.49199999999999</v>
      </c>
      <c r="F235" s="181">
        <v>254</v>
      </c>
      <c r="G235" s="181">
        <v>8.636000000000001</v>
      </c>
      <c r="H235" s="181">
        <v>14.224</v>
      </c>
      <c r="I235" s="181">
        <v>0</v>
      </c>
      <c r="J235" s="181">
        <v>17.526</v>
      </c>
      <c r="K235" s="181">
        <v>8.93</v>
      </c>
      <c r="L235" s="181">
        <v>23.1</v>
      </c>
      <c r="M235" s="181">
        <v>113214947.76319999</v>
      </c>
      <c r="N235" s="181">
        <v>989778.66559999983</v>
      </c>
      <c r="O235" s="181">
        <v>894733.69439999992</v>
      </c>
      <c r="P235" s="181">
        <v>110.48999999999998</v>
      </c>
      <c r="Q235" s="181">
        <v>38876015.151039995</v>
      </c>
      <c r="R235" s="181">
        <v>463753.91119999997</v>
      </c>
      <c r="S235" s="181">
        <v>306438.09679999994</v>
      </c>
      <c r="T235" s="181">
        <v>64.515999999999991</v>
      </c>
      <c r="U235" s="181">
        <v>578561.68158399989</v>
      </c>
      <c r="V235" s="181">
        <v>555869243737.99866</v>
      </c>
    </row>
    <row r="236" spans="1:22">
      <c r="A236" s="2" t="s">
        <v>487</v>
      </c>
      <c r="B236" s="2" t="s">
        <v>488</v>
      </c>
      <c r="C236" s="181">
        <v>66.967199999999991</v>
      </c>
      <c r="D236" s="181">
        <v>8580.6280000000006</v>
      </c>
      <c r="E236" s="181">
        <v>256.53999999999996</v>
      </c>
      <c r="F236" s="181">
        <v>203.70799999999997</v>
      </c>
      <c r="G236" s="181">
        <v>8.8899999999999988</v>
      </c>
      <c r="H236" s="181">
        <v>15.747999999999999</v>
      </c>
      <c r="I236" s="181">
        <v>0</v>
      </c>
      <c r="J236" s="181">
        <v>17.589500000000001</v>
      </c>
      <c r="K236" s="181">
        <v>6.47</v>
      </c>
      <c r="L236" s="181">
        <v>22.5</v>
      </c>
      <c r="M236" s="181">
        <v>103225393.54879999</v>
      </c>
      <c r="N236" s="181">
        <v>899649.81359999988</v>
      </c>
      <c r="O236" s="181">
        <v>804604.84239999996</v>
      </c>
      <c r="P236" s="181">
        <v>109.72799999999999</v>
      </c>
      <c r="Q236" s="181">
        <v>22226758.127039999</v>
      </c>
      <c r="R236" s="181">
        <v>332657.39919999999</v>
      </c>
      <c r="S236" s="181">
        <v>217947.95119999998</v>
      </c>
      <c r="T236" s="181">
        <v>51.053999999999995</v>
      </c>
      <c r="U236" s="181">
        <v>628509.45265599992</v>
      </c>
      <c r="V236" s="181">
        <v>322243039848.11517</v>
      </c>
    </row>
    <row r="237" spans="1:22">
      <c r="A237" s="2" t="s">
        <v>489</v>
      </c>
      <c r="B237" s="2" t="s">
        <v>490</v>
      </c>
      <c r="C237" s="181">
        <v>58.038239999999995</v>
      </c>
      <c r="D237" s="181">
        <v>7419.3399999999992</v>
      </c>
      <c r="E237" s="181">
        <v>251.96799999999999</v>
      </c>
      <c r="F237" s="181">
        <v>202.946</v>
      </c>
      <c r="G237" s="181">
        <v>8.0009999999999994</v>
      </c>
      <c r="H237" s="181">
        <v>13.462</v>
      </c>
      <c r="I237" s="181">
        <v>0</v>
      </c>
      <c r="J237" s="181">
        <v>16.700499999999998</v>
      </c>
      <c r="K237" s="181">
        <v>7.53</v>
      </c>
      <c r="L237" s="181">
        <v>25</v>
      </c>
      <c r="M237" s="181">
        <v>86992367.950399995</v>
      </c>
      <c r="N237" s="181">
        <v>766914.59519999987</v>
      </c>
      <c r="O237" s="181">
        <v>689895.39439999999</v>
      </c>
      <c r="P237" s="181">
        <v>108.45799999999998</v>
      </c>
      <c r="Q237" s="181">
        <v>18730414.151999999</v>
      </c>
      <c r="R237" s="181">
        <v>281857.50079999998</v>
      </c>
      <c r="S237" s="181">
        <v>185173.82319999998</v>
      </c>
      <c r="T237" s="181">
        <v>50.291999999999994</v>
      </c>
      <c r="U237" s="181">
        <v>406241.87138559995</v>
      </c>
      <c r="V237" s="181">
        <v>266387579607.77521</v>
      </c>
    </row>
    <row r="238" spans="1:22">
      <c r="A238" s="2" t="s">
        <v>491</v>
      </c>
      <c r="B238" s="2" t="s">
        <v>492</v>
      </c>
      <c r="C238" s="181">
        <v>49.109279999999998</v>
      </c>
      <c r="D238" s="181">
        <v>6264.5036</v>
      </c>
      <c r="E238" s="181">
        <v>247.142</v>
      </c>
      <c r="F238" s="181">
        <v>202.184</v>
      </c>
      <c r="G238" s="181">
        <v>7.3659999999999988</v>
      </c>
      <c r="H238" s="181">
        <v>11.048999999999999</v>
      </c>
      <c r="I238" s="181">
        <v>0</v>
      </c>
      <c r="J238" s="181">
        <v>17.526</v>
      </c>
      <c r="K238" s="181">
        <v>9.15</v>
      </c>
      <c r="L238" s="181">
        <v>27.1</v>
      </c>
      <c r="M238" s="181">
        <v>71175573.77759999</v>
      </c>
      <c r="N238" s="181">
        <v>635818.08319999988</v>
      </c>
      <c r="O238" s="181">
        <v>573547.24</v>
      </c>
      <c r="P238" s="181">
        <v>106.426</v>
      </c>
      <c r="Q238" s="181">
        <v>15234070.176959999</v>
      </c>
      <c r="R238" s="181">
        <v>229418.89599999998</v>
      </c>
      <c r="S238" s="181">
        <v>150760.98879999996</v>
      </c>
      <c r="T238" s="181">
        <v>49.275999999999996</v>
      </c>
      <c r="U238" s="181">
        <v>242662.92112479996</v>
      </c>
      <c r="V238" s="181">
        <v>212411870433.21591</v>
      </c>
    </row>
    <row r="239" spans="1:22">
      <c r="A239" s="2" t="s">
        <v>493</v>
      </c>
      <c r="B239" s="2" t="s">
        <v>494</v>
      </c>
      <c r="C239" s="181">
        <v>44.644799999999996</v>
      </c>
      <c r="D239" s="181">
        <v>5703.2143999999998</v>
      </c>
      <c r="E239" s="181">
        <v>266.7</v>
      </c>
      <c r="F239" s="181">
        <v>147.57399999999998</v>
      </c>
      <c r="G239" s="181">
        <v>7.6199999999999992</v>
      </c>
      <c r="H239" s="181">
        <v>12.953999999999999</v>
      </c>
      <c r="I239" s="181">
        <v>0</v>
      </c>
      <c r="J239" s="181">
        <v>15.621</v>
      </c>
      <c r="K239" s="181">
        <v>5.7</v>
      </c>
      <c r="L239" s="181">
        <v>29.5</v>
      </c>
      <c r="M239" s="181">
        <v>70759342.351999998</v>
      </c>
      <c r="N239" s="181">
        <v>599766.54239999992</v>
      </c>
      <c r="O239" s="181">
        <v>530940.87359999993</v>
      </c>
      <c r="P239" s="181">
        <v>111.252</v>
      </c>
      <c r="Q239" s="181">
        <v>6951064.8075199993</v>
      </c>
      <c r="R239" s="181">
        <v>144861.64575999998</v>
      </c>
      <c r="S239" s="181">
        <v>94225.617999999988</v>
      </c>
      <c r="T239" s="181">
        <v>34.798000000000002</v>
      </c>
      <c r="U239" s="181">
        <v>258895.94672319997</v>
      </c>
      <c r="V239" s="181">
        <v>111173848747.59973</v>
      </c>
    </row>
    <row r="240" spans="1:22">
      <c r="A240" s="2" t="s">
        <v>495</v>
      </c>
      <c r="B240" s="2" t="s">
        <v>496</v>
      </c>
      <c r="C240" s="181">
        <v>38.692160000000001</v>
      </c>
      <c r="D240" s="181">
        <v>4909.6675999999998</v>
      </c>
      <c r="E240" s="181">
        <v>261.62</v>
      </c>
      <c r="F240" s="181">
        <v>146.55799999999999</v>
      </c>
      <c r="G240" s="181">
        <v>6.6040000000000001</v>
      </c>
      <c r="H240" s="181">
        <v>11.176</v>
      </c>
      <c r="I240" s="181">
        <v>0</v>
      </c>
      <c r="J240" s="181">
        <v>15.811499999999997</v>
      </c>
      <c r="K240" s="181">
        <v>6.56</v>
      </c>
      <c r="L240" s="181">
        <v>34</v>
      </c>
      <c r="M240" s="181">
        <v>59937325.28639999</v>
      </c>
      <c r="N240" s="181">
        <v>512915.10319999995</v>
      </c>
      <c r="O240" s="181">
        <v>457199.08559999993</v>
      </c>
      <c r="P240" s="181">
        <v>110.48999999999998</v>
      </c>
      <c r="Q240" s="181">
        <v>5868863.1009599995</v>
      </c>
      <c r="R240" s="181">
        <v>122902.97999999998</v>
      </c>
      <c r="S240" s="181">
        <v>80132.742959999989</v>
      </c>
      <c r="T240" s="181">
        <v>34.544000000000004</v>
      </c>
      <c r="U240" s="181">
        <v>167325.03309119999</v>
      </c>
      <c r="V240" s="181">
        <v>92644873956.333115</v>
      </c>
    </row>
    <row r="241" spans="1:22">
      <c r="A241" s="2" t="s">
        <v>497</v>
      </c>
      <c r="B241" s="2" t="s">
        <v>498</v>
      </c>
      <c r="C241" s="181">
        <v>32.739519999999999</v>
      </c>
      <c r="D241" s="181">
        <v>4187.0883999999996</v>
      </c>
      <c r="E241" s="181">
        <v>259.08</v>
      </c>
      <c r="F241" s="181">
        <v>146.04999999999998</v>
      </c>
      <c r="G241" s="181">
        <v>6.0959999999999992</v>
      </c>
      <c r="H241" s="181">
        <v>9.1439999999999984</v>
      </c>
      <c r="I241" s="181">
        <v>0</v>
      </c>
      <c r="J241" s="181">
        <v>14.668500000000002</v>
      </c>
      <c r="K241" s="181">
        <v>7.99</v>
      </c>
      <c r="L241" s="181">
        <v>36.9</v>
      </c>
      <c r="M241" s="181">
        <v>49115308.220799997</v>
      </c>
      <c r="N241" s="181">
        <v>426063.66399999999</v>
      </c>
      <c r="O241" s="181">
        <v>380179.88479999994</v>
      </c>
      <c r="P241" s="181">
        <v>108.45799999999998</v>
      </c>
      <c r="Q241" s="181">
        <v>4745038.25184</v>
      </c>
      <c r="R241" s="181">
        <v>99961.090399999986</v>
      </c>
      <c r="S241" s="181">
        <v>65056.644079999998</v>
      </c>
      <c r="T241" s="181">
        <v>33.781999999999996</v>
      </c>
      <c r="U241" s="181">
        <v>99479.310718399982</v>
      </c>
      <c r="V241" s="181">
        <v>73578827431.986298</v>
      </c>
    </row>
    <row r="242" spans="1:22">
      <c r="A242" s="2" t="s">
        <v>499</v>
      </c>
      <c r="B242" s="2" t="s">
        <v>500</v>
      </c>
      <c r="C242" s="181">
        <v>28.275039999999997</v>
      </c>
      <c r="D242" s="181">
        <v>3625.7991999999999</v>
      </c>
      <c r="E242" s="181">
        <v>259.08</v>
      </c>
      <c r="F242" s="181">
        <v>102.10799999999999</v>
      </c>
      <c r="G242" s="181">
        <v>6.35</v>
      </c>
      <c r="H242" s="181">
        <v>10.032999999999999</v>
      </c>
      <c r="I242" s="181">
        <v>0</v>
      </c>
      <c r="J242" s="181">
        <v>13.779500000000001</v>
      </c>
      <c r="K242" s="181">
        <v>5.09</v>
      </c>
      <c r="L242" s="181">
        <v>35.4</v>
      </c>
      <c r="M242" s="181">
        <v>40083086.285279997</v>
      </c>
      <c r="N242" s="181">
        <v>353960.58240000001</v>
      </c>
      <c r="O242" s="181">
        <v>308076.80319999997</v>
      </c>
      <c r="P242" s="181">
        <v>105.15599999999999</v>
      </c>
      <c r="Q242" s="181">
        <v>1785632.8158239999</v>
      </c>
      <c r="R242" s="181">
        <v>54896.664399999994</v>
      </c>
      <c r="S242" s="181">
        <v>35068.316959999996</v>
      </c>
      <c r="T242" s="181">
        <v>22.1996</v>
      </c>
      <c r="U242" s="181">
        <v>96981.922164799995</v>
      </c>
      <c r="V242" s="181">
        <v>27927730120.169983</v>
      </c>
    </row>
    <row r="243" spans="1:22">
      <c r="A243" s="2" t="s">
        <v>501</v>
      </c>
      <c r="B243" s="2" t="s">
        <v>502</v>
      </c>
      <c r="C243" s="181">
        <v>25.298719999999999</v>
      </c>
      <c r="D243" s="181">
        <v>3219.3483999999999</v>
      </c>
      <c r="E243" s="181">
        <v>256.53999999999996</v>
      </c>
      <c r="F243" s="181">
        <v>101.85399999999998</v>
      </c>
      <c r="G243" s="181">
        <v>6.0959999999999992</v>
      </c>
      <c r="H243" s="181">
        <v>8.3819999999999997</v>
      </c>
      <c r="I243" s="181">
        <v>0</v>
      </c>
      <c r="J243" s="181">
        <v>13.842999999999998</v>
      </c>
      <c r="K243" s="181">
        <v>6.08</v>
      </c>
      <c r="L243" s="181">
        <v>36.9</v>
      </c>
      <c r="M243" s="181">
        <v>34089353.756640002</v>
      </c>
      <c r="N243" s="181">
        <v>306438.09679999994</v>
      </c>
      <c r="O243" s="181">
        <v>265470.43679999997</v>
      </c>
      <c r="P243" s="181">
        <v>102.86999999999999</v>
      </c>
      <c r="Q243" s="181">
        <v>1481783.8751359999</v>
      </c>
      <c r="R243" s="181">
        <v>45883.77919999999</v>
      </c>
      <c r="S243" s="181">
        <v>29168.973919999997</v>
      </c>
      <c r="T243" s="181">
        <v>21.462999999999997</v>
      </c>
      <c r="U243" s="181">
        <v>64932.102393599991</v>
      </c>
      <c r="V243" s="181">
        <v>22852402242.562168</v>
      </c>
    </row>
    <row r="244" spans="1:22">
      <c r="A244" s="2" t="s">
        <v>503</v>
      </c>
      <c r="B244" s="2" t="s">
        <v>504</v>
      </c>
      <c r="C244" s="181">
        <v>22.322399999999998</v>
      </c>
      <c r="D244" s="181">
        <v>2845.1556</v>
      </c>
      <c r="E244" s="181">
        <v>253.74599999999998</v>
      </c>
      <c r="F244" s="181">
        <v>101.6</v>
      </c>
      <c r="G244" s="181">
        <v>5.8419999999999996</v>
      </c>
      <c r="H244" s="181">
        <v>6.8579999999999997</v>
      </c>
      <c r="I244" s="181">
        <v>0</v>
      </c>
      <c r="J244" s="181">
        <v>13.779499999999999</v>
      </c>
      <c r="K244" s="181">
        <v>7.41</v>
      </c>
      <c r="L244" s="181">
        <v>38.5</v>
      </c>
      <c r="M244" s="181">
        <v>28678345.223839998</v>
      </c>
      <c r="N244" s="181">
        <v>262193.02399999998</v>
      </c>
      <c r="O244" s="181">
        <v>226141.48319999999</v>
      </c>
      <c r="P244" s="181">
        <v>100.33</v>
      </c>
      <c r="Q244" s="181">
        <v>1202908.8199839999</v>
      </c>
      <c r="R244" s="181">
        <v>37690.247199999991</v>
      </c>
      <c r="S244" s="181">
        <v>23761.242799999996</v>
      </c>
      <c r="T244" s="181">
        <v>20.574000000000002</v>
      </c>
      <c r="U244" s="181">
        <v>43288.068262399996</v>
      </c>
      <c r="V244" s="181">
        <v>18340999684.688557</v>
      </c>
    </row>
    <row r="245" spans="1:22">
      <c r="A245" s="2" t="s">
        <v>505</v>
      </c>
      <c r="B245" s="2" t="s">
        <v>506</v>
      </c>
      <c r="C245" s="181">
        <v>17.85792</v>
      </c>
      <c r="D245" s="181">
        <v>2283.8663999999999</v>
      </c>
      <c r="E245" s="181">
        <v>250.69799999999998</v>
      </c>
      <c r="F245" s="181">
        <v>100.58399999999999</v>
      </c>
      <c r="G245" s="181">
        <v>4.8259999999999996</v>
      </c>
      <c r="H245" s="181">
        <v>5.3339999999999996</v>
      </c>
      <c r="I245" s="181">
        <v>0</v>
      </c>
      <c r="J245" s="181">
        <v>13.715999999999998</v>
      </c>
      <c r="K245" s="181">
        <v>9.43</v>
      </c>
      <c r="L245" s="181">
        <v>46.6</v>
      </c>
      <c r="M245" s="181">
        <v>22393250.697279997</v>
      </c>
      <c r="N245" s="181">
        <v>206477.00639999998</v>
      </c>
      <c r="O245" s="181">
        <v>178618.9976</v>
      </c>
      <c r="P245" s="181">
        <v>99.059999999999988</v>
      </c>
      <c r="Q245" s="181">
        <v>907384.50780799997</v>
      </c>
      <c r="R245" s="181">
        <v>28513.491359999996</v>
      </c>
      <c r="S245" s="181">
        <v>18025.770400000001</v>
      </c>
      <c r="T245" s="181">
        <v>19.939</v>
      </c>
      <c r="U245" s="181">
        <v>22767.858980319997</v>
      </c>
      <c r="V245" s="181">
        <v>13668475606.890884</v>
      </c>
    </row>
    <row r="246" spans="1:22">
      <c r="A246" s="2" t="s">
        <v>507</v>
      </c>
      <c r="B246" s="2" t="s">
        <v>508</v>
      </c>
      <c r="C246" s="181">
        <v>99.70671999999999</v>
      </c>
      <c r="D246" s="181">
        <v>12709.651999999998</v>
      </c>
      <c r="E246" s="181">
        <v>228.6</v>
      </c>
      <c r="F246" s="181">
        <v>210.31199999999998</v>
      </c>
      <c r="G246" s="181">
        <v>14.477999999999998</v>
      </c>
      <c r="H246" s="181">
        <v>23.748999999999999</v>
      </c>
      <c r="I246" s="181">
        <v>0</v>
      </c>
      <c r="J246" s="181">
        <v>17.526</v>
      </c>
      <c r="K246" s="181">
        <v>4.43</v>
      </c>
      <c r="L246" s="181">
        <v>11.1</v>
      </c>
      <c r="M246" s="181">
        <v>113214947.76319999</v>
      </c>
      <c r="N246" s="181">
        <v>1148733.1863999998</v>
      </c>
      <c r="O246" s="181">
        <v>989778.66559999983</v>
      </c>
      <c r="P246" s="181">
        <v>94.488</v>
      </c>
      <c r="Q246" s="181">
        <v>36878104.308159992</v>
      </c>
      <c r="R246" s="181">
        <v>535856.99280000001</v>
      </c>
      <c r="S246" s="181">
        <v>350683.16959999996</v>
      </c>
      <c r="T246" s="181">
        <v>53.847999999999999</v>
      </c>
      <c r="U246" s="181">
        <v>2101968.6992799998</v>
      </c>
      <c r="V246" s="181">
        <v>386691647817.73822</v>
      </c>
    </row>
    <row r="247" spans="1:22">
      <c r="A247" s="2" t="s">
        <v>509</v>
      </c>
      <c r="B247" s="2" t="s">
        <v>510</v>
      </c>
      <c r="C247" s="181">
        <v>86.313279999999992</v>
      </c>
      <c r="D247" s="181">
        <v>11032.236000000001</v>
      </c>
      <c r="E247" s="181">
        <v>222.25</v>
      </c>
      <c r="F247" s="181">
        <v>208.78800000000001</v>
      </c>
      <c r="G247" s="181">
        <v>12.953999999999999</v>
      </c>
      <c r="H247" s="181">
        <v>20.574000000000002</v>
      </c>
      <c r="I247" s="181">
        <v>0</v>
      </c>
      <c r="J247" s="181">
        <v>17.525999999999993</v>
      </c>
      <c r="K247" s="181">
        <v>5.07</v>
      </c>
      <c r="L247" s="181">
        <v>12.4</v>
      </c>
      <c r="M247" s="181">
        <v>94900765.036799997</v>
      </c>
      <c r="N247" s="181">
        <v>979946.42719999992</v>
      </c>
      <c r="O247" s="181">
        <v>852127.32799999998</v>
      </c>
      <c r="P247" s="181">
        <v>92.71</v>
      </c>
      <c r="Q247" s="181">
        <v>31258980.062559996</v>
      </c>
      <c r="R247" s="181">
        <v>457199.08559999993</v>
      </c>
      <c r="S247" s="181">
        <v>299883.27119999996</v>
      </c>
      <c r="T247" s="181">
        <v>53.339999999999996</v>
      </c>
      <c r="U247" s="181">
        <v>1386050.6472479999</v>
      </c>
      <c r="V247" s="181">
        <v>316872322517.31323</v>
      </c>
    </row>
    <row r="248" spans="1:22">
      <c r="A248" s="2" t="s">
        <v>511</v>
      </c>
      <c r="B248" s="2" t="s">
        <v>512</v>
      </c>
      <c r="C248" s="181">
        <v>71.43168</v>
      </c>
      <c r="D248" s="181">
        <v>9096.7559999999994</v>
      </c>
      <c r="E248" s="181">
        <v>215.89999999999998</v>
      </c>
      <c r="F248" s="181">
        <v>205.99399999999997</v>
      </c>
      <c r="G248" s="181">
        <v>10.16</v>
      </c>
      <c r="H248" s="181">
        <v>17.399000000000001</v>
      </c>
      <c r="I248" s="181">
        <v>0</v>
      </c>
      <c r="J248" s="181">
        <v>17.525999999999996</v>
      </c>
      <c r="K248" s="181">
        <v>5.92</v>
      </c>
      <c r="L248" s="181">
        <v>15.9</v>
      </c>
      <c r="M248" s="181">
        <v>76586582.310399994</v>
      </c>
      <c r="N248" s="181">
        <v>802966.13599999994</v>
      </c>
      <c r="O248" s="181">
        <v>707921.16480000003</v>
      </c>
      <c r="P248" s="181">
        <v>91.693999999999988</v>
      </c>
      <c r="Q248" s="181">
        <v>25348493.819039997</v>
      </c>
      <c r="R248" s="181">
        <v>375263.76559999993</v>
      </c>
      <c r="S248" s="181">
        <v>245805.95999999996</v>
      </c>
      <c r="T248" s="181">
        <v>52.832000000000001</v>
      </c>
      <c r="U248" s="181">
        <v>815813.59417599987</v>
      </c>
      <c r="V248" s="181">
        <v>249738355882.28928</v>
      </c>
    </row>
    <row r="249" spans="1:22">
      <c r="A249" s="2" t="s">
        <v>513</v>
      </c>
      <c r="B249" s="2" t="s">
        <v>514</v>
      </c>
      <c r="C249" s="181">
        <v>59.526399999999995</v>
      </c>
      <c r="D249" s="181">
        <v>7548.3719999999994</v>
      </c>
      <c r="E249" s="181">
        <v>209.54999999999998</v>
      </c>
      <c r="F249" s="181">
        <v>204.97800000000001</v>
      </c>
      <c r="G249" s="181">
        <v>9.1439999999999984</v>
      </c>
      <c r="H249" s="181">
        <v>14.224</v>
      </c>
      <c r="I249" s="181">
        <v>0</v>
      </c>
      <c r="J249" s="181">
        <v>17.526</v>
      </c>
      <c r="K249" s="181">
        <v>7.21</v>
      </c>
      <c r="L249" s="181">
        <v>17.600000000000001</v>
      </c>
      <c r="M249" s="181">
        <v>60769788.137599997</v>
      </c>
      <c r="N249" s="181">
        <v>652205.14719999989</v>
      </c>
      <c r="O249" s="181">
        <v>581740.772</v>
      </c>
      <c r="P249" s="181">
        <v>89.661999999999992</v>
      </c>
      <c r="Q249" s="181">
        <v>20436962.996959999</v>
      </c>
      <c r="R249" s="181">
        <v>303160.68399999995</v>
      </c>
      <c r="S249" s="181">
        <v>199922.18079999997</v>
      </c>
      <c r="T249" s="181">
        <v>51.815999999999995</v>
      </c>
      <c r="U249" s="181">
        <v>466179.19667199999</v>
      </c>
      <c r="V249" s="181">
        <v>194957039108.10968</v>
      </c>
    </row>
    <row r="250" spans="1:22">
      <c r="A250" s="2" t="s">
        <v>515</v>
      </c>
      <c r="B250" s="2" t="s">
        <v>516</v>
      </c>
      <c r="C250" s="181">
        <v>52.085599999999999</v>
      </c>
      <c r="D250" s="181">
        <v>6645.1480000000001</v>
      </c>
      <c r="E250" s="181">
        <v>206.24799999999996</v>
      </c>
      <c r="F250" s="181">
        <v>203.70799999999997</v>
      </c>
      <c r="G250" s="181">
        <v>7.8739999999999997</v>
      </c>
      <c r="H250" s="181">
        <v>12.572999999999999</v>
      </c>
      <c r="I250" s="181">
        <v>0</v>
      </c>
      <c r="J250" s="181">
        <v>17.589500000000001</v>
      </c>
      <c r="K250" s="181">
        <v>8.1</v>
      </c>
      <c r="L250" s="181">
        <v>20.5</v>
      </c>
      <c r="M250" s="181">
        <v>52861391.051199995</v>
      </c>
      <c r="N250" s="181">
        <v>568631.12080000003</v>
      </c>
      <c r="O250" s="181">
        <v>511276.39679999993</v>
      </c>
      <c r="P250" s="181">
        <v>89.153999999999996</v>
      </c>
      <c r="Q250" s="181">
        <v>17731458.730559997</v>
      </c>
      <c r="R250" s="181">
        <v>263831.7304</v>
      </c>
      <c r="S250" s="181">
        <v>173702.87839999999</v>
      </c>
      <c r="T250" s="181">
        <v>51.561999999999991</v>
      </c>
      <c r="U250" s="181">
        <v>320081.96628639998</v>
      </c>
      <c r="V250" s="181">
        <v>166223701388.31943</v>
      </c>
    </row>
    <row r="251" spans="1:22">
      <c r="A251" s="2" t="s">
        <v>517</v>
      </c>
      <c r="B251" s="2" t="s">
        <v>518</v>
      </c>
      <c r="C251" s="181">
        <v>46.132959999999997</v>
      </c>
      <c r="D251" s="181">
        <v>5883.859199999999</v>
      </c>
      <c r="E251" s="181">
        <v>203.2</v>
      </c>
      <c r="F251" s="181">
        <v>203.2</v>
      </c>
      <c r="G251" s="181">
        <v>7.238999999999999</v>
      </c>
      <c r="H251" s="181">
        <v>11.048999999999999</v>
      </c>
      <c r="I251" s="181">
        <v>0</v>
      </c>
      <c r="J251" s="181">
        <v>17.526</v>
      </c>
      <c r="K251" s="181">
        <v>9.19</v>
      </c>
      <c r="L251" s="181">
        <v>22.3</v>
      </c>
      <c r="M251" s="181">
        <v>45785456.815999992</v>
      </c>
      <c r="N251" s="181">
        <v>498166.74559999991</v>
      </c>
      <c r="O251" s="181">
        <v>450644.25999999995</v>
      </c>
      <c r="P251" s="181">
        <v>88.138000000000005</v>
      </c>
      <c r="Q251" s="181">
        <v>15442185.889759999</v>
      </c>
      <c r="R251" s="181">
        <v>231057.60239999997</v>
      </c>
      <c r="S251" s="181">
        <v>151908.08327999999</v>
      </c>
      <c r="T251" s="181">
        <v>51.308</v>
      </c>
      <c r="U251" s="181">
        <v>223100.04412159999</v>
      </c>
      <c r="V251" s="181">
        <v>142592545132.79095</v>
      </c>
    </row>
    <row r="252" spans="1:22">
      <c r="A252" s="2" t="s">
        <v>519</v>
      </c>
      <c r="B252" s="2" t="s">
        <v>520</v>
      </c>
      <c r="C252" s="181">
        <v>41.668479999999995</v>
      </c>
      <c r="D252" s="181">
        <v>5316.1184000000003</v>
      </c>
      <c r="E252" s="181">
        <v>204.72399999999999</v>
      </c>
      <c r="F252" s="181">
        <v>166.11599999999999</v>
      </c>
      <c r="G252" s="181">
        <v>7.238999999999999</v>
      </c>
      <c r="H252" s="181">
        <v>11.811</v>
      </c>
      <c r="I252" s="181">
        <v>0</v>
      </c>
      <c r="J252" s="181">
        <v>12.0015</v>
      </c>
      <c r="K252" s="181">
        <v>7.03</v>
      </c>
      <c r="L252" s="181">
        <v>22.3</v>
      </c>
      <c r="M252" s="181">
        <v>40790679.708799995</v>
      </c>
      <c r="N252" s="181">
        <v>445728.14079999994</v>
      </c>
      <c r="O252" s="181">
        <v>398205.65519999998</v>
      </c>
      <c r="P252" s="181">
        <v>87.63</v>
      </c>
      <c r="Q252" s="181">
        <v>9032221.9355199989</v>
      </c>
      <c r="R252" s="181">
        <v>165509.34639999998</v>
      </c>
      <c r="S252" s="181">
        <v>108646.23431999999</v>
      </c>
      <c r="T252" s="181">
        <v>41.148000000000003</v>
      </c>
      <c r="U252" s="181">
        <v>223516.2755472</v>
      </c>
      <c r="V252" s="181">
        <v>84051726227.050049</v>
      </c>
    </row>
    <row r="253" spans="1:22">
      <c r="A253" s="2" t="s">
        <v>521</v>
      </c>
      <c r="B253" s="2" t="s">
        <v>522</v>
      </c>
      <c r="C253" s="181">
        <v>35.71584</v>
      </c>
      <c r="D253" s="181">
        <v>4567.7327999999998</v>
      </c>
      <c r="E253" s="181">
        <v>201.42199999999997</v>
      </c>
      <c r="F253" s="181">
        <v>165.1</v>
      </c>
      <c r="G253" s="181">
        <v>6.2229999999999999</v>
      </c>
      <c r="H253" s="181">
        <v>10.16</v>
      </c>
      <c r="I253" s="181">
        <v>0</v>
      </c>
      <c r="J253" s="181">
        <v>12.064999999999998</v>
      </c>
      <c r="K253" s="181">
        <v>8.1199999999999992</v>
      </c>
      <c r="L253" s="181">
        <v>25.9</v>
      </c>
      <c r="M253" s="181">
        <v>34422338.897119999</v>
      </c>
      <c r="N253" s="181">
        <v>378541.17839999998</v>
      </c>
      <c r="O253" s="181">
        <v>342489.63759999996</v>
      </c>
      <c r="P253" s="181">
        <v>86.867999999999995</v>
      </c>
      <c r="Q253" s="181">
        <v>7617035.0884799995</v>
      </c>
      <c r="R253" s="181">
        <v>140437.13847999999</v>
      </c>
      <c r="S253" s="181">
        <v>92259.17031999999</v>
      </c>
      <c r="T253" s="181">
        <v>40.893999999999998</v>
      </c>
      <c r="U253" s="181">
        <v>144016.07325759999</v>
      </c>
      <c r="V253" s="181">
        <v>69550789433.884857</v>
      </c>
    </row>
    <row r="254" spans="1:22">
      <c r="A254" s="2" t="s">
        <v>523</v>
      </c>
      <c r="B254" s="2" t="s">
        <v>524</v>
      </c>
      <c r="C254" s="181">
        <v>31.251359999999998</v>
      </c>
      <c r="D254" s="181">
        <v>3974.1855999999998</v>
      </c>
      <c r="E254" s="181">
        <v>210.31199999999998</v>
      </c>
      <c r="F254" s="181">
        <v>133.85799999999998</v>
      </c>
      <c r="G254" s="181">
        <v>6.35</v>
      </c>
      <c r="H254" s="181">
        <v>10.16</v>
      </c>
      <c r="I254" s="181">
        <v>0</v>
      </c>
      <c r="J254" s="181">
        <v>12.064999999999998</v>
      </c>
      <c r="K254" s="181">
        <v>6.59</v>
      </c>
      <c r="L254" s="181">
        <v>27.5</v>
      </c>
      <c r="M254" s="181">
        <v>31342226.347679995</v>
      </c>
      <c r="N254" s="181">
        <v>334296.10559999995</v>
      </c>
      <c r="O254" s="181">
        <v>298244.56479999993</v>
      </c>
      <c r="P254" s="181">
        <v>88.646000000000001</v>
      </c>
      <c r="Q254" s="181">
        <v>4066581.0281119994</v>
      </c>
      <c r="R254" s="181">
        <v>93242.394159999996</v>
      </c>
      <c r="S254" s="181">
        <v>60796.007439999994</v>
      </c>
      <c r="T254" s="181">
        <v>32.003999999999998</v>
      </c>
      <c r="U254" s="181">
        <v>117377.26201919997</v>
      </c>
      <c r="V254" s="181">
        <v>40817451714.094589</v>
      </c>
    </row>
    <row r="255" spans="1:22">
      <c r="A255" s="2" t="s">
        <v>525</v>
      </c>
      <c r="B255" s="2" t="s">
        <v>526</v>
      </c>
      <c r="C255" s="181">
        <v>26.78688</v>
      </c>
      <c r="D255" s="181">
        <v>3393.5415999999996</v>
      </c>
      <c r="E255" s="181">
        <v>206.756</v>
      </c>
      <c r="F255" s="181">
        <v>133.35</v>
      </c>
      <c r="G255" s="181">
        <v>5.8419999999999996</v>
      </c>
      <c r="H255" s="181">
        <v>8.3819999999999997</v>
      </c>
      <c r="I255" s="181">
        <v>0</v>
      </c>
      <c r="J255" s="181">
        <v>12.2555</v>
      </c>
      <c r="K255" s="181">
        <v>7.95</v>
      </c>
      <c r="L255" s="181">
        <v>29.9</v>
      </c>
      <c r="M255" s="181">
        <v>25764725.244639996</v>
      </c>
      <c r="N255" s="181">
        <v>278580.08799999999</v>
      </c>
      <c r="O255" s="181">
        <v>249083.37279999995</v>
      </c>
      <c r="P255" s="181">
        <v>87.122</v>
      </c>
      <c r="Q255" s="181">
        <v>3317364.4620319996</v>
      </c>
      <c r="R255" s="181">
        <v>76363.718240000002</v>
      </c>
      <c r="S255" s="181">
        <v>49816.674559999999</v>
      </c>
      <c r="T255" s="181">
        <v>31.241999999999997</v>
      </c>
      <c r="U255" s="181">
        <v>71591.805203199983</v>
      </c>
      <c r="V255" s="181">
        <v>32761375717.891708</v>
      </c>
    </row>
    <row r="256" spans="1:22">
      <c r="A256" s="2" t="s">
        <v>527</v>
      </c>
      <c r="B256" s="2" t="s">
        <v>528</v>
      </c>
      <c r="C256" s="181">
        <v>22.322399999999998</v>
      </c>
      <c r="D256" s="181">
        <v>2864.5104000000001</v>
      </c>
      <c r="E256" s="181">
        <v>205.99399999999997</v>
      </c>
      <c r="F256" s="181">
        <v>101.85399999999998</v>
      </c>
      <c r="G256" s="181">
        <v>6.2229999999999999</v>
      </c>
      <c r="H256" s="181">
        <v>8.0009999999999994</v>
      </c>
      <c r="I256" s="181">
        <v>0</v>
      </c>
      <c r="J256" s="181">
        <v>12.6365</v>
      </c>
      <c r="K256" s="181">
        <v>6.37</v>
      </c>
      <c r="L256" s="181">
        <v>28.1</v>
      </c>
      <c r="M256" s="181">
        <v>19979108.428799998</v>
      </c>
      <c r="N256" s="181">
        <v>222864.07039999997</v>
      </c>
      <c r="O256" s="181">
        <v>193367.35519999999</v>
      </c>
      <c r="P256" s="181">
        <v>83.566000000000003</v>
      </c>
      <c r="Q256" s="181">
        <v>1419349.161296</v>
      </c>
      <c r="R256" s="181">
        <v>43753.460879999991</v>
      </c>
      <c r="S256" s="181">
        <v>27858.008799999996</v>
      </c>
      <c r="T256" s="181">
        <v>22.250399999999999</v>
      </c>
      <c r="U256" s="181">
        <v>57023.705307199998</v>
      </c>
      <c r="V256" s="181">
        <v>13910157886.776972</v>
      </c>
    </row>
    <row r="257" spans="1:22">
      <c r="A257" s="2" t="s">
        <v>529</v>
      </c>
      <c r="B257" s="2" t="s">
        <v>530</v>
      </c>
      <c r="C257" s="181">
        <v>19.346080000000001</v>
      </c>
      <c r="D257" s="181">
        <v>2477.4143999999997</v>
      </c>
      <c r="E257" s="181">
        <v>202.946</v>
      </c>
      <c r="F257" s="181">
        <v>101.6</v>
      </c>
      <c r="G257" s="181">
        <v>5.8419999999999996</v>
      </c>
      <c r="H257" s="181">
        <v>6.4769999999999994</v>
      </c>
      <c r="I257" s="181">
        <v>0</v>
      </c>
      <c r="J257" s="181">
        <v>12.572999999999997</v>
      </c>
      <c r="K257" s="181">
        <v>7.84</v>
      </c>
      <c r="L257" s="181">
        <v>29.9</v>
      </c>
      <c r="M257" s="181">
        <v>16482764.453759998</v>
      </c>
      <c r="N257" s="181">
        <v>186812.52959999998</v>
      </c>
      <c r="O257" s="181">
        <v>162395.80424</v>
      </c>
      <c r="P257" s="181">
        <v>81.533999999999992</v>
      </c>
      <c r="Q257" s="181">
        <v>1136311.791888</v>
      </c>
      <c r="R257" s="181">
        <v>35232.187599999997</v>
      </c>
      <c r="S257" s="181">
        <v>22450.277679999999</v>
      </c>
      <c r="T257" s="181">
        <v>21.412199999999999</v>
      </c>
      <c r="U257" s="181">
        <v>36253.757169759992</v>
      </c>
      <c r="V257" s="181">
        <v>10956263354.835915</v>
      </c>
    </row>
    <row r="258" spans="1:22">
      <c r="A258" s="2" t="s">
        <v>531</v>
      </c>
      <c r="B258" s="2" t="s">
        <v>532</v>
      </c>
      <c r="C258" s="181">
        <v>14.881599999999999</v>
      </c>
      <c r="D258" s="181">
        <v>1909.6735999999999</v>
      </c>
      <c r="E258" s="181">
        <v>200.40599999999998</v>
      </c>
      <c r="F258" s="181">
        <v>100.07599999999999</v>
      </c>
      <c r="G258" s="181">
        <v>4.3180000000000005</v>
      </c>
      <c r="H258" s="181">
        <v>5.206999999999999</v>
      </c>
      <c r="I258" s="181">
        <v>0</v>
      </c>
      <c r="J258" s="181">
        <v>12.2555</v>
      </c>
      <c r="K258" s="181">
        <v>9.61</v>
      </c>
      <c r="L258" s="181">
        <v>40.5</v>
      </c>
      <c r="M258" s="181">
        <v>12819927.90848</v>
      </c>
      <c r="N258" s="181">
        <v>145353.25767999998</v>
      </c>
      <c r="O258" s="181">
        <v>127982.96983999998</v>
      </c>
      <c r="P258" s="181">
        <v>81.787999999999997</v>
      </c>
      <c r="Q258" s="181">
        <v>869923.67950399988</v>
      </c>
      <c r="R258" s="181">
        <v>27202.526239999996</v>
      </c>
      <c r="S258" s="181">
        <v>17370.287840000001</v>
      </c>
      <c r="T258" s="181">
        <v>21.3614</v>
      </c>
      <c r="U258" s="181">
        <v>17731.458730559996</v>
      </c>
      <c r="V258" s="181">
        <v>8297758276.0889654</v>
      </c>
    </row>
    <row r="259" spans="1:22">
      <c r="A259" s="2" t="s">
        <v>533</v>
      </c>
      <c r="B259" s="2" t="s">
        <v>534</v>
      </c>
      <c r="C259" s="181">
        <v>37.204000000000001</v>
      </c>
      <c r="D259" s="181">
        <v>4748.3775999999998</v>
      </c>
      <c r="E259" s="181">
        <v>162.05199999999999</v>
      </c>
      <c r="F259" s="181">
        <v>154.43199999999999</v>
      </c>
      <c r="G259" s="181">
        <v>8.1280000000000001</v>
      </c>
      <c r="H259" s="181">
        <v>11.557</v>
      </c>
      <c r="I259" s="181">
        <v>0</v>
      </c>
      <c r="J259" s="181">
        <v>12.2555</v>
      </c>
      <c r="K259" s="181">
        <v>6.68</v>
      </c>
      <c r="L259" s="181">
        <v>15.2</v>
      </c>
      <c r="M259" s="181">
        <v>22310004.412159998</v>
      </c>
      <c r="N259" s="181">
        <v>311354.21599999996</v>
      </c>
      <c r="O259" s="181">
        <v>275302.6752</v>
      </c>
      <c r="P259" s="181">
        <v>68.58</v>
      </c>
      <c r="Q259" s="181">
        <v>7117557.3777599996</v>
      </c>
      <c r="R259" s="181">
        <v>140437.13847999999</v>
      </c>
      <c r="S259" s="181">
        <v>91931.429040000003</v>
      </c>
      <c r="T259" s="181">
        <v>38.607999999999997</v>
      </c>
      <c r="U259" s="181">
        <v>195628.77003199997</v>
      </c>
      <c r="V259" s="181">
        <v>40280379981.014397</v>
      </c>
    </row>
    <row r="260" spans="1:22">
      <c r="A260" s="2" t="s">
        <v>535</v>
      </c>
      <c r="B260" s="2" t="s">
        <v>536</v>
      </c>
      <c r="C260" s="181">
        <v>29.763199999999998</v>
      </c>
      <c r="D260" s="181">
        <v>3799.9923999999996</v>
      </c>
      <c r="E260" s="181">
        <v>157.47999999999999</v>
      </c>
      <c r="F260" s="181">
        <v>152.90799999999999</v>
      </c>
      <c r="G260" s="181">
        <v>6.6040000000000001</v>
      </c>
      <c r="H260" s="181">
        <v>9.270999999999999</v>
      </c>
      <c r="I260" s="181">
        <v>0</v>
      </c>
      <c r="J260" s="181">
        <v>12.953999999999999</v>
      </c>
      <c r="K260" s="181">
        <v>8.25</v>
      </c>
      <c r="L260" s="181">
        <v>18.7</v>
      </c>
      <c r="M260" s="181">
        <v>17273604.1624</v>
      </c>
      <c r="N260" s="181">
        <v>245805.95999999996</v>
      </c>
      <c r="O260" s="181">
        <v>219586.65759999998</v>
      </c>
      <c r="P260" s="181">
        <v>67.563999999999993</v>
      </c>
      <c r="Q260" s="181">
        <v>5535877.9604799999</v>
      </c>
      <c r="R260" s="181">
        <v>110121.07007999999</v>
      </c>
      <c r="S260" s="181">
        <v>72266.952239999999</v>
      </c>
      <c r="T260" s="181">
        <v>38.099999999999994</v>
      </c>
      <c r="U260" s="181">
        <v>102392.93069759999</v>
      </c>
      <c r="V260" s="181">
        <v>30344552919.030846</v>
      </c>
    </row>
    <row r="261" spans="1:22">
      <c r="A261" s="2" t="s">
        <v>537</v>
      </c>
      <c r="B261" s="2" t="s">
        <v>538</v>
      </c>
      <c r="C261" s="181">
        <v>22.322399999999998</v>
      </c>
      <c r="D261" s="181">
        <v>2870.962</v>
      </c>
      <c r="E261" s="181">
        <v>152.14599999999999</v>
      </c>
      <c r="F261" s="181">
        <v>152.14599999999999</v>
      </c>
      <c r="G261" s="181">
        <v>5.8419999999999996</v>
      </c>
      <c r="H261" s="181">
        <v>6.6040000000000001</v>
      </c>
      <c r="I261" s="181">
        <v>0</v>
      </c>
      <c r="J261" s="181">
        <v>12.445999999999998</v>
      </c>
      <c r="K261" s="181">
        <v>11.5</v>
      </c>
      <c r="L261" s="181">
        <v>21.2</v>
      </c>
      <c r="M261" s="181">
        <v>12195580.770079998</v>
      </c>
      <c r="N261" s="181">
        <v>176980.29120000001</v>
      </c>
      <c r="O261" s="181">
        <v>160101.61527999997</v>
      </c>
      <c r="P261" s="181">
        <v>65.024000000000001</v>
      </c>
      <c r="Q261" s="181">
        <v>3879276.8865919998</v>
      </c>
      <c r="R261" s="181">
        <v>77838.553999999989</v>
      </c>
      <c r="S261" s="181">
        <v>50963.769039999992</v>
      </c>
      <c r="T261" s="181">
        <v>36.83</v>
      </c>
      <c r="U261" s="181">
        <v>43704.299687999992</v>
      </c>
      <c r="V261" s="181">
        <v>20542993790.317345</v>
      </c>
    </row>
    <row r="262" spans="1:22">
      <c r="A262" s="2" t="s">
        <v>539</v>
      </c>
      <c r="B262" s="2" t="s">
        <v>540</v>
      </c>
      <c r="C262" s="181">
        <v>23.810559999999999</v>
      </c>
      <c r="D262" s="181">
        <v>3058.0583999999999</v>
      </c>
      <c r="E262" s="181">
        <v>159.512</v>
      </c>
      <c r="F262" s="181">
        <v>102.36199999999999</v>
      </c>
      <c r="G262" s="181">
        <v>6.6040000000000001</v>
      </c>
      <c r="H262" s="181">
        <v>10.287000000000001</v>
      </c>
      <c r="I262" s="181">
        <v>0</v>
      </c>
      <c r="J262" s="181">
        <v>11.937999999999997</v>
      </c>
      <c r="K262" s="181">
        <v>4.9800000000000004</v>
      </c>
      <c r="L262" s="181">
        <v>19.100000000000001</v>
      </c>
      <c r="M262" s="181">
        <v>13361028.76176</v>
      </c>
      <c r="N262" s="181">
        <v>191728.64879999997</v>
      </c>
      <c r="O262" s="181">
        <v>167148.05279999998</v>
      </c>
      <c r="P262" s="181">
        <v>66.039999999999992</v>
      </c>
      <c r="Q262" s="181">
        <v>1843905.2154079997</v>
      </c>
      <c r="R262" s="181">
        <v>55552.146959999998</v>
      </c>
      <c r="S262" s="181">
        <v>36051.540800000002</v>
      </c>
      <c r="T262" s="181">
        <v>24.561799999999998</v>
      </c>
      <c r="U262" s="181">
        <v>92819.607908799997</v>
      </c>
      <c r="V262" s="181">
        <v>10258070101.831667</v>
      </c>
    </row>
    <row r="263" spans="1:22">
      <c r="A263" s="2" t="s">
        <v>541</v>
      </c>
      <c r="B263" s="2" t="s">
        <v>542</v>
      </c>
      <c r="C263" s="181">
        <v>17.85792</v>
      </c>
      <c r="D263" s="181">
        <v>2290.3179999999998</v>
      </c>
      <c r="E263" s="181">
        <v>153.16200000000001</v>
      </c>
      <c r="F263" s="181">
        <v>101.6</v>
      </c>
      <c r="G263" s="181">
        <v>5.8419999999999996</v>
      </c>
      <c r="H263" s="181">
        <v>7.1120000000000001</v>
      </c>
      <c r="I263" s="181">
        <v>0</v>
      </c>
      <c r="J263" s="181">
        <v>11.937999999999997</v>
      </c>
      <c r="K263" s="181">
        <v>7.14</v>
      </c>
      <c r="L263" s="181">
        <v>21.6</v>
      </c>
      <c r="M263" s="181">
        <v>9198714.5057599992</v>
      </c>
      <c r="N263" s="181">
        <v>136012.6312</v>
      </c>
      <c r="O263" s="181">
        <v>119789.43783999998</v>
      </c>
      <c r="P263" s="181">
        <v>63.246000000000002</v>
      </c>
      <c r="Q263" s="181">
        <v>1244531.962544</v>
      </c>
      <c r="R263" s="181">
        <v>38017.988479999993</v>
      </c>
      <c r="S263" s="181">
        <v>24580.595999999998</v>
      </c>
      <c r="T263" s="181">
        <v>23.3172</v>
      </c>
      <c r="U263" s="181">
        <v>37585.697731679997</v>
      </c>
      <c r="V263" s="181">
        <v>6632835903.5403709</v>
      </c>
    </row>
    <row r="264" spans="1:22">
      <c r="A264" s="2" t="s">
        <v>543</v>
      </c>
      <c r="B264" s="2" t="s">
        <v>544</v>
      </c>
      <c r="C264" s="181">
        <v>13.39344</v>
      </c>
      <c r="D264" s="181">
        <v>1729.0288</v>
      </c>
      <c r="E264" s="181">
        <v>149.86000000000001</v>
      </c>
      <c r="F264" s="181">
        <v>100.07599999999999</v>
      </c>
      <c r="G264" s="181">
        <v>4.3180000000000005</v>
      </c>
      <c r="H264" s="181">
        <v>5.4609999999999994</v>
      </c>
      <c r="I264" s="181">
        <v>0</v>
      </c>
      <c r="J264" s="181">
        <v>12.0015</v>
      </c>
      <c r="K264" s="181">
        <v>9.16</v>
      </c>
      <c r="L264" s="181">
        <v>29.2</v>
      </c>
      <c r="M264" s="181">
        <v>6826195.3798399987</v>
      </c>
      <c r="N264" s="181">
        <v>102091.40871999999</v>
      </c>
      <c r="O264" s="181">
        <v>91112.07583999999</v>
      </c>
      <c r="P264" s="181">
        <v>62.738</v>
      </c>
      <c r="Q264" s="181">
        <v>915709.13631999993</v>
      </c>
      <c r="R264" s="181">
        <v>28185.750079999998</v>
      </c>
      <c r="S264" s="181">
        <v>18189.641039999999</v>
      </c>
      <c r="T264" s="181">
        <v>22.986999999999998</v>
      </c>
      <c r="U264" s="181">
        <v>16857.3727368</v>
      </c>
      <c r="V264" s="181">
        <v>4779938424.4137087</v>
      </c>
    </row>
    <row r="265" spans="1:22">
      <c r="A265" s="2" t="s">
        <v>545</v>
      </c>
      <c r="B265" s="2" t="s">
        <v>546</v>
      </c>
      <c r="C265" s="181">
        <v>12.64936</v>
      </c>
      <c r="D265" s="181">
        <v>1619.3515999999997</v>
      </c>
      <c r="E265" s="181">
        <v>148.08199999999999</v>
      </c>
      <c r="F265" s="181">
        <v>100.07599999999999</v>
      </c>
      <c r="G265" s="181">
        <v>4.3180000000000005</v>
      </c>
      <c r="H265" s="181">
        <v>4.9276</v>
      </c>
      <c r="I265" s="181">
        <v>0</v>
      </c>
      <c r="J265" s="181">
        <v>12.534899999999999</v>
      </c>
      <c r="K265" s="181">
        <v>10.199999999999999</v>
      </c>
      <c r="L265" s="181">
        <v>29.1</v>
      </c>
      <c r="M265" s="181">
        <v>6160225.0988799995</v>
      </c>
      <c r="N265" s="181">
        <v>93570.135439999984</v>
      </c>
      <c r="O265" s="181">
        <v>83246.28512</v>
      </c>
      <c r="P265" s="181">
        <v>61.722000000000001</v>
      </c>
      <c r="Q265" s="181">
        <v>824138.22268799995</v>
      </c>
      <c r="R265" s="181">
        <v>25399.949199999999</v>
      </c>
      <c r="S265" s="181">
        <v>16550.934639999999</v>
      </c>
      <c r="T265" s="181">
        <v>22.5806</v>
      </c>
      <c r="U265" s="181">
        <v>13735.6370448</v>
      </c>
      <c r="V265" s="181">
        <v>4216013104.6795068</v>
      </c>
    </row>
    <row r="266" spans="1:22">
      <c r="A266" s="2" t="s">
        <v>547</v>
      </c>
      <c r="B266" s="2" t="s">
        <v>548</v>
      </c>
      <c r="C266" s="181">
        <v>28.275039999999997</v>
      </c>
      <c r="D266" s="181">
        <v>3587.0895999999998</v>
      </c>
      <c r="E266" s="181">
        <v>130.81</v>
      </c>
      <c r="F266" s="181">
        <v>127.762</v>
      </c>
      <c r="G266" s="181">
        <v>6.8579999999999997</v>
      </c>
      <c r="H266" s="181">
        <v>10.921999999999999</v>
      </c>
      <c r="I266" s="181">
        <v>0</v>
      </c>
      <c r="J266" s="181">
        <v>9.7155000000000005</v>
      </c>
      <c r="K266" s="181">
        <v>5.85</v>
      </c>
      <c r="L266" s="181">
        <v>13.7</v>
      </c>
      <c r="M266" s="181">
        <v>10946886.493279999</v>
      </c>
      <c r="N266" s="181">
        <v>190089.94239999997</v>
      </c>
      <c r="O266" s="181">
        <v>167148.05279999998</v>
      </c>
      <c r="P266" s="181">
        <v>55.117999999999995</v>
      </c>
      <c r="Q266" s="181">
        <v>3800192.915728</v>
      </c>
      <c r="R266" s="181">
        <v>90620.463919999995</v>
      </c>
      <c r="S266" s="181">
        <v>59485.042319999993</v>
      </c>
      <c r="T266" s="181">
        <v>32.512</v>
      </c>
      <c r="U266" s="181">
        <v>131529.13048959998</v>
      </c>
      <c r="V266" s="181">
        <v>13668475606.890884</v>
      </c>
    </row>
    <row r="267" spans="1:22">
      <c r="A267" s="2" t="s">
        <v>549</v>
      </c>
      <c r="B267" s="2" t="s">
        <v>550</v>
      </c>
      <c r="C267" s="181">
        <v>23.810559999999999</v>
      </c>
      <c r="D267" s="181">
        <v>3038.7035999999998</v>
      </c>
      <c r="E267" s="181">
        <v>127.25399999999999</v>
      </c>
      <c r="F267" s="181">
        <v>127</v>
      </c>
      <c r="G267" s="181">
        <v>6.0959999999999992</v>
      </c>
      <c r="H267" s="181">
        <v>9.1439999999999984</v>
      </c>
      <c r="I267" s="181">
        <v>0</v>
      </c>
      <c r="J267" s="181">
        <v>9.9059999999999988</v>
      </c>
      <c r="K267" s="181">
        <v>6.94</v>
      </c>
      <c r="L267" s="181">
        <v>15.4</v>
      </c>
      <c r="M267" s="181">
        <v>8907352.5078399982</v>
      </c>
      <c r="N267" s="181">
        <v>157807.42632</v>
      </c>
      <c r="O267" s="181">
        <v>140109.39720000001</v>
      </c>
      <c r="P267" s="181">
        <v>54.101999999999997</v>
      </c>
      <c r="Q267" s="181">
        <v>3125898.0062559997</v>
      </c>
      <c r="R267" s="181">
        <v>75052.753119999994</v>
      </c>
      <c r="S267" s="181">
        <v>49161.191999999995</v>
      </c>
      <c r="T267" s="181">
        <v>32.003999999999998</v>
      </c>
      <c r="U267" s="181">
        <v>79916.433715199993</v>
      </c>
      <c r="V267" s="181">
        <v>10902556181.527897</v>
      </c>
    </row>
    <row r="268" spans="1:22">
      <c r="A268" s="2" t="s">
        <v>551</v>
      </c>
      <c r="B268" s="2" t="s">
        <v>552</v>
      </c>
      <c r="C268" s="181">
        <v>19.346080000000001</v>
      </c>
      <c r="D268" s="181">
        <v>2470.9627999999998</v>
      </c>
      <c r="E268" s="181">
        <v>105.664</v>
      </c>
      <c r="F268" s="181">
        <v>103.12399999999998</v>
      </c>
      <c r="G268" s="181">
        <v>7.1120000000000001</v>
      </c>
      <c r="H268" s="181">
        <v>8.7629999999999981</v>
      </c>
      <c r="I268" s="181">
        <v>0</v>
      </c>
      <c r="J268" s="181">
        <v>10.286999999999999</v>
      </c>
      <c r="K268" s="181">
        <v>5.88</v>
      </c>
      <c r="L268" s="181">
        <v>10.6</v>
      </c>
      <c r="M268" s="181">
        <v>4703415.1092799995</v>
      </c>
      <c r="N268" s="181">
        <v>102910.76191999999</v>
      </c>
      <c r="O268" s="181">
        <v>89473.369439999995</v>
      </c>
      <c r="P268" s="181">
        <v>43.687999999999995</v>
      </c>
      <c r="Q268" s="181">
        <v>1606653.3028159998</v>
      </c>
      <c r="R268" s="181">
        <v>47850.226879999995</v>
      </c>
      <c r="S268" s="181">
        <v>31135.421599999994</v>
      </c>
      <c r="T268" s="181">
        <v>25.4</v>
      </c>
      <c r="U268" s="181">
        <v>62850.945265599992</v>
      </c>
      <c r="V268" s="181">
        <v>3759502131.5613437</v>
      </c>
    </row>
    <row r="269" spans="1:22">
      <c r="A269" s="2" t="s">
        <v>554</v>
      </c>
      <c r="B269" s="2" t="s">
        <v>555</v>
      </c>
      <c r="C269" s="181">
        <v>17.560288</v>
      </c>
      <c r="D269" s="181">
        <v>2238.7051999999999</v>
      </c>
      <c r="E269" s="181">
        <v>304.79999999999995</v>
      </c>
      <c r="F269" s="181">
        <v>77.977999999999994</v>
      </c>
      <c r="G269" s="181">
        <v>4.4957999999999991</v>
      </c>
      <c r="H269" s="181">
        <v>5.7149999999999999</v>
      </c>
      <c r="I269" s="181">
        <v>0</v>
      </c>
      <c r="J269" s="181">
        <v>8.5724999999999998</v>
      </c>
      <c r="K269" s="181">
        <v>6.81</v>
      </c>
      <c r="L269" s="181">
        <v>62.5</v>
      </c>
      <c r="M269" s="181">
        <v>30051908.928319998</v>
      </c>
      <c r="N269" s="181">
        <v>234335.01519999999</v>
      </c>
      <c r="O269" s="181">
        <v>196644.76799999998</v>
      </c>
      <c r="P269" s="181">
        <v>115.82399999999998</v>
      </c>
      <c r="Q269" s="181">
        <v>453692.25390399998</v>
      </c>
      <c r="R269" s="181">
        <v>18845.123599999995</v>
      </c>
      <c r="S269" s="181">
        <v>11618.428375999998</v>
      </c>
      <c r="T269" s="181">
        <v>14.198600000000001</v>
      </c>
      <c r="U269" s="181">
        <v>20811.57128</v>
      </c>
      <c r="V269" s="181">
        <v>10150655755.215628</v>
      </c>
    </row>
    <row r="270" spans="1:22">
      <c r="A270" s="2" t="s">
        <v>556</v>
      </c>
      <c r="B270" s="2" t="s">
        <v>557</v>
      </c>
      <c r="C270" s="181">
        <v>16.072127999999999</v>
      </c>
      <c r="D270" s="181">
        <v>2051.6088</v>
      </c>
      <c r="E270" s="181">
        <v>304.79999999999995</v>
      </c>
      <c r="F270" s="181">
        <v>77.977999999999994</v>
      </c>
      <c r="G270" s="181">
        <v>4.0640000000000001</v>
      </c>
      <c r="H270" s="181">
        <v>5.3339999999999996</v>
      </c>
      <c r="I270" s="181">
        <v>0</v>
      </c>
      <c r="J270" s="181">
        <v>8.9535</v>
      </c>
      <c r="K270" s="181">
        <v>7.3</v>
      </c>
      <c r="L270" s="181">
        <v>69.2</v>
      </c>
      <c r="M270" s="181">
        <v>27762636.08752</v>
      </c>
      <c r="N270" s="181">
        <v>216309.24479999996</v>
      </c>
      <c r="O270" s="181">
        <v>181896.41039999996</v>
      </c>
      <c r="P270" s="181">
        <v>116.33199999999999</v>
      </c>
      <c r="Q270" s="181">
        <v>420393.73985599994</v>
      </c>
      <c r="R270" s="181">
        <v>17534.158479999998</v>
      </c>
      <c r="S270" s="181">
        <v>10831.849303999999</v>
      </c>
      <c r="T270" s="181">
        <v>14.325599999999998</v>
      </c>
      <c r="U270" s="181">
        <v>16357.895026079999</v>
      </c>
      <c r="V270" s="181">
        <v>9371901742.2493496</v>
      </c>
    </row>
    <row r="271" spans="1:22">
      <c r="A271" s="2" t="s">
        <v>558</v>
      </c>
      <c r="B271" s="2" t="s">
        <v>559</v>
      </c>
      <c r="C271" s="181">
        <v>14.881599999999999</v>
      </c>
      <c r="D271" s="181">
        <v>1903.222</v>
      </c>
      <c r="E271" s="181">
        <v>304.79999999999995</v>
      </c>
      <c r="F271" s="181">
        <v>82.55</v>
      </c>
      <c r="G271" s="181">
        <v>3.7845999999999997</v>
      </c>
      <c r="H271" s="181">
        <v>4.5719999999999992</v>
      </c>
      <c r="I271" s="181">
        <v>0</v>
      </c>
      <c r="J271" s="181">
        <v>8.1280000000000001</v>
      </c>
      <c r="K271" s="181">
        <v>9.0299999999999994</v>
      </c>
      <c r="L271" s="181">
        <v>74.7</v>
      </c>
      <c r="M271" s="181">
        <v>25681478.959519997</v>
      </c>
      <c r="N271" s="181">
        <v>199922.18079999997</v>
      </c>
      <c r="O271" s="181">
        <v>168786.7592</v>
      </c>
      <c r="P271" s="181">
        <v>116.078</v>
      </c>
      <c r="Q271" s="181">
        <v>428718.36836799997</v>
      </c>
      <c r="R271" s="181">
        <v>16714.80528</v>
      </c>
      <c r="S271" s="181">
        <v>10422.172703999999</v>
      </c>
      <c r="T271" s="181">
        <v>15.036799999999998</v>
      </c>
      <c r="U271" s="181">
        <v>12153.95762752</v>
      </c>
      <c r="V271" s="181">
        <v>9613584022.1354351</v>
      </c>
    </row>
    <row r="272" spans="1:22">
      <c r="A272" s="2" t="s">
        <v>560</v>
      </c>
      <c r="B272" s="2" t="s">
        <v>561</v>
      </c>
      <c r="C272" s="181">
        <v>13.39344</v>
      </c>
      <c r="D272" s="181">
        <v>1709.6739999999998</v>
      </c>
      <c r="E272" s="181">
        <v>254</v>
      </c>
      <c r="F272" s="181">
        <v>68.325999999999993</v>
      </c>
      <c r="G272" s="181">
        <v>3.9878</v>
      </c>
      <c r="H272" s="181">
        <v>5.2323999999999993</v>
      </c>
      <c r="I272" s="181">
        <v>0</v>
      </c>
      <c r="J272" s="181">
        <v>9.0550999999999995</v>
      </c>
      <c r="K272" s="181">
        <v>6.53</v>
      </c>
      <c r="L272" s="181">
        <v>58.4</v>
      </c>
      <c r="M272" s="181">
        <v>16233025.598399999</v>
      </c>
      <c r="N272" s="181">
        <v>151088.73008000001</v>
      </c>
      <c r="O272" s="181">
        <v>127655.22855999999</v>
      </c>
      <c r="P272" s="181">
        <v>97.281999999999996</v>
      </c>
      <c r="Q272" s="181">
        <v>279707.51800320001</v>
      </c>
      <c r="R272" s="181">
        <v>13257.134775999999</v>
      </c>
      <c r="S272" s="181">
        <v>8193.5319999999992</v>
      </c>
      <c r="T272" s="181">
        <v>12.776199999999999</v>
      </c>
      <c r="U272" s="181">
        <v>13069.666763839998</v>
      </c>
      <c r="V272" s="181">
        <v>4323427451.2955456</v>
      </c>
    </row>
    <row r="273" spans="1:22">
      <c r="A273" s="2" t="s">
        <v>562</v>
      </c>
      <c r="B273" s="2" t="s">
        <v>563</v>
      </c>
      <c r="C273" s="181">
        <v>11.905279999999999</v>
      </c>
      <c r="D273" s="181">
        <v>1529.0291999999999</v>
      </c>
      <c r="E273" s="181">
        <v>252.72999999999996</v>
      </c>
      <c r="F273" s="181">
        <v>68.325999999999993</v>
      </c>
      <c r="G273" s="181">
        <v>3.5813999999999995</v>
      </c>
      <c r="H273" s="181">
        <v>4.6227999999999998</v>
      </c>
      <c r="I273" s="181">
        <v>0</v>
      </c>
      <c r="J273" s="181">
        <v>9.6646999999999998</v>
      </c>
      <c r="K273" s="181">
        <v>7.39</v>
      </c>
      <c r="L273" s="181">
        <v>65</v>
      </c>
      <c r="M273" s="181">
        <v>14401607.325759999</v>
      </c>
      <c r="N273" s="181">
        <v>134373.92479999998</v>
      </c>
      <c r="O273" s="181">
        <v>113890.09479999999</v>
      </c>
      <c r="P273" s="181">
        <v>97.027999999999992</v>
      </c>
      <c r="Q273" s="181">
        <v>246825.23538079998</v>
      </c>
      <c r="R273" s="181">
        <v>11651.202503999999</v>
      </c>
      <c r="S273" s="181">
        <v>7226.6952239999991</v>
      </c>
      <c r="T273" s="181">
        <v>12.7</v>
      </c>
      <c r="U273" s="181">
        <v>9323.5839334399989</v>
      </c>
      <c r="V273" s="181">
        <v>3786355718.2153535</v>
      </c>
    </row>
    <row r="274" spans="1:22">
      <c r="A274" s="2" t="s">
        <v>564</v>
      </c>
      <c r="B274" s="2" t="s">
        <v>565</v>
      </c>
      <c r="C274" s="181">
        <v>11.161199999999999</v>
      </c>
      <c r="D274" s="181">
        <v>1432.2552000000001</v>
      </c>
      <c r="E274" s="181">
        <v>253.74599999999998</v>
      </c>
      <c r="F274" s="181">
        <v>68.325999999999993</v>
      </c>
      <c r="G274" s="181">
        <v>3.302</v>
      </c>
      <c r="H274" s="181">
        <v>4.3941999999999997</v>
      </c>
      <c r="I274" s="181">
        <v>0</v>
      </c>
      <c r="J274" s="181">
        <v>6.7182999999999993</v>
      </c>
      <c r="K274" s="181">
        <v>7.77</v>
      </c>
      <c r="L274" s="181">
        <v>71</v>
      </c>
      <c r="M274" s="181">
        <v>13735637.044799998</v>
      </c>
      <c r="N274" s="181">
        <v>127327.48727999999</v>
      </c>
      <c r="O274" s="181">
        <v>108154.62239999998</v>
      </c>
      <c r="P274" s="181">
        <v>97.789999999999992</v>
      </c>
      <c r="Q274" s="181">
        <v>233922.06118719999</v>
      </c>
      <c r="R274" s="181">
        <v>10979.33288</v>
      </c>
      <c r="S274" s="181">
        <v>6849.7927519999994</v>
      </c>
      <c r="T274" s="181">
        <v>12.776199999999999</v>
      </c>
      <c r="U274" s="181">
        <v>7783.5276587199996</v>
      </c>
      <c r="V274" s="181">
        <v>3625234198.291296</v>
      </c>
    </row>
    <row r="275" spans="1:22">
      <c r="A275" s="2" t="s">
        <v>566</v>
      </c>
      <c r="B275" s="2" t="s">
        <v>567</v>
      </c>
      <c r="C275" s="181">
        <v>9.6730400000000003</v>
      </c>
      <c r="D275" s="181">
        <v>1238.7071999999998</v>
      </c>
      <c r="E275" s="181">
        <v>203.2</v>
      </c>
      <c r="F275" s="181">
        <v>57.911999999999992</v>
      </c>
      <c r="G275" s="181">
        <v>3.4289999999999998</v>
      </c>
      <c r="H275" s="181">
        <v>4.8006000000000002</v>
      </c>
      <c r="I275" s="181">
        <v>0</v>
      </c>
      <c r="J275" s="181">
        <v>9.4868999999999986</v>
      </c>
      <c r="K275" s="181">
        <v>6.03</v>
      </c>
      <c r="L275" s="181">
        <v>53.8</v>
      </c>
      <c r="M275" s="181">
        <v>7700281.3735999996</v>
      </c>
      <c r="N275" s="181">
        <v>88981.757519999985</v>
      </c>
      <c r="O275" s="181">
        <v>75872.106319999992</v>
      </c>
      <c r="P275" s="181">
        <v>78.993999999999986</v>
      </c>
      <c r="Q275" s="181">
        <v>156503.01602559999</v>
      </c>
      <c r="R275" s="181">
        <v>8668.756856</v>
      </c>
      <c r="S275" s="181">
        <v>5391.3440559999999</v>
      </c>
      <c r="T275" s="181">
        <v>11.2522</v>
      </c>
      <c r="U275" s="181">
        <v>7658.658231039999</v>
      </c>
      <c r="V275" s="181">
        <v>1541395873.940151</v>
      </c>
    </row>
    <row r="276" spans="1:22">
      <c r="A276" s="2" t="s">
        <v>568</v>
      </c>
      <c r="B276" s="2" t="s">
        <v>569</v>
      </c>
      <c r="C276" s="181">
        <v>9.2265920000000001</v>
      </c>
      <c r="D276" s="181">
        <v>1174.1912</v>
      </c>
      <c r="E276" s="181">
        <v>203.2</v>
      </c>
      <c r="F276" s="181">
        <v>57.911999999999992</v>
      </c>
      <c r="G276" s="181">
        <v>3.2765999999999997</v>
      </c>
      <c r="H276" s="181">
        <v>4.4957999999999991</v>
      </c>
      <c r="I276" s="181">
        <v>0</v>
      </c>
      <c r="J276" s="181">
        <v>6.6166999999999998</v>
      </c>
      <c r="K276" s="181">
        <v>6.44</v>
      </c>
      <c r="L276" s="181">
        <v>56.5</v>
      </c>
      <c r="M276" s="181">
        <v>7325673.0905599995</v>
      </c>
      <c r="N276" s="181">
        <v>84393.3796</v>
      </c>
      <c r="O276" s="181">
        <v>71939.210959999982</v>
      </c>
      <c r="P276" s="181">
        <v>78.739999999999995</v>
      </c>
      <c r="Q276" s="181">
        <v>146513.46181119999</v>
      </c>
      <c r="R276" s="181">
        <v>8111.5966799999987</v>
      </c>
      <c r="S276" s="181">
        <v>5047.2157119999993</v>
      </c>
      <c r="T276" s="181">
        <v>11.150599999999999</v>
      </c>
      <c r="U276" s="181">
        <v>6493.2102393599989</v>
      </c>
      <c r="V276" s="181">
        <v>1447408320.6511173</v>
      </c>
    </row>
    <row r="277" spans="1:22">
      <c r="A277" s="2" t="s">
        <v>570</v>
      </c>
      <c r="B277" s="2" t="s">
        <v>571</v>
      </c>
      <c r="C277" s="181">
        <v>6.5479039999999999</v>
      </c>
      <c r="D277" s="181">
        <v>832.25639999999999</v>
      </c>
      <c r="E277" s="181">
        <v>152.39999999999998</v>
      </c>
      <c r="F277" s="181">
        <v>46.735999999999997</v>
      </c>
      <c r="G277" s="181">
        <v>2.8956</v>
      </c>
      <c r="H277" s="181">
        <v>4.3433999999999999</v>
      </c>
      <c r="I277" s="181">
        <v>0</v>
      </c>
      <c r="J277" s="181">
        <v>5.1815999999999987</v>
      </c>
      <c r="K277" s="181">
        <v>5.39</v>
      </c>
      <c r="L277" s="181">
        <v>47</v>
      </c>
      <c r="M277" s="181">
        <v>3009353.2070879997</v>
      </c>
      <c r="N277" s="181">
        <v>45883.77919999999</v>
      </c>
      <c r="O277" s="181">
        <v>39492.824240000002</v>
      </c>
      <c r="P277" s="181">
        <v>59.943999999999996</v>
      </c>
      <c r="Q277" s="181">
        <v>74921.65660799999</v>
      </c>
      <c r="R277" s="181">
        <v>5096.3769039999997</v>
      </c>
      <c r="S277" s="181">
        <v>3195.47748</v>
      </c>
      <c r="T277" s="181">
        <v>9.4487999999999985</v>
      </c>
      <c r="U277" s="181">
        <v>4120.6911134399998</v>
      </c>
      <c r="V277" s="181">
        <v>410859875.80634689</v>
      </c>
    </row>
    <row r="278" spans="1:22">
      <c r="A278" s="2" t="s">
        <v>572</v>
      </c>
      <c r="B278" s="2" t="s">
        <v>573</v>
      </c>
      <c r="C278" s="181">
        <v>5.5061920000000004</v>
      </c>
      <c r="D278" s="181">
        <v>703.22440000000006</v>
      </c>
      <c r="E278" s="181">
        <v>150.36799999999999</v>
      </c>
      <c r="F278" s="181">
        <v>50.8</v>
      </c>
      <c r="G278" s="181">
        <v>2.4891999999999999</v>
      </c>
      <c r="H278" s="181">
        <v>3.2765999999999997</v>
      </c>
      <c r="I278" s="181">
        <v>0</v>
      </c>
      <c r="J278" s="181">
        <v>4.6608999999999998</v>
      </c>
      <c r="K278" s="181">
        <v>7.75</v>
      </c>
      <c r="L278" s="181">
        <v>54.7</v>
      </c>
      <c r="M278" s="181">
        <v>2484901.6108319997</v>
      </c>
      <c r="N278" s="181">
        <v>38181.859120000001</v>
      </c>
      <c r="O278" s="181">
        <v>32937.998639999991</v>
      </c>
      <c r="P278" s="181">
        <v>59.435999999999993</v>
      </c>
      <c r="Q278" s="181">
        <v>72008.036628799993</v>
      </c>
      <c r="R278" s="181">
        <v>4473.6684720000003</v>
      </c>
      <c r="S278" s="181">
        <v>2834.9620719999994</v>
      </c>
      <c r="T278" s="181">
        <v>10.1092</v>
      </c>
      <c r="U278" s="181">
        <v>2206.02655568</v>
      </c>
      <c r="V278" s="181">
        <v>389377006.48313916</v>
      </c>
    </row>
    <row r="279" spans="1:22">
      <c r="A279" s="2" t="s">
        <v>574</v>
      </c>
      <c r="B279" s="2" t="s">
        <v>575</v>
      </c>
      <c r="C279" s="181">
        <v>28.126223999999997</v>
      </c>
      <c r="D279" s="181">
        <v>3580.6379999999999</v>
      </c>
      <c r="E279" s="181">
        <v>127</v>
      </c>
      <c r="F279" s="181">
        <v>127</v>
      </c>
      <c r="G279" s="181">
        <v>8.0263999999999989</v>
      </c>
      <c r="H279" s="181">
        <v>10.5664</v>
      </c>
      <c r="I279" s="181">
        <v>0</v>
      </c>
      <c r="J279" s="181">
        <v>10.071099999999999</v>
      </c>
      <c r="K279" s="181">
        <v>6.01</v>
      </c>
      <c r="L279" s="181">
        <v>11.2</v>
      </c>
      <c r="M279" s="181">
        <v>10031177.35696</v>
      </c>
      <c r="N279" s="181">
        <v>180257.70399999997</v>
      </c>
      <c r="O279" s="181">
        <v>157807.42632</v>
      </c>
      <c r="P279" s="181">
        <v>52.832000000000001</v>
      </c>
      <c r="Q279" s="181">
        <v>3271579.0052159997</v>
      </c>
      <c r="R279" s="181">
        <v>82263.06127999998</v>
      </c>
      <c r="S279" s="181">
        <v>51455.380959999995</v>
      </c>
      <c r="T279" s="181">
        <v>30.225999999999996</v>
      </c>
      <c r="U279" s="181">
        <v>141518.68470399998</v>
      </c>
      <c r="V279" s="181">
        <v>11090531288.105963</v>
      </c>
    </row>
    <row r="280" spans="1:22">
      <c r="A280" s="2" t="s">
        <v>576</v>
      </c>
      <c r="B280" s="2" t="s">
        <v>577</v>
      </c>
      <c r="C280" s="181">
        <v>8.92896</v>
      </c>
      <c r="D280" s="181">
        <v>1129.03</v>
      </c>
      <c r="E280" s="181">
        <v>96.52</v>
      </c>
      <c r="F280" s="181">
        <v>96.52</v>
      </c>
      <c r="G280" s="181">
        <v>3.302</v>
      </c>
      <c r="H280" s="181">
        <v>4.0640000000000001</v>
      </c>
      <c r="I280" s="181">
        <v>0</v>
      </c>
      <c r="J280" s="181">
        <v>8.6359999999999992</v>
      </c>
      <c r="K280" s="181">
        <v>11.9</v>
      </c>
      <c r="L280" s="181">
        <v>22</v>
      </c>
      <c r="M280" s="181">
        <v>1964612.3288319998</v>
      </c>
      <c r="N280" s="181">
        <v>44900.555359999998</v>
      </c>
      <c r="O280" s="181">
        <v>40639.918719999994</v>
      </c>
      <c r="P280" s="181">
        <v>41.655999999999992</v>
      </c>
      <c r="Q280" s="181">
        <v>611860.19563199987</v>
      </c>
      <c r="R280" s="181">
        <v>19336.735519999998</v>
      </c>
      <c r="S280" s="181">
        <v>12634.426344</v>
      </c>
      <c r="T280" s="181">
        <v>23.241</v>
      </c>
      <c r="U280" s="181">
        <v>7658.658231039999</v>
      </c>
      <c r="V280" s="181">
        <v>1307769670.0502675</v>
      </c>
    </row>
    <row r="281" spans="1:22">
      <c r="A281" s="2" t="s">
        <v>579</v>
      </c>
      <c r="B281" s="2" t="s">
        <v>580</v>
      </c>
      <c r="C281" s="181">
        <v>180.06735999999998</v>
      </c>
      <c r="D281" s="181">
        <v>22903.18</v>
      </c>
      <c r="E281" s="181">
        <v>622.29999999999995</v>
      </c>
      <c r="F281" s="181">
        <v>204.47</v>
      </c>
      <c r="G281" s="181">
        <v>20.32</v>
      </c>
      <c r="H281" s="181">
        <v>27.686</v>
      </c>
      <c r="I281" s="181">
        <v>0</v>
      </c>
      <c r="J281" s="181">
        <v>23.113999999999997</v>
      </c>
      <c r="K281" s="181">
        <v>3.69</v>
      </c>
      <c r="L281" s="181">
        <v>25.9</v>
      </c>
      <c r="M281" s="181">
        <v>1315291304.8959999</v>
      </c>
      <c r="N281" s="181">
        <v>5014441.5839999998</v>
      </c>
      <c r="O281" s="181">
        <v>4227862.5119999992</v>
      </c>
      <c r="P281" s="181">
        <v>239.52199999999999</v>
      </c>
      <c r="Q281" s="181">
        <v>34547208.3248</v>
      </c>
      <c r="R281" s="181">
        <v>594850.42319999984</v>
      </c>
      <c r="S281" s="181">
        <v>337573.5184</v>
      </c>
      <c r="T281" s="181">
        <v>38.862000000000002</v>
      </c>
      <c r="U281" s="181">
        <v>5327762.24768</v>
      </c>
      <c r="V281" s="181">
        <v>3061308878557.0942</v>
      </c>
    </row>
    <row r="282" spans="1:22">
      <c r="A282" s="2" t="s">
        <v>581</v>
      </c>
      <c r="B282" s="2" t="s">
        <v>582</v>
      </c>
      <c r="C282" s="181">
        <v>157.74495999999999</v>
      </c>
      <c r="D282" s="181">
        <v>20064.475999999999</v>
      </c>
      <c r="E282" s="181">
        <v>622.29999999999995</v>
      </c>
      <c r="F282" s="181">
        <v>199.898</v>
      </c>
      <c r="G282" s="181">
        <v>15.747999999999999</v>
      </c>
      <c r="H282" s="181">
        <v>27.686</v>
      </c>
      <c r="I282" s="181">
        <v>0</v>
      </c>
      <c r="J282" s="181">
        <v>23.113999999999997</v>
      </c>
      <c r="K282" s="181">
        <v>3.61</v>
      </c>
      <c r="L282" s="181">
        <v>33.4</v>
      </c>
      <c r="M282" s="181">
        <v>1223720391.2639999</v>
      </c>
      <c r="N282" s="181">
        <v>4571990.8559999997</v>
      </c>
      <c r="O282" s="181">
        <v>3932895.3599999994</v>
      </c>
      <c r="P282" s="181">
        <v>246.63400000000001</v>
      </c>
      <c r="Q282" s="181">
        <v>31966573.486079995</v>
      </c>
      <c r="R282" s="181">
        <v>547327.93759999995</v>
      </c>
      <c r="S282" s="181">
        <v>319547.74799999996</v>
      </c>
      <c r="T282" s="181">
        <v>39.878</v>
      </c>
      <c r="U282" s="181">
        <v>4203937.3985599997</v>
      </c>
      <c r="V282" s="181">
        <v>2819626598671.0078</v>
      </c>
    </row>
    <row r="283" spans="1:22">
      <c r="A283" s="2" t="s">
        <v>583</v>
      </c>
      <c r="B283" s="2" t="s">
        <v>584</v>
      </c>
      <c r="C283" s="181">
        <v>148.816</v>
      </c>
      <c r="D283" s="181">
        <v>18903.187999999998</v>
      </c>
      <c r="E283" s="181">
        <v>609.59999999999991</v>
      </c>
      <c r="F283" s="181">
        <v>184.14999999999998</v>
      </c>
      <c r="G283" s="181">
        <v>18.922999999999998</v>
      </c>
      <c r="H283" s="181">
        <v>22.097999999999999</v>
      </c>
      <c r="I283" s="181">
        <v>0</v>
      </c>
      <c r="J283" s="181">
        <v>22.351999999999997</v>
      </c>
      <c r="K283" s="181">
        <v>4.16</v>
      </c>
      <c r="L283" s="181">
        <v>27.8</v>
      </c>
      <c r="M283" s="181">
        <v>990630792.92799985</v>
      </c>
      <c r="N283" s="181">
        <v>3916508.2959999996</v>
      </c>
      <c r="O283" s="181">
        <v>3261025.7359999996</v>
      </c>
      <c r="P283" s="181">
        <v>228.85399999999998</v>
      </c>
      <c r="Q283" s="181">
        <v>19729369.573439997</v>
      </c>
      <c r="R283" s="181">
        <v>393289.53599999996</v>
      </c>
      <c r="S283" s="181">
        <v>214670.53839999996</v>
      </c>
      <c r="T283" s="181">
        <v>32.257999999999996</v>
      </c>
      <c r="U283" s="181">
        <v>3159196.5203039995</v>
      </c>
      <c r="V283" s="181">
        <v>1702517393864.2085</v>
      </c>
    </row>
    <row r="284" spans="1:22">
      <c r="A284" s="2" t="s">
        <v>585</v>
      </c>
      <c r="B284" s="2" t="s">
        <v>586</v>
      </c>
      <c r="C284" s="181">
        <v>133.93439999999998</v>
      </c>
      <c r="D284" s="181">
        <v>17096.739999999998</v>
      </c>
      <c r="E284" s="181">
        <v>609.59999999999991</v>
      </c>
      <c r="F284" s="181">
        <v>181.10199999999998</v>
      </c>
      <c r="G284" s="181">
        <v>15.875</v>
      </c>
      <c r="H284" s="181">
        <v>22.097999999999999</v>
      </c>
      <c r="I284" s="181">
        <v>0</v>
      </c>
      <c r="J284" s="181">
        <v>22.351999999999997</v>
      </c>
      <c r="K284" s="181">
        <v>4.09</v>
      </c>
      <c r="L284" s="181">
        <v>33.1</v>
      </c>
      <c r="M284" s="181">
        <v>936520707.5999999</v>
      </c>
      <c r="N284" s="181">
        <v>3637928.2079999996</v>
      </c>
      <c r="O284" s="181">
        <v>3064380.9679999999</v>
      </c>
      <c r="P284" s="181">
        <v>233.934</v>
      </c>
      <c r="Q284" s="181">
        <v>18605544.724319998</v>
      </c>
      <c r="R284" s="181">
        <v>367070.23359999992</v>
      </c>
      <c r="S284" s="181">
        <v>204838.3</v>
      </c>
      <c r="T284" s="181">
        <v>33.019999999999996</v>
      </c>
      <c r="U284" s="181">
        <v>2518200.1248799996</v>
      </c>
      <c r="V284" s="181">
        <v>1605844481909.7739</v>
      </c>
    </row>
    <row r="285" spans="1:22">
      <c r="A285" s="2" t="s">
        <v>587</v>
      </c>
      <c r="B285" s="2" t="s">
        <v>588</v>
      </c>
      <c r="C285" s="181">
        <v>119.05279999999999</v>
      </c>
      <c r="D285" s="181">
        <v>15161.259999999998</v>
      </c>
      <c r="E285" s="181">
        <v>609.59999999999991</v>
      </c>
      <c r="F285" s="181">
        <v>177.79999999999998</v>
      </c>
      <c r="G285" s="181">
        <v>12.7</v>
      </c>
      <c r="H285" s="181">
        <v>22.097999999999999</v>
      </c>
      <c r="I285" s="181">
        <v>0</v>
      </c>
      <c r="J285" s="181">
        <v>22.351999999999997</v>
      </c>
      <c r="K285" s="181">
        <v>4.0199999999999996</v>
      </c>
      <c r="L285" s="181">
        <v>41.4</v>
      </c>
      <c r="M285" s="181">
        <v>874085993.75999987</v>
      </c>
      <c r="N285" s="181">
        <v>3342961.0559999999</v>
      </c>
      <c r="O285" s="181">
        <v>2867736.1999999997</v>
      </c>
      <c r="P285" s="181">
        <v>240.53800000000001</v>
      </c>
      <c r="Q285" s="181">
        <v>17481719.8752</v>
      </c>
      <c r="R285" s="181">
        <v>340850.93119999999</v>
      </c>
      <c r="S285" s="181">
        <v>196644.76799999998</v>
      </c>
      <c r="T285" s="181">
        <v>34.036000000000001</v>
      </c>
      <c r="U285" s="181">
        <v>2035371.6711839996</v>
      </c>
      <c r="V285" s="181">
        <v>1509171569955.3394</v>
      </c>
    </row>
    <row r="286" spans="1:22">
      <c r="A286" s="2" t="s">
        <v>589</v>
      </c>
      <c r="B286" s="2" t="s">
        <v>590</v>
      </c>
      <c r="C286" s="181">
        <v>142.86336</v>
      </c>
      <c r="D286" s="181">
        <v>18193.511999999999</v>
      </c>
      <c r="E286" s="181">
        <v>515.62</v>
      </c>
      <c r="F286" s="181">
        <v>182.88</v>
      </c>
      <c r="G286" s="181">
        <v>20.32</v>
      </c>
      <c r="H286" s="181">
        <v>23.367999999999999</v>
      </c>
      <c r="I286" s="181">
        <v>0</v>
      </c>
      <c r="J286" s="181">
        <v>21.081999999999997</v>
      </c>
      <c r="K286" s="181">
        <v>3.91</v>
      </c>
      <c r="L286" s="181">
        <v>21.1</v>
      </c>
      <c r="M286" s="181">
        <v>695106480.75199997</v>
      </c>
      <c r="N286" s="181">
        <v>3244638.6719999998</v>
      </c>
      <c r="O286" s="181">
        <v>2703865.5599999996</v>
      </c>
      <c r="P286" s="181">
        <v>195.83399999999997</v>
      </c>
      <c r="Q286" s="181">
        <v>20769948.137439996</v>
      </c>
      <c r="R286" s="181">
        <v>408037.89359999995</v>
      </c>
      <c r="S286" s="181">
        <v>227780.18959999998</v>
      </c>
      <c r="T286" s="181">
        <v>33.781999999999996</v>
      </c>
      <c r="U286" s="181">
        <v>3496343.9750399999</v>
      </c>
      <c r="V286" s="181">
        <v>1259433214073.05</v>
      </c>
    </row>
    <row r="287" spans="1:22">
      <c r="A287" s="2" t="s">
        <v>591</v>
      </c>
      <c r="B287" s="2" t="s">
        <v>592</v>
      </c>
      <c r="C287" s="181">
        <v>127.98175999999999</v>
      </c>
      <c r="D287" s="181">
        <v>16322.547999999999</v>
      </c>
      <c r="E287" s="181">
        <v>515.62</v>
      </c>
      <c r="F287" s="181">
        <v>179.32399999999998</v>
      </c>
      <c r="G287" s="181">
        <v>16.763999999999999</v>
      </c>
      <c r="H287" s="181">
        <v>23.367999999999999</v>
      </c>
      <c r="I287" s="181">
        <v>0</v>
      </c>
      <c r="J287" s="181">
        <v>21.081999999999997</v>
      </c>
      <c r="K287" s="181">
        <v>3.84</v>
      </c>
      <c r="L287" s="181">
        <v>25.6</v>
      </c>
      <c r="M287" s="181">
        <v>653483338.19199991</v>
      </c>
      <c r="N287" s="181">
        <v>2998832.7119999998</v>
      </c>
      <c r="O287" s="181">
        <v>2539994.92</v>
      </c>
      <c r="P287" s="181">
        <v>200.40599999999998</v>
      </c>
      <c r="Q287" s="181">
        <v>19396384.43296</v>
      </c>
      <c r="R287" s="181">
        <v>378541.17839999998</v>
      </c>
      <c r="S287" s="181">
        <v>216309.24479999996</v>
      </c>
      <c r="T287" s="181">
        <v>34.544000000000004</v>
      </c>
      <c r="U287" s="181">
        <v>2767938.9802399999</v>
      </c>
      <c r="V287" s="181">
        <v>1176187095445.6204</v>
      </c>
    </row>
    <row r="288" spans="1:22">
      <c r="A288" s="2" t="s">
        <v>593</v>
      </c>
      <c r="B288" s="2" t="s">
        <v>594</v>
      </c>
      <c r="C288" s="181">
        <v>111.61199999999999</v>
      </c>
      <c r="D288" s="181">
        <v>14193.519999999999</v>
      </c>
      <c r="E288" s="181">
        <v>508</v>
      </c>
      <c r="F288" s="181">
        <v>162.30599999999998</v>
      </c>
      <c r="G288" s="181">
        <v>16.128999999999998</v>
      </c>
      <c r="H288" s="181">
        <v>20.193000000000001</v>
      </c>
      <c r="I288" s="181">
        <v>0</v>
      </c>
      <c r="J288" s="181">
        <v>21.081999999999997</v>
      </c>
      <c r="K288" s="181">
        <v>4.0199999999999996</v>
      </c>
      <c r="L288" s="181">
        <v>26.6</v>
      </c>
      <c r="M288" s="181">
        <v>532776224.76799995</v>
      </c>
      <c r="N288" s="181">
        <v>2490833.7279999997</v>
      </c>
      <c r="O288" s="181">
        <v>2097544.1919999998</v>
      </c>
      <c r="P288" s="181">
        <v>193.548</v>
      </c>
      <c r="Q288" s="181">
        <v>12278827.055199999</v>
      </c>
      <c r="R288" s="181">
        <v>273663.96879999997</v>
      </c>
      <c r="S288" s="181">
        <v>151580.34199999998</v>
      </c>
      <c r="T288" s="181">
        <v>29.463999999999995</v>
      </c>
      <c r="U288" s="181">
        <v>1910502.2435039997</v>
      </c>
      <c r="V288" s="181">
        <v>730417556989.06104</v>
      </c>
    </row>
    <row r="289" spans="1:22">
      <c r="A289" s="2" t="s">
        <v>595</v>
      </c>
      <c r="B289" s="2" t="s">
        <v>596</v>
      </c>
      <c r="C289" s="181">
        <v>98.218559999999997</v>
      </c>
      <c r="D289" s="181">
        <v>12516.103999999999</v>
      </c>
      <c r="E289" s="181">
        <v>508</v>
      </c>
      <c r="F289" s="181">
        <v>159.00399999999999</v>
      </c>
      <c r="G289" s="181">
        <v>12.827</v>
      </c>
      <c r="H289" s="181">
        <v>20.193000000000001</v>
      </c>
      <c r="I289" s="181">
        <v>0</v>
      </c>
      <c r="J289" s="181">
        <v>21.081999999999997</v>
      </c>
      <c r="K289" s="181">
        <v>3.93</v>
      </c>
      <c r="L289" s="181">
        <v>33.5</v>
      </c>
      <c r="M289" s="181">
        <v>495315396.46399993</v>
      </c>
      <c r="N289" s="181">
        <v>2277801.8959999997</v>
      </c>
      <c r="O289" s="181">
        <v>1950060.6159999999</v>
      </c>
      <c r="P289" s="181">
        <v>198.88199999999998</v>
      </c>
      <c r="Q289" s="181">
        <v>11446364.203999998</v>
      </c>
      <c r="R289" s="181">
        <v>252360.78559999997</v>
      </c>
      <c r="S289" s="181">
        <v>143878.42191999996</v>
      </c>
      <c r="T289" s="181">
        <v>30.225999999999996</v>
      </c>
      <c r="U289" s="181">
        <v>1490108.5036479998</v>
      </c>
      <c r="V289" s="181">
        <v>682081101011.84375</v>
      </c>
    </row>
    <row r="290" spans="1:22">
      <c r="A290" s="2" t="s">
        <v>597</v>
      </c>
      <c r="B290" s="2" t="s">
        <v>598</v>
      </c>
      <c r="C290" s="181">
        <v>104.1712</v>
      </c>
      <c r="D290" s="181">
        <v>13225.779999999999</v>
      </c>
      <c r="E290" s="181">
        <v>457.2</v>
      </c>
      <c r="F290" s="181">
        <v>158.75</v>
      </c>
      <c r="G290" s="181">
        <v>18.059399999999997</v>
      </c>
      <c r="H290" s="181">
        <v>17.551399999999997</v>
      </c>
      <c r="I290" s="181">
        <v>0</v>
      </c>
      <c r="J290" s="181">
        <v>20.548599999999997</v>
      </c>
      <c r="K290" s="181">
        <v>4.5199999999999996</v>
      </c>
      <c r="L290" s="181">
        <v>21.5</v>
      </c>
      <c r="M290" s="181">
        <v>384181605.82879996</v>
      </c>
      <c r="N290" s="181">
        <v>2031995.9359999998</v>
      </c>
      <c r="O290" s="181">
        <v>1687867.5919999999</v>
      </c>
      <c r="P290" s="181">
        <v>170.18</v>
      </c>
      <c r="Q290" s="181">
        <v>9989554.214399999</v>
      </c>
      <c r="R290" s="181">
        <v>234335.01519999999</v>
      </c>
      <c r="S290" s="181">
        <v>126016.52215999999</v>
      </c>
      <c r="T290" s="181">
        <v>27.431999999999999</v>
      </c>
      <c r="U290" s="181">
        <v>1706548.8449599997</v>
      </c>
      <c r="V290" s="181">
        <v>483364559772.17279</v>
      </c>
    </row>
    <row r="291" spans="1:22">
      <c r="A291" s="2" t="s">
        <v>599</v>
      </c>
      <c r="B291" s="2" t="s">
        <v>600</v>
      </c>
      <c r="C291" s="181">
        <v>81.402351999999993</v>
      </c>
      <c r="D291" s="181">
        <v>10322.56</v>
      </c>
      <c r="E291" s="181">
        <v>457.2</v>
      </c>
      <c r="F291" s="181">
        <v>152.39999999999998</v>
      </c>
      <c r="G291" s="181">
        <v>11.7094</v>
      </c>
      <c r="H291" s="181">
        <v>17.551399999999997</v>
      </c>
      <c r="I291" s="181">
        <v>0</v>
      </c>
      <c r="J291" s="181">
        <v>20.548599999999997</v>
      </c>
      <c r="K291" s="181">
        <v>4.34</v>
      </c>
      <c r="L291" s="181">
        <v>33.200000000000003</v>
      </c>
      <c r="M291" s="181">
        <v>333401371.90559995</v>
      </c>
      <c r="N291" s="181">
        <v>1704254.656</v>
      </c>
      <c r="O291" s="181">
        <v>1458448.6959999998</v>
      </c>
      <c r="P291" s="181">
        <v>179.578</v>
      </c>
      <c r="Q291" s="181">
        <v>8615990.5099199992</v>
      </c>
      <c r="R291" s="181">
        <v>198283.47439999998</v>
      </c>
      <c r="S291" s="181">
        <v>113234.61223999999</v>
      </c>
      <c r="T291" s="181">
        <v>28.955999999999996</v>
      </c>
      <c r="U291" s="181">
        <v>969819.22164799995</v>
      </c>
      <c r="V291" s="181">
        <v>416230593137.1488</v>
      </c>
    </row>
    <row r="292" spans="1:22">
      <c r="A292" s="2" t="s">
        <v>601</v>
      </c>
      <c r="B292" s="2" t="s">
        <v>602</v>
      </c>
      <c r="C292" s="181">
        <v>74.408000000000001</v>
      </c>
      <c r="D292" s="181">
        <v>9483.851999999999</v>
      </c>
      <c r="E292" s="181">
        <v>381</v>
      </c>
      <c r="F292" s="181">
        <v>143.25599999999997</v>
      </c>
      <c r="G292" s="181">
        <v>13.97</v>
      </c>
      <c r="H292" s="181">
        <v>15.798799999999998</v>
      </c>
      <c r="I292" s="181">
        <v>0</v>
      </c>
      <c r="J292" s="181">
        <v>19.126199999999997</v>
      </c>
      <c r="K292" s="181">
        <v>4.53</v>
      </c>
      <c r="L292" s="181">
        <v>22.7</v>
      </c>
      <c r="M292" s="181">
        <v>201872241.41599998</v>
      </c>
      <c r="N292" s="181">
        <v>1261803.9279999998</v>
      </c>
      <c r="O292" s="181">
        <v>1060243.0407999998</v>
      </c>
      <c r="P292" s="181">
        <v>146.04999999999998</v>
      </c>
      <c r="Q292" s="181">
        <v>6493210.2393599991</v>
      </c>
      <c r="R292" s="181">
        <v>163706.76935999998</v>
      </c>
      <c r="S292" s="181">
        <v>90620.463919999995</v>
      </c>
      <c r="T292" s="181">
        <v>26.161999999999999</v>
      </c>
      <c r="U292" s="181">
        <v>882410.62227199995</v>
      </c>
      <c r="V292" s="181">
        <v>216439908431.31735</v>
      </c>
    </row>
    <row r="293" spans="1:22">
      <c r="A293" s="2" t="s">
        <v>603</v>
      </c>
      <c r="B293" s="2" t="s">
        <v>604</v>
      </c>
      <c r="C293" s="181">
        <v>63.842063999999993</v>
      </c>
      <c r="D293" s="181">
        <v>8129.0159999999996</v>
      </c>
      <c r="E293" s="181">
        <v>381</v>
      </c>
      <c r="F293" s="181">
        <v>139.69999999999999</v>
      </c>
      <c r="G293" s="181">
        <v>10.439399999999999</v>
      </c>
      <c r="H293" s="181">
        <v>15.798799999999998</v>
      </c>
      <c r="I293" s="181">
        <v>0</v>
      </c>
      <c r="J293" s="181">
        <v>19.126199999999997</v>
      </c>
      <c r="K293" s="181">
        <v>4.42</v>
      </c>
      <c r="L293" s="181">
        <v>30.4</v>
      </c>
      <c r="M293" s="181">
        <v>185639215.81759998</v>
      </c>
      <c r="N293" s="181">
        <v>1133984.8288</v>
      </c>
      <c r="O293" s="181">
        <v>973391.60159999994</v>
      </c>
      <c r="P293" s="181">
        <v>151.13</v>
      </c>
      <c r="Q293" s="181">
        <v>5952109.3860799996</v>
      </c>
      <c r="R293" s="181">
        <v>148794.54111999998</v>
      </c>
      <c r="S293" s="181">
        <v>85048.862160000004</v>
      </c>
      <c r="T293" s="181">
        <v>26.923999999999999</v>
      </c>
      <c r="U293" s="181">
        <v>640996.39542399999</v>
      </c>
      <c r="V293" s="181">
        <v>198448005373.13092</v>
      </c>
    </row>
    <row r="294" spans="1:22">
      <c r="A294" s="2" t="s">
        <v>605</v>
      </c>
      <c r="B294" s="2" t="s">
        <v>606</v>
      </c>
      <c r="C294" s="181">
        <v>74.408000000000001</v>
      </c>
      <c r="D294" s="181">
        <v>9419.3359999999993</v>
      </c>
      <c r="E294" s="181">
        <v>304.79999999999995</v>
      </c>
      <c r="F294" s="181">
        <v>139.19200000000001</v>
      </c>
      <c r="G294" s="181">
        <v>17.4498</v>
      </c>
      <c r="H294" s="181">
        <v>16.738599999999998</v>
      </c>
      <c r="I294" s="181">
        <v>0</v>
      </c>
      <c r="J294" s="181">
        <v>19.773899999999998</v>
      </c>
      <c r="K294" s="181">
        <v>4.16</v>
      </c>
      <c r="L294" s="181">
        <v>13.7</v>
      </c>
      <c r="M294" s="181">
        <v>126118121.95679998</v>
      </c>
      <c r="N294" s="181">
        <v>997972.19759999984</v>
      </c>
      <c r="O294" s="181">
        <v>829185.43839999998</v>
      </c>
      <c r="P294" s="181">
        <v>115.57</v>
      </c>
      <c r="Q294" s="181">
        <v>6493210.2393599991</v>
      </c>
      <c r="R294" s="181">
        <v>168786.7592</v>
      </c>
      <c r="S294" s="181">
        <v>93242.394159999996</v>
      </c>
      <c r="T294" s="181">
        <v>26.161999999999999</v>
      </c>
      <c r="U294" s="181">
        <v>1152961.0489119999</v>
      </c>
      <c r="V294" s="181">
        <v>134805005003.12819</v>
      </c>
    </row>
    <row r="295" spans="1:22">
      <c r="A295" s="2" t="s">
        <v>607</v>
      </c>
      <c r="B295" s="2" t="s">
        <v>608</v>
      </c>
      <c r="C295" s="181">
        <v>60.716927999999996</v>
      </c>
      <c r="D295" s="181">
        <v>7677.4039999999995</v>
      </c>
      <c r="E295" s="181">
        <v>304.79999999999995</v>
      </c>
      <c r="F295" s="181">
        <v>133.35</v>
      </c>
      <c r="G295" s="181">
        <v>11.7348</v>
      </c>
      <c r="H295" s="181">
        <v>16.738599999999998</v>
      </c>
      <c r="I295" s="181">
        <v>0</v>
      </c>
      <c r="J295" s="181">
        <v>19.773899999999998</v>
      </c>
      <c r="K295" s="181">
        <v>3.98</v>
      </c>
      <c r="L295" s="181">
        <v>20.6</v>
      </c>
      <c r="M295" s="181">
        <v>112382484.91199999</v>
      </c>
      <c r="N295" s="181">
        <v>863598.27279999992</v>
      </c>
      <c r="O295" s="181">
        <v>739056.58639999991</v>
      </c>
      <c r="P295" s="181">
        <v>120.90399999999998</v>
      </c>
      <c r="Q295" s="181">
        <v>5619124.2455999991</v>
      </c>
      <c r="R295" s="181">
        <v>145189.38703999997</v>
      </c>
      <c r="S295" s="181">
        <v>84065.638319999984</v>
      </c>
      <c r="T295" s="181">
        <v>26.923999999999999</v>
      </c>
      <c r="U295" s="181">
        <v>703431.10926399985</v>
      </c>
      <c r="V295" s="181">
        <v>116544566078.40166</v>
      </c>
    </row>
    <row r="296" spans="1:22">
      <c r="A296" s="2" t="s">
        <v>609</v>
      </c>
      <c r="B296" s="2" t="s">
        <v>610</v>
      </c>
      <c r="C296" s="181">
        <v>52.085599999999999</v>
      </c>
      <c r="D296" s="181">
        <v>6580.6319999999996</v>
      </c>
      <c r="E296" s="181">
        <v>304.79999999999995</v>
      </c>
      <c r="F296" s="181">
        <v>129.03199999999998</v>
      </c>
      <c r="G296" s="181">
        <v>10.8712</v>
      </c>
      <c r="H296" s="181">
        <v>13.817600000000001</v>
      </c>
      <c r="I296" s="181">
        <v>0</v>
      </c>
      <c r="J296" s="181">
        <v>16.344899999999996</v>
      </c>
      <c r="K296" s="181">
        <v>4.67</v>
      </c>
      <c r="L296" s="181">
        <v>23.1</v>
      </c>
      <c r="M296" s="181">
        <v>94900765.036799997</v>
      </c>
      <c r="N296" s="181">
        <v>730863.05439999991</v>
      </c>
      <c r="O296" s="181">
        <v>624347.13839999994</v>
      </c>
      <c r="P296" s="181">
        <v>119.88799999999999</v>
      </c>
      <c r="Q296" s="181">
        <v>4095717.2279039994</v>
      </c>
      <c r="R296" s="181">
        <v>111432.03519999998</v>
      </c>
      <c r="S296" s="181">
        <v>63581.808319999989</v>
      </c>
      <c r="T296" s="181">
        <v>24.891999999999999</v>
      </c>
      <c r="U296" s="181">
        <v>437042.99687999999</v>
      </c>
      <c r="V296" s="181">
        <v>86737084892.451004</v>
      </c>
    </row>
    <row r="297" spans="1:22">
      <c r="A297" s="2" t="s">
        <v>611</v>
      </c>
      <c r="B297" s="2" t="s">
        <v>612</v>
      </c>
      <c r="C297" s="181">
        <v>47.323487999999998</v>
      </c>
      <c r="D297" s="181">
        <v>6006.4395999999997</v>
      </c>
      <c r="E297" s="181">
        <v>304.79999999999995</v>
      </c>
      <c r="F297" s="181">
        <v>127</v>
      </c>
      <c r="G297" s="181">
        <v>8.8899999999999988</v>
      </c>
      <c r="H297" s="181">
        <v>13.817600000000001</v>
      </c>
      <c r="I297" s="181">
        <v>0</v>
      </c>
      <c r="J297" s="181">
        <v>16.344899999999996</v>
      </c>
      <c r="K297" s="181">
        <v>4.5999999999999996</v>
      </c>
      <c r="L297" s="181">
        <v>28.3</v>
      </c>
      <c r="M297" s="181">
        <v>90322219.355199993</v>
      </c>
      <c r="N297" s="181">
        <v>684979.27519999992</v>
      </c>
      <c r="O297" s="181">
        <v>593211.71679999994</v>
      </c>
      <c r="P297" s="181">
        <v>122.68199999999999</v>
      </c>
      <c r="Q297" s="181">
        <v>3883439.2008479997</v>
      </c>
      <c r="R297" s="181">
        <v>105532.69215999999</v>
      </c>
      <c r="S297" s="181">
        <v>61123.748719999996</v>
      </c>
      <c r="T297" s="181">
        <v>25.4</v>
      </c>
      <c r="U297" s="181">
        <v>365451.19167679996</v>
      </c>
      <c r="V297" s="181">
        <v>82171975161.269379</v>
      </c>
    </row>
    <row r="298" spans="1:22">
      <c r="A298" s="2" t="s">
        <v>613</v>
      </c>
      <c r="B298" s="2" t="s">
        <v>614</v>
      </c>
      <c r="C298" s="181">
        <v>52.085599999999999</v>
      </c>
      <c r="D298" s="181">
        <v>6645.1480000000001</v>
      </c>
      <c r="E298" s="181">
        <v>254</v>
      </c>
      <c r="F298" s="181">
        <v>125.476</v>
      </c>
      <c r="G298" s="181">
        <v>15.087599999999998</v>
      </c>
      <c r="H298" s="181">
        <v>12.471399999999999</v>
      </c>
      <c r="I298" s="181">
        <v>0</v>
      </c>
      <c r="J298" s="181">
        <v>16.1036</v>
      </c>
      <c r="K298" s="181">
        <v>5.03</v>
      </c>
      <c r="L298" s="181">
        <v>13.4</v>
      </c>
      <c r="M298" s="181">
        <v>61186019.563199997</v>
      </c>
      <c r="N298" s="181">
        <v>580102.06559999997</v>
      </c>
      <c r="O298" s="181">
        <v>481779.68159999995</v>
      </c>
      <c r="P298" s="181">
        <v>96.011999999999986</v>
      </c>
      <c r="Q298" s="181">
        <v>3454720.8324799999</v>
      </c>
      <c r="R298" s="181">
        <v>101435.92616</v>
      </c>
      <c r="S298" s="181">
        <v>55060.535039999995</v>
      </c>
      <c r="T298" s="181">
        <v>22.834599999999998</v>
      </c>
      <c r="U298" s="181">
        <v>536938.53902399994</v>
      </c>
      <c r="V298" s="181">
        <v>50484742909.538048</v>
      </c>
    </row>
    <row r="299" spans="1:22">
      <c r="A299" s="2" t="s">
        <v>615</v>
      </c>
      <c r="B299" s="2" t="s">
        <v>616</v>
      </c>
      <c r="C299" s="181">
        <v>37.799263999999994</v>
      </c>
      <c r="D299" s="181">
        <v>4806.442</v>
      </c>
      <c r="E299" s="181">
        <v>254</v>
      </c>
      <c r="F299" s="181">
        <v>118.36399999999999</v>
      </c>
      <c r="G299" s="181">
        <v>7.8993999999999991</v>
      </c>
      <c r="H299" s="181">
        <v>12.471399999999999</v>
      </c>
      <c r="I299" s="181">
        <v>0</v>
      </c>
      <c r="J299" s="181">
        <v>16.1036</v>
      </c>
      <c r="K299" s="181">
        <v>4.75</v>
      </c>
      <c r="L299" s="181">
        <v>25.6</v>
      </c>
      <c r="M299" s="181">
        <v>51196465.348799996</v>
      </c>
      <c r="N299" s="181">
        <v>463753.91119999997</v>
      </c>
      <c r="O299" s="181">
        <v>403121.77439999999</v>
      </c>
      <c r="P299" s="181">
        <v>103.378</v>
      </c>
      <c r="Q299" s="181">
        <v>2801237.4942879998</v>
      </c>
      <c r="R299" s="181">
        <v>81771.449359999999</v>
      </c>
      <c r="S299" s="181">
        <v>47358.614959999999</v>
      </c>
      <c r="T299" s="181">
        <v>24.13</v>
      </c>
      <c r="U299" s="181">
        <v>250987.54963679996</v>
      </c>
      <c r="V299" s="181">
        <v>40817451714.094589</v>
      </c>
    </row>
    <row r="300" spans="1:22">
      <c r="A300" s="2" t="s">
        <v>617</v>
      </c>
      <c r="B300" s="2" t="s">
        <v>618</v>
      </c>
      <c r="C300" s="181">
        <v>34.227679999999999</v>
      </c>
      <c r="D300" s="181">
        <v>4361.2815999999993</v>
      </c>
      <c r="E300" s="181">
        <v>203.2</v>
      </c>
      <c r="F300" s="181">
        <v>105.91799999999999</v>
      </c>
      <c r="G300" s="181">
        <v>11.2014</v>
      </c>
      <c r="H300" s="181">
        <v>10.795</v>
      </c>
      <c r="I300" s="181">
        <v>0</v>
      </c>
      <c r="J300" s="181">
        <v>14.604999999999999</v>
      </c>
      <c r="K300" s="181">
        <v>4.91</v>
      </c>
      <c r="L300" s="181">
        <v>14.1</v>
      </c>
      <c r="M300" s="181">
        <v>26930173.23632</v>
      </c>
      <c r="N300" s="181">
        <v>314631.62879999995</v>
      </c>
      <c r="O300" s="181">
        <v>265470.43679999997</v>
      </c>
      <c r="P300" s="181">
        <v>78.48599999999999</v>
      </c>
      <c r="Q300" s="181">
        <v>1777308.1873119997</v>
      </c>
      <c r="R300" s="181">
        <v>60140.52487999999</v>
      </c>
      <c r="S300" s="181">
        <v>33593.481199999995</v>
      </c>
      <c r="T300" s="181">
        <v>20.193000000000001</v>
      </c>
      <c r="U300" s="181">
        <v>228927.28407999998</v>
      </c>
      <c r="V300" s="181">
        <v>16461248618.907883</v>
      </c>
    </row>
    <row r="301" spans="1:22">
      <c r="A301" s="2" t="s">
        <v>619</v>
      </c>
      <c r="B301" s="2" t="s">
        <v>620</v>
      </c>
      <c r="C301" s="181">
        <v>27.382143999999997</v>
      </c>
      <c r="D301" s="181">
        <v>3483.864</v>
      </c>
      <c r="E301" s="181">
        <v>203.2</v>
      </c>
      <c r="F301" s="181">
        <v>101.6</v>
      </c>
      <c r="G301" s="181">
        <v>6.8834</v>
      </c>
      <c r="H301" s="181">
        <v>10.795</v>
      </c>
      <c r="I301" s="181">
        <v>0</v>
      </c>
      <c r="J301" s="181">
        <v>14.604999999999999</v>
      </c>
      <c r="K301" s="181">
        <v>4.71</v>
      </c>
      <c r="L301" s="181">
        <v>22.9</v>
      </c>
      <c r="M301" s="181">
        <v>23933306.971999999</v>
      </c>
      <c r="N301" s="181">
        <v>270386.55599999998</v>
      </c>
      <c r="O301" s="181">
        <v>235973.72159999999</v>
      </c>
      <c r="P301" s="181">
        <v>82.803999999999988</v>
      </c>
      <c r="Q301" s="181">
        <v>1535893.9604639998</v>
      </c>
      <c r="R301" s="181">
        <v>52110.863519999999</v>
      </c>
      <c r="S301" s="181">
        <v>30152.197759999999</v>
      </c>
      <c r="T301" s="181">
        <v>21.005799999999997</v>
      </c>
      <c r="U301" s="181">
        <v>139437.52757599999</v>
      </c>
      <c r="V301" s="181">
        <v>14205547339.971077</v>
      </c>
    </row>
    <row r="302" spans="1:22">
      <c r="A302" s="2" t="s">
        <v>621</v>
      </c>
      <c r="B302" s="2" t="s">
        <v>622</v>
      </c>
      <c r="C302" s="181">
        <v>25.670759999999998</v>
      </c>
      <c r="D302" s="181">
        <v>3264.5095999999994</v>
      </c>
      <c r="E302" s="181">
        <v>152.39999999999998</v>
      </c>
      <c r="F302" s="181">
        <v>90.677999999999997</v>
      </c>
      <c r="G302" s="181">
        <v>11.811</v>
      </c>
      <c r="H302" s="181">
        <v>9.1185999999999989</v>
      </c>
      <c r="I302" s="181">
        <v>0</v>
      </c>
      <c r="J302" s="181">
        <v>11.5189</v>
      </c>
      <c r="K302" s="181">
        <v>4.97</v>
      </c>
      <c r="L302" s="181">
        <v>9.67</v>
      </c>
      <c r="M302" s="181">
        <v>10905263.35072</v>
      </c>
      <c r="N302" s="181">
        <v>172064.17199999999</v>
      </c>
      <c r="O302" s="181">
        <v>143222.93935999999</v>
      </c>
      <c r="P302" s="181">
        <v>57.911999999999992</v>
      </c>
      <c r="Q302" s="181">
        <v>953169.9646239999</v>
      </c>
      <c r="R302" s="181">
        <v>38509.600399999996</v>
      </c>
      <c r="S302" s="181">
        <v>20975.441919999997</v>
      </c>
      <c r="T302" s="181">
        <v>17.094200000000001</v>
      </c>
      <c r="U302" s="181">
        <v>154421.85889759997</v>
      </c>
      <c r="V302" s="181">
        <v>4887352771.029747</v>
      </c>
    </row>
    <row r="303" spans="1:22">
      <c r="A303" s="2" t="s">
        <v>623</v>
      </c>
      <c r="B303" s="2" t="s">
        <v>624</v>
      </c>
      <c r="C303" s="181">
        <v>18.602</v>
      </c>
      <c r="D303" s="181">
        <v>2361.2856000000002</v>
      </c>
      <c r="E303" s="181">
        <v>152.39999999999998</v>
      </c>
      <c r="F303" s="181">
        <v>84.581999999999994</v>
      </c>
      <c r="G303" s="181">
        <v>5.8928000000000003</v>
      </c>
      <c r="H303" s="181">
        <v>9.1185999999999989</v>
      </c>
      <c r="I303" s="181">
        <v>0</v>
      </c>
      <c r="J303" s="181">
        <v>11.5189</v>
      </c>
      <c r="K303" s="181">
        <v>4.6399999999999997</v>
      </c>
      <c r="L303" s="181">
        <v>19.399999999999999</v>
      </c>
      <c r="M303" s="181">
        <v>9157091.3631999996</v>
      </c>
      <c r="N303" s="181">
        <v>138470.69079999998</v>
      </c>
      <c r="O303" s="181">
        <v>120281.04975999998</v>
      </c>
      <c r="P303" s="181">
        <v>62.230000000000004</v>
      </c>
      <c r="Q303" s="181">
        <v>749216.5660799999</v>
      </c>
      <c r="R303" s="181">
        <v>30479.939039999997</v>
      </c>
      <c r="S303" s="181">
        <v>17698.029119999999</v>
      </c>
      <c r="T303" s="181">
        <v>17.830799999999996</v>
      </c>
      <c r="U303" s="181">
        <v>69510.648075199992</v>
      </c>
      <c r="V303" s="181">
        <v>3840062891.5233727</v>
      </c>
    </row>
    <row r="304" spans="1:22">
      <c r="A304" s="2" t="s">
        <v>625</v>
      </c>
      <c r="B304" s="2" t="s">
        <v>626</v>
      </c>
      <c r="C304" s="181">
        <v>14.881599999999999</v>
      </c>
      <c r="D304" s="181">
        <v>1890.3188</v>
      </c>
      <c r="E304" s="181">
        <v>127</v>
      </c>
      <c r="F304" s="181">
        <v>76.199999999999989</v>
      </c>
      <c r="G304" s="181">
        <v>5.4356</v>
      </c>
      <c r="H304" s="181">
        <v>8.2804000000000002</v>
      </c>
      <c r="I304" s="181">
        <v>0</v>
      </c>
      <c r="J304" s="181">
        <v>10.769599999999997</v>
      </c>
      <c r="K304" s="181">
        <v>4.6100000000000003</v>
      </c>
      <c r="L304" s="181">
        <v>16.8</v>
      </c>
      <c r="M304" s="181">
        <v>5119646.5348800002</v>
      </c>
      <c r="N304" s="181">
        <v>92750.78224</v>
      </c>
      <c r="O304" s="181">
        <v>80296.613599999997</v>
      </c>
      <c r="P304" s="181">
        <v>52.069999999999993</v>
      </c>
      <c r="Q304" s="181">
        <v>495315.39646399993</v>
      </c>
      <c r="R304" s="181">
        <v>22450.277679999999</v>
      </c>
      <c r="S304" s="181">
        <v>13027.71588</v>
      </c>
      <c r="T304" s="181">
        <v>16.205199999999998</v>
      </c>
      <c r="U304" s="181">
        <v>47450.382518399994</v>
      </c>
      <c r="V304" s="181">
        <v>1745483132.5106239</v>
      </c>
    </row>
    <row r="305" spans="1:22">
      <c r="A305" s="2" t="s">
        <v>627</v>
      </c>
      <c r="B305" s="2" t="s">
        <v>628</v>
      </c>
      <c r="C305" s="181">
        <v>14.137519999999999</v>
      </c>
      <c r="D305" s="181">
        <v>1799.9964</v>
      </c>
      <c r="E305" s="181">
        <v>101.6</v>
      </c>
      <c r="F305" s="181">
        <v>71.11999999999999</v>
      </c>
      <c r="G305" s="181">
        <v>8.2804000000000002</v>
      </c>
      <c r="H305" s="181">
        <v>7.4421999999999988</v>
      </c>
      <c r="I305" s="181">
        <v>0</v>
      </c>
      <c r="J305" s="181">
        <v>11.607799999999997</v>
      </c>
      <c r="K305" s="181">
        <v>4.7699999999999996</v>
      </c>
      <c r="L305" s="181">
        <v>8.33</v>
      </c>
      <c r="M305" s="181">
        <v>2813724.4370559994</v>
      </c>
      <c r="N305" s="181">
        <v>66203.738559999998</v>
      </c>
      <c r="O305" s="181">
        <v>55388.27631999999</v>
      </c>
      <c r="P305" s="181">
        <v>39.624000000000002</v>
      </c>
      <c r="Q305" s="181">
        <v>369197.2745072</v>
      </c>
      <c r="R305" s="181">
        <v>18517.382319999997</v>
      </c>
      <c r="S305" s="181">
        <v>10405.78564</v>
      </c>
      <c r="T305" s="181">
        <v>14.325599999999998</v>
      </c>
      <c r="U305" s="181">
        <v>49947.771071999996</v>
      </c>
      <c r="V305" s="181">
        <v>819034392.94729269</v>
      </c>
    </row>
    <row r="306" spans="1:22">
      <c r="A306" s="2" t="s">
        <v>629</v>
      </c>
      <c r="B306" s="2" t="s">
        <v>630</v>
      </c>
      <c r="C306" s="181">
        <v>11.458831999999999</v>
      </c>
      <c r="D306" s="181">
        <v>1458.0615999999998</v>
      </c>
      <c r="E306" s="181">
        <v>101.6</v>
      </c>
      <c r="F306" s="181">
        <v>67.563999999999993</v>
      </c>
      <c r="G306" s="181">
        <v>4.9021999999999997</v>
      </c>
      <c r="H306" s="181">
        <v>7.4421999999999988</v>
      </c>
      <c r="I306" s="181">
        <v>0</v>
      </c>
      <c r="J306" s="181">
        <v>11.607799999999997</v>
      </c>
      <c r="K306" s="181">
        <v>4.54</v>
      </c>
      <c r="L306" s="181">
        <v>14.1</v>
      </c>
      <c r="M306" s="181">
        <v>2518200.1248799996</v>
      </c>
      <c r="N306" s="181">
        <v>57354.723999999995</v>
      </c>
      <c r="O306" s="181">
        <v>49652.803919999991</v>
      </c>
      <c r="P306" s="181">
        <v>41.655999999999992</v>
      </c>
      <c r="Q306" s="181">
        <v>311341.10634879995</v>
      </c>
      <c r="R306" s="181">
        <v>15895.452079999997</v>
      </c>
      <c r="S306" s="181">
        <v>9209.5299680000007</v>
      </c>
      <c r="T306" s="181">
        <v>14.630399999999998</v>
      </c>
      <c r="U306" s="181">
        <v>30468.140353919996</v>
      </c>
      <c r="V306" s="181">
        <v>690137177.00804663</v>
      </c>
    </row>
    <row r="307" spans="1:22">
      <c r="A307" s="2" t="s">
        <v>631</v>
      </c>
      <c r="B307" s="2" t="s">
        <v>632</v>
      </c>
      <c r="C307" s="181">
        <v>11.161199999999999</v>
      </c>
      <c r="D307" s="181">
        <v>1419.3520000000001</v>
      </c>
      <c r="E307" s="181">
        <v>76.199999999999989</v>
      </c>
      <c r="F307" s="181">
        <v>63.753999999999991</v>
      </c>
      <c r="G307" s="181">
        <v>8.8645999999999994</v>
      </c>
      <c r="H307" s="181">
        <v>6.6040000000000001</v>
      </c>
      <c r="I307" s="181">
        <v>0</v>
      </c>
      <c r="J307" s="181">
        <v>9.2710000000000008</v>
      </c>
      <c r="K307" s="181">
        <v>4.82</v>
      </c>
      <c r="L307" s="181">
        <v>5.38</v>
      </c>
      <c r="M307" s="181">
        <v>1211233.4484959999</v>
      </c>
      <c r="N307" s="181">
        <v>38509.600399999996</v>
      </c>
      <c r="O307" s="181">
        <v>31790.904159999995</v>
      </c>
      <c r="P307" s="181">
        <v>29.209999999999997</v>
      </c>
      <c r="Q307" s="181">
        <v>240581.76399679997</v>
      </c>
      <c r="R307" s="181">
        <v>13453.779543999997</v>
      </c>
      <c r="S307" s="181">
        <v>7554.4365039999993</v>
      </c>
      <c r="T307" s="181">
        <v>13.030199999999999</v>
      </c>
      <c r="U307" s="181">
        <v>37294.335733759995</v>
      </c>
      <c r="V307" s="181">
        <v>290018735.86330366</v>
      </c>
    </row>
    <row r="308" spans="1:22">
      <c r="A308" s="2" t="s">
        <v>633</v>
      </c>
      <c r="B308" s="2" t="s">
        <v>634</v>
      </c>
      <c r="C308" s="181">
        <v>8.4825119999999998</v>
      </c>
      <c r="D308" s="181">
        <v>1070.9656</v>
      </c>
      <c r="E308" s="181">
        <v>76.199999999999989</v>
      </c>
      <c r="F308" s="181">
        <v>59.181999999999995</v>
      </c>
      <c r="G308" s="181">
        <v>4.3180000000000005</v>
      </c>
      <c r="H308" s="181">
        <v>6.6040000000000001</v>
      </c>
      <c r="I308" s="181">
        <v>0</v>
      </c>
      <c r="J308" s="181">
        <v>9.2710000000000008</v>
      </c>
      <c r="K308" s="181">
        <v>4.4800000000000004</v>
      </c>
      <c r="L308" s="181">
        <v>11</v>
      </c>
      <c r="M308" s="181">
        <v>1040578.5639999999</v>
      </c>
      <c r="N308" s="181">
        <v>31790.904159999995</v>
      </c>
      <c r="O308" s="181">
        <v>27366.396879999997</v>
      </c>
      <c r="P308" s="181">
        <v>31.241999999999997</v>
      </c>
      <c r="Q308" s="181">
        <v>186055.44724319997</v>
      </c>
      <c r="R308" s="181">
        <v>10749.913983999999</v>
      </c>
      <c r="S308" s="181">
        <v>6276.2455119999995</v>
      </c>
      <c r="T308" s="181">
        <v>13.1572</v>
      </c>
      <c r="U308" s="181">
        <v>18022.820728479997</v>
      </c>
      <c r="V308" s="181">
        <v>225301592.02714053</v>
      </c>
    </row>
    <row r="309" spans="1:22">
      <c r="A309" s="2" t="s">
        <v>635</v>
      </c>
      <c r="B309" s="2" t="s">
        <v>636</v>
      </c>
      <c r="C309" s="181">
        <v>174.11472000000001</v>
      </c>
      <c r="D309" s="181">
        <v>22193.503999999997</v>
      </c>
      <c r="E309" s="181">
        <v>360.67999999999995</v>
      </c>
      <c r="F309" s="181">
        <v>378.46</v>
      </c>
      <c r="G309" s="181">
        <v>20.446999999999999</v>
      </c>
      <c r="H309" s="181">
        <v>20.446999999999999</v>
      </c>
      <c r="I309" s="181">
        <v>0</v>
      </c>
      <c r="J309" s="181">
        <v>17.652999999999995</v>
      </c>
      <c r="K309" s="181">
        <v>9.25</v>
      </c>
      <c r="L309" s="181">
        <v>14.2</v>
      </c>
      <c r="M309" s="181">
        <v>507802339.23199993</v>
      </c>
      <c r="N309" s="181">
        <v>3179090.4159999997</v>
      </c>
      <c r="O309" s="181">
        <v>2818575.0079999999</v>
      </c>
      <c r="P309" s="181">
        <v>151.38399999999999</v>
      </c>
      <c r="Q309" s="181">
        <v>184390521.54079998</v>
      </c>
      <c r="R309" s="181">
        <v>1497777.6495999999</v>
      </c>
      <c r="S309" s="181">
        <v>975030.30799999996</v>
      </c>
      <c r="T309" s="181">
        <v>91.185999999999993</v>
      </c>
      <c r="U309" s="181">
        <v>3338176.0333119994</v>
      </c>
      <c r="V309" s="181">
        <v>5343863744147.9102</v>
      </c>
    </row>
    <row r="310" spans="1:22">
      <c r="A310" s="2" t="s">
        <v>637</v>
      </c>
      <c r="B310" s="2" t="s">
        <v>638</v>
      </c>
      <c r="C310" s="181">
        <v>151.79231999999999</v>
      </c>
      <c r="D310" s="181">
        <v>19354.8</v>
      </c>
      <c r="E310" s="181">
        <v>355.59999999999997</v>
      </c>
      <c r="F310" s="181">
        <v>375.92</v>
      </c>
      <c r="G310" s="181">
        <v>17.906999999999996</v>
      </c>
      <c r="H310" s="181">
        <v>17.906999999999996</v>
      </c>
      <c r="I310" s="181">
        <v>0</v>
      </c>
      <c r="J310" s="181">
        <v>17.018000000000001</v>
      </c>
      <c r="K310" s="181">
        <v>10.5</v>
      </c>
      <c r="L310" s="181">
        <v>16.2</v>
      </c>
      <c r="M310" s="181">
        <v>437042996.87999994</v>
      </c>
      <c r="N310" s="181">
        <v>2769413.8159999996</v>
      </c>
      <c r="O310" s="181">
        <v>2458059.5999999996</v>
      </c>
      <c r="P310" s="181">
        <v>150.36799999999999</v>
      </c>
      <c r="Q310" s="181">
        <v>158167941.72799999</v>
      </c>
      <c r="R310" s="181">
        <v>1291300.6431999998</v>
      </c>
      <c r="S310" s="181">
        <v>842295.08959999995</v>
      </c>
      <c r="T310" s="181">
        <v>90.423999999999992</v>
      </c>
      <c r="U310" s="181">
        <v>2243487.3839839995</v>
      </c>
      <c r="V310" s="181">
        <v>4511402557873.6123</v>
      </c>
    </row>
    <row r="311" spans="1:22">
      <c r="A311" s="2" t="s">
        <v>639</v>
      </c>
      <c r="B311" s="2" t="s">
        <v>640</v>
      </c>
      <c r="C311" s="181">
        <v>132.44623999999999</v>
      </c>
      <c r="D311" s="181">
        <v>16838.675999999999</v>
      </c>
      <c r="E311" s="181">
        <v>350.52</v>
      </c>
      <c r="F311" s="181">
        <v>373.37999999999994</v>
      </c>
      <c r="G311" s="181">
        <v>15.620999999999999</v>
      </c>
      <c r="H311" s="181">
        <v>15.620999999999999</v>
      </c>
      <c r="I311" s="181">
        <v>0</v>
      </c>
      <c r="J311" s="181">
        <v>17.7165</v>
      </c>
      <c r="K311" s="181">
        <v>11.9</v>
      </c>
      <c r="L311" s="181">
        <v>18.5</v>
      </c>
      <c r="M311" s="181">
        <v>376273208.74239999</v>
      </c>
      <c r="N311" s="181">
        <v>2392511.3439999996</v>
      </c>
      <c r="O311" s="181">
        <v>2146705.3839999996</v>
      </c>
      <c r="P311" s="181">
        <v>149.35199999999998</v>
      </c>
      <c r="Q311" s="181">
        <v>135691444.74559999</v>
      </c>
      <c r="R311" s="181">
        <v>1109404.2327999999</v>
      </c>
      <c r="S311" s="181">
        <v>725946.93519999983</v>
      </c>
      <c r="T311" s="181">
        <v>89.661999999999992</v>
      </c>
      <c r="U311" s="181">
        <v>1494270.8179039997</v>
      </c>
      <c r="V311" s="181">
        <v>3813209304869.3628</v>
      </c>
    </row>
    <row r="312" spans="1:22">
      <c r="A312" s="2" t="s">
        <v>641</v>
      </c>
      <c r="B312" s="2" t="s">
        <v>642</v>
      </c>
      <c r="C312" s="181">
        <v>108.63567999999999</v>
      </c>
      <c r="D312" s="181">
        <v>13806.423999999999</v>
      </c>
      <c r="E312" s="181">
        <v>345.44</v>
      </c>
      <c r="F312" s="181">
        <v>370.84</v>
      </c>
      <c r="G312" s="181">
        <v>12.827</v>
      </c>
      <c r="H312" s="181">
        <v>12.827</v>
      </c>
      <c r="I312" s="181">
        <v>0</v>
      </c>
      <c r="J312" s="181">
        <v>17.335499999999996</v>
      </c>
      <c r="K312" s="181">
        <v>14.4</v>
      </c>
      <c r="L312" s="181">
        <v>22.6</v>
      </c>
      <c r="M312" s="181">
        <v>303432709.26239997</v>
      </c>
      <c r="N312" s="181">
        <v>1933673.5519999999</v>
      </c>
      <c r="O312" s="181">
        <v>1753415.8479999998</v>
      </c>
      <c r="P312" s="181">
        <v>148.33599999999998</v>
      </c>
      <c r="Q312" s="181">
        <v>108636402.0816</v>
      </c>
      <c r="R312" s="181">
        <v>894733.69439999992</v>
      </c>
      <c r="S312" s="181">
        <v>586656.89119999995</v>
      </c>
      <c r="T312" s="181">
        <v>88.646000000000001</v>
      </c>
      <c r="U312" s="181">
        <v>836625.16545599978</v>
      </c>
      <c r="V312" s="181">
        <v>3007601705249.0752</v>
      </c>
    </row>
    <row r="313" spans="1:22">
      <c r="A313" s="2" t="s">
        <v>643</v>
      </c>
      <c r="B313" s="2" t="s">
        <v>644</v>
      </c>
      <c r="C313" s="181">
        <v>125.00543999999999</v>
      </c>
      <c r="D313" s="181">
        <v>15870.936</v>
      </c>
      <c r="E313" s="181">
        <v>312.42</v>
      </c>
      <c r="F313" s="181">
        <v>312.42</v>
      </c>
      <c r="G313" s="181">
        <v>17.399000000000001</v>
      </c>
      <c r="H313" s="181">
        <v>17.399000000000001</v>
      </c>
      <c r="I313" s="181">
        <v>0</v>
      </c>
      <c r="J313" s="181">
        <v>17.525999999999996</v>
      </c>
      <c r="K313" s="181">
        <v>8.9700000000000006</v>
      </c>
      <c r="L313" s="181">
        <v>14.2</v>
      </c>
      <c r="M313" s="181">
        <v>270550426.63999999</v>
      </c>
      <c r="N313" s="181">
        <v>1966447.6799999997</v>
      </c>
      <c r="O313" s="181">
        <v>1737028.7839999998</v>
      </c>
      <c r="P313" s="181">
        <v>130.55599999999998</v>
      </c>
      <c r="Q313" s="181">
        <v>88657293.652799994</v>
      </c>
      <c r="R313" s="181">
        <v>871791.80479999993</v>
      </c>
      <c r="S313" s="181">
        <v>566992.41440000001</v>
      </c>
      <c r="T313" s="181">
        <v>74.675999999999988</v>
      </c>
      <c r="U313" s="181">
        <v>1764821.2445439999</v>
      </c>
      <c r="V313" s="181">
        <v>1922716804427.0872</v>
      </c>
    </row>
    <row r="314" spans="1:22">
      <c r="A314" s="2" t="s">
        <v>645</v>
      </c>
      <c r="B314" s="2" t="s">
        <v>646</v>
      </c>
      <c r="C314" s="181">
        <v>110.12384</v>
      </c>
      <c r="D314" s="181">
        <v>14064.487999999999</v>
      </c>
      <c r="E314" s="181">
        <v>307.33999999999997</v>
      </c>
      <c r="F314" s="181">
        <v>309.87999999999994</v>
      </c>
      <c r="G314" s="181">
        <v>15.366999999999999</v>
      </c>
      <c r="H314" s="181">
        <v>15.493999999999998</v>
      </c>
      <c r="I314" s="181">
        <v>0</v>
      </c>
      <c r="J314" s="181">
        <v>17.843499999999999</v>
      </c>
      <c r="K314" s="181">
        <v>10</v>
      </c>
      <c r="L314" s="181">
        <v>16.100000000000001</v>
      </c>
      <c r="M314" s="181">
        <v>236835681.16639999</v>
      </c>
      <c r="N314" s="181">
        <v>1720641.7199999997</v>
      </c>
      <c r="O314" s="181">
        <v>1537106.6031999998</v>
      </c>
      <c r="P314" s="181">
        <v>129.79400000000001</v>
      </c>
      <c r="Q314" s="181">
        <v>77419045.161599994</v>
      </c>
      <c r="R314" s="181">
        <v>763637.18239999993</v>
      </c>
      <c r="S314" s="181">
        <v>498166.74559999991</v>
      </c>
      <c r="T314" s="181">
        <v>74.167999999999992</v>
      </c>
      <c r="U314" s="181">
        <v>1240369.6482879999</v>
      </c>
      <c r="V314" s="181">
        <v>1656866296552.3923</v>
      </c>
    </row>
    <row r="315" spans="1:22">
      <c r="A315" s="2" t="s">
        <v>647</v>
      </c>
      <c r="B315" s="2" t="s">
        <v>648</v>
      </c>
      <c r="C315" s="181">
        <v>93.754080000000002</v>
      </c>
      <c r="D315" s="181">
        <v>11870.943999999998</v>
      </c>
      <c r="E315" s="181">
        <v>302.26</v>
      </c>
      <c r="F315" s="181">
        <v>307.33999999999997</v>
      </c>
      <c r="G315" s="181">
        <v>13.081</v>
      </c>
      <c r="H315" s="181">
        <v>13.081</v>
      </c>
      <c r="I315" s="181">
        <v>0</v>
      </c>
      <c r="J315" s="181">
        <v>18.669</v>
      </c>
      <c r="K315" s="181">
        <v>11.8</v>
      </c>
      <c r="L315" s="181">
        <v>18.899999999999999</v>
      </c>
      <c r="M315" s="181">
        <v>196461232.88319999</v>
      </c>
      <c r="N315" s="181">
        <v>1446977.7511999998</v>
      </c>
      <c r="O315" s="181">
        <v>1296216.7623999999</v>
      </c>
      <c r="P315" s="181">
        <v>128.52399999999997</v>
      </c>
      <c r="Q315" s="181">
        <v>63683408.116799995</v>
      </c>
      <c r="R315" s="181">
        <v>634179.37679999997</v>
      </c>
      <c r="S315" s="181">
        <v>414592.71919999999</v>
      </c>
      <c r="T315" s="181">
        <v>73.151999999999987</v>
      </c>
      <c r="U315" s="181">
        <v>761703.50884799997</v>
      </c>
      <c r="V315" s="181">
        <v>1339993974035.0789</v>
      </c>
    </row>
    <row r="316" spans="1:22">
      <c r="A316" s="2" t="s">
        <v>649</v>
      </c>
      <c r="B316" s="2" t="s">
        <v>650</v>
      </c>
      <c r="C316" s="181">
        <v>78.872479999999996</v>
      </c>
      <c r="D316" s="181">
        <v>9999.98</v>
      </c>
      <c r="E316" s="181">
        <v>299.72000000000003</v>
      </c>
      <c r="F316" s="181">
        <v>304.79999999999995</v>
      </c>
      <c r="G316" s="181">
        <v>11.048999999999999</v>
      </c>
      <c r="H316" s="181">
        <v>11.048999999999999</v>
      </c>
      <c r="I316" s="181">
        <v>0</v>
      </c>
      <c r="J316" s="181">
        <v>17.526</v>
      </c>
      <c r="K316" s="181">
        <v>13.8</v>
      </c>
      <c r="L316" s="181">
        <v>22.3</v>
      </c>
      <c r="M316" s="181">
        <v>163578950.26079997</v>
      </c>
      <c r="N316" s="181">
        <v>1212642.7359999998</v>
      </c>
      <c r="O316" s="181">
        <v>1093017.1687999999</v>
      </c>
      <c r="P316" s="181">
        <v>127.762</v>
      </c>
      <c r="Q316" s="181">
        <v>52861391.051199995</v>
      </c>
      <c r="R316" s="181">
        <v>527663.4608</v>
      </c>
      <c r="S316" s="181">
        <v>345767.05040000001</v>
      </c>
      <c r="T316" s="181">
        <v>72.643999999999991</v>
      </c>
      <c r="U316" s="181">
        <v>466179.19667199999</v>
      </c>
      <c r="V316" s="181">
        <v>1098311694148.9926</v>
      </c>
    </row>
    <row r="317" spans="1:22">
      <c r="A317" s="2" t="s">
        <v>651</v>
      </c>
      <c r="B317" s="2" t="s">
        <v>652</v>
      </c>
      <c r="C317" s="181">
        <v>84.825119999999998</v>
      </c>
      <c r="D317" s="181">
        <v>10838.688</v>
      </c>
      <c r="E317" s="181">
        <v>253.74599999999998</v>
      </c>
      <c r="F317" s="181">
        <v>259.08</v>
      </c>
      <c r="G317" s="181">
        <v>14.350999999999997</v>
      </c>
      <c r="H317" s="181">
        <v>14.350999999999997</v>
      </c>
      <c r="I317" s="181">
        <v>0</v>
      </c>
      <c r="J317" s="181">
        <v>17.399000000000001</v>
      </c>
      <c r="K317" s="181">
        <v>9.0500000000000007</v>
      </c>
      <c r="L317" s="181">
        <v>13.9</v>
      </c>
      <c r="M317" s="181">
        <v>122372039.12639999</v>
      </c>
      <c r="N317" s="181">
        <v>1089739.7559999998</v>
      </c>
      <c r="O317" s="181">
        <v>963559.36319999991</v>
      </c>
      <c r="P317" s="181">
        <v>106.17199999999998</v>
      </c>
      <c r="Q317" s="181">
        <v>42039373.985599995</v>
      </c>
      <c r="R317" s="181">
        <v>496528.03919999994</v>
      </c>
      <c r="S317" s="181">
        <v>322825.16079999995</v>
      </c>
      <c r="T317" s="181">
        <v>62.230000000000004</v>
      </c>
      <c r="U317" s="181">
        <v>819975.90843199985</v>
      </c>
      <c r="V317" s="181">
        <v>601520341049.81506</v>
      </c>
    </row>
    <row r="318" spans="1:22">
      <c r="A318" s="2" t="s">
        <v>653</v>
      </c>
      <c r="B318" s="2" t="s">
        <v>654</v>
      </c>
      <c r="C318" s="181">
        <v>62.502719999999997</v>
      </c>
      <c r="D318" s="181">
        <v>7999.9839999999995</v>
      </c>
      <c r="E318" s="181">
        <v>246.37999999999997</v>
      </c>
      <c r="F318" s="181">
        <v>256.53999999999996</v>
      </c>
      <c r="G318" s="181">
        <v>10.540999999999999</v>
      </c>
      <c r="H318" s="181">
        <v>10.667999999999999</v>
      </c>
      <c r="I318" s="181">
        <v>0</v>
      </c>
      <c r="J318" s="181">
        <v>17.907</v>
      </c>
      <c r="K318" s="181">
        <v>12</v>
      </c>
      <c r="L318" s="181">
        <v>18.899999999999999</v>
      </c>
      <c r="M318" s="181">
        <v>87408599.375999987</v>
      </c>
      <c r="N318" s="181">
        <v>791495.19119999988</v>
      </c>
      <c r="O318" s="181">
        <v>711198.57759999996</v>
      </c>
      <c r="P318" s="181">
        <v>104.90199999999999</v>
      </c>
      <c r="Q318" s="181">
        <v>29843793.215519998</v>
      </c>
      <c r="R318" s="181">
        <v>357237.9952</v>
      </c>
      <c r="S318" s="181">
        <v>232696.30879999997</v>
      </c>
      <c r="T318" s="181">
        <v>61.213999999999999</v>
      </c>
      <c r="U318" s="181">
        <v>338396.14901279996</v>
      </c>
      <c r="V318" s="181">
        <v>413545234471.7478</v>
      </c>
    </row>
    <row r="319" spans="1:22">
      <c r="A319" s="2" t="s">
        <v>655</v>
      </c>
      <c r="B319" s="2" t="s">
        <v>656</v>
      </c>
      <c r="C319" s="181">
        <v>53.57376</v>
      </c>
      <c r="D319" s="181">
        <v>6838.695999999999</v>
      </c>
      <c r="E319" s="181">
        <v>203.70799999999997</v>
      </c>
      <c r="F319" s="181">
        <v>207.01</v>
      </c>
      <c r="G319" s="181">
        <v>11.302999999999999</v>
      </c>
      <c r="H319" s="181">
        <v>11.302999999999999</v>
      </c>
      <c r="I319" s="181">
        <v>0</v>
      </c>
      <c r="J319" s="181">
        <v>17.271999999999998</v>
      </c>
      <c r="K319" s="181">
        <v>9.16</v>
      </c>
      <c r="L319" s="181">
        <v>14.2</v>
      </c>
      <c r="M319" s="181">
        <v>49531539.646399997</v>
      </c>
      <c r="N319" s="181">
        <v>550605.3504</v>
      </c>
      <c r="O319" s="181">
        <v>488334.50719999999</v>
      </c>
      <c r="P319" s="181">
        <v>85.343999999999994</v>
      </c>
      <c r="Q319" s="181">
        <v>16774126.451679997</v>
      </c>
      <c r="R319" s="181">
        <v>249083.37279999995</v>
      </c>
      <c r="S319" s="181">
        <v>161904.19232</v>
      </c>
      <c r="T319" s="181">
        <v>49.529999999999994</v>
      </c>
      <c r="U319" s="181">
        <v>320498.19771199999</v>
      </c>
      <c r="V319" s="181">
        <v>155213730860.17548</v>
      </c>
    </row>
    <row r="320" spans="1:22">
      <c r="A320" s="2" t="s">
        <v>657</v>
      </c>
      <c r="B320" s="2" t="s">
        <v>658</v>
      </c>
      <c r="C320" s="181">
        <v>74.408000000000001</v>
      </c>
      <c r="D320" s="181">
        <v>9483.851999999999</v>
      </c>
      <c r="E320" s="181">
        <v>381</v>
      </c>
      <c r="F320" s="181">
        <v>94.488</v>
      </c>
      <c r="G320" s="181">
        <v>18.186399999999999</v>
      </c>
      <c r="H320" s="181">
        <v>16.509999999999998</v>
      </c>
      <c r="I320" s="181">
        <v>0</v>
      </c>
      <c r="J320" s="181">
        <v>20.002499999999998</v>
      </c>
      <c r="K320" s="181">
        <v>0</v>
      </c>
      <c r="L320" s="181">
        <v>0</v>
      </c>
      <c r="M320" s="181">
        <v>168157495.94239998</v>
      </c>
      <c r="N320" s="181">
        <v>1122513.8839999998</v>
      </c>
      <c r="O320" s="181">
        <v>881624.04319999984</v>
      </c>
      <c r="P320" s="181">
        <v>133.096</v>
      </c>
      <c r="Q320" s="181">
        <v>4578545.6815999998</v>
      </c>
      <c r="R320" s="181">
        <v>133390.70095999999</v>
      </c>
      <c r="S320" s="181">
        <v>61779.231279999993</v>
      </c>
      <c r="T320" s="181">
        <v>21.971</v>
      </c>
      <c r="U320" s="181">
        <v>1103013.2778399999</v>
      </c>
      <c r="V320" s="181">
        <v>132119646337.72722</v>
      </c>
    </row>
    <row r="321" spans="1:22">
      <c r="A321" s="2" t="s">
        <v>659</v>
      </c>
      <c r="B321" s="2" t="s">
        <v>660</v>
      </c>
      <c r="C321" s="181">
        <v>59.526399999999995</v>
      </c>
      <c r="D321" s="181">
        <v>7612.8879999999999</v>
      </c>
      <c r="E321" s="181">
        <v>381</v>
      </c>
      <c r="F321" s="181">
        <v>89.408000000000001</v>
      </c>
      <c r="G321" s="181">
        <v>13.208</v>
      </c>
      <c r="H321" s="181">
        <v>16.509999999999998</v>
      </c>
      <c r="I321" s="181">
        <v>0</v>
      </c>
      <c r="J321" s="181">
        <v>20.002499999999998</v>
      </c>
      <c r="K321" s="181">
        <v>0</v>
      </c>
      <c r="L321" s="181">
        <v>0</v>
      </c>
      <c r="M321" s="181">
        <v>144848536.10879999</v>
      </c>
      <c r="N321" s="181">
        <v>942256.17999999993</v>
      </c>
      <c r="O321" s="181">
        <v>761998.47599999991</v>
      </c>
      <c r="P321" s="181">
        <v>138.43</v>
      </c>
      <c r="Q321" s="181">
        <v>3816842.1727519995</v>
      </c>
      <c r="R321" s="181">
        <v>112087.51775999999</v>
      </c>
      <c r="S321" s="181">
        <v>54732.793759999993</v>
      </c>
      <c r="T321" s="181">
        <v>22.4282</v>
      </c>
      <c r="U321" s="181">
        <v>603535.56711999991</v>
      </c>
      <c r="V321" s="181">
        <v>110099705281.43935</v>
      </c>
    </row>
    <row r="322" spans="1:22">
      <c r="A322" s="2" t="s">
        <v>661</v>
      </c>
      <c r="B322" s="2" t="s">
        <v>662</v>
      </c>
      <c r="C322" s="181">
        <v>50.448623999999995</v>
      </c>
      <c r="D322" s="181">
        <v>6419.3419999999996</v>
      </c>
      <c r="E322" s="181">
        <v>381</v>
      </c>
      <c r="F322" s="181">
        <v>86.36</v>
      </c>
      <c r="G322" s="181">
        <v>10.16</v>
      </c>
      <c r="H322" s="181">
        <v>16.509999999999998</v>
      </c>
      <c r="I322" s="181">
        <v>0</v>
      </c>
      <c r="J322" s="181">
        <v>20.002499999999998</v>
      </c>
      <c r="K322" s="181">
        <v>0</v>
      </c>
      <c r="L322" s="181">
        <v>0</v>
      </c>
      <c r="M322" s="181">
        <v>131112899.06399998</v>
      </c>
      <c r="N322" s="181">
        <v>832462.85119999992</v>
      </c>
      <c r="O322" s="181">
        <v>688256.68799999997</v>
      </c>
      <c r="P322" s="181">
        <v>142.74799999999999</v>
      </c>
      <c r="Q322" s="181">
        <v>3358987.6045919997</v>
      </c>
      <c r="R322" s="181">
        <v>101435.92616</v>
      </c>
      <c r="S322" s="181">
        <v>50636.02775999999</v>
      </c>
      <c r="T322" s="181">
        <v>22.885400000000001</v>
      </c>
      <c r="U322" s="181">
        <v>420393.73985599994</v>
      </c>
      <c r="V322" s="181">
        <v>96135840221.35437</v>
      </c>
    </row>
    <row r="323" spans="1:22">
      <c r="A323" s="2" t="s">
        <v>663</v>
      </c>
      <c r="B323" s="2" t="s">
        <v>664</v>
      </c>
      <c r="C323" s="181">
        <v>44.644799999999996</v>
      </c>
      <c r="D323" s="181">
        <v>5683.8595999999998</v>
      </c>
      <c r="E323" s="181">
        <v>304.79999999999995</v>
      </c>
      <c r="F323" s="181">
        <v>80.518000000000001</v>
      </c>
      <c r="G323" s="181">
        <v>12.953999999999999</v>
      </c>
      <c r="H323" s="181">
        <v>12.725399999999999</v>
      </c>
      <c r="I323" s="181">
        <v>0</v>
      </c>
      <c r="J323" s="181">
        <v>15.849600000000001</v>
      </c>
      <c r="K323" s="181">
        <v>0</v>
      </c>
      <c r="L323" s="181">
        <v>0</v>
      </c>
      <c r="M323" s="181">
        <v>67429490.9472</v>
      </c>
      <c r="N323" s="181">
        <v>553882.76319999993</v>
      </c>
      <c r="O323" s="181">
        <v>442450.72799999994</v>
      </c>
      <c r="P323" s="181">
        <v>108.96599999999999</v>
      </c>
      <c r="Q323" s="181">
        <v>2131104.8990719998</v>
      </c>
      <c r="R323" s="181">
        <v>70792.116479999997</v>
      </c>
      <c r="S323" s="181">
        <v>33593.481199999995</v>
      </c>
      <c r="T323" s="181">
        <v>19.354800000000001</v>
      </c>
      <c r="U323" s="181">
        <v>358375.25744159997</v>
      </c>
      <c r="V323" s="181">
        <v>40548915847.554497</v>
      </c>
    </row>
    <row r="324" spans="1:22">
      <c r="A324" s="2" t="s">
        <v>665</v>
      </c>
      <c r="B324" s="2" t="s">
        <v>666</v>
      </c>
      <c r="C324" s="181">
        <v>37.204000000000001</v>
      </c>
      <c r="D324" s="181">
        <v>4735.4744000000001</v>
      </c>
      <c r="E324" s="181">
        <v>304.79999999999995</v>
      </c>
      <c r="F324" s="181">
        <v>77.469999999999985</v>
      </c>
      <c r="G324" s="181">
        <v>9.8298000000000005</v>
      </c>
      <c r="H324" s="181">
        <v>12.725399999999999</v>
      </c>
      <c r="I324" s="181">
        <v>0</v>
      </c>
      <c r="J324" s="181">
        <v>15.849600000000001</v>
      </c>
      <c r="K324" s="181">
        <v>0</v>
      </c>
      <c r="L324" s="181">
        <v>0</v>
      </c>
      <c r="M324" s="181">
        <v>59937325.28639999</v>
      </c>
      <c r="N324" s="181">
        <v>481779.68159999995</v>
      </c>
      <c r="O324" s="181">
        <v>393289.53599999996</v>
      </c>
      <c r="P324" s="181">
        <v>112.52199999999999</v>
      </c>
      <c r="Q324" s="181">
        <v>1852229.8439199999</v>
      </c>
      <c r="R324" s="181">
        <v>62598.58447999999</v>
      </c>
      <c r="S324" s="181">
        <v>30643.809679999998</v>
      </c>
      <c r="T324" s="181">
        <v>19.7866</v>
      </c>
      <c r="U324" s="181">
        <v>223932.50697279998</v>
      </c>
      <c r="V324" s="181">
        <v>34909662650.212479</v>
      </c>
    </row>
    <row r="325" spans="1:22">
      <c r="A325" s="2" t="s">
        <v>667</v>
      </c>
      <c r="B325" s="2" t="s">
        <v>668</v>
      </c>
      <c r="C325" s="181">
        <v>30.804911999999998</v>
      </c>
      <c r="D325" s="181">
        <v>3922.5727999999999</v>
      </c>
      <c r="E325" s="181">
        <v>304.79999999999995</v>
      </c>
      <c r="F325" s="181">
        <v>74.675999999999988</v>
      </c>
      <c r="G325" s="181">
        <v>7.1627999999999989</v>
      </c>
      <c r="H325" s="181">
        <v>12.725399999999999</v>
      </c>
      <c r="I325" s="181">
        <v>0</v>
      </c>
      <c r="J325" s="181">
        <v>15.849600000000001</v>
      </c>
      <c r="K325" s="181">
        <v>0</v>
      </c>
      <c r="L325" s="181">
        <v>0</v>
      </c>
      <c r="M325" s="181">
        <v>53693853.902399994</v>
      </c>
      <c r="N325" s="181">
        <v>419508.83840000001</v>
      </c>
      <c r="O325" s="181">
        <v>352321.87599999999</v>
      </c>
      <c r="P325" s="181">
        <v>117.09400000000001</v>
      </c>
      <c r="Q325" s="181">
        <v>1606653.3028159998</v>
      </c>
      <c r="R325" s="181">
        <v>56863.112079999999</v>
      </c>
      <c r="S325" s="181">
        <v>28185.750079999998</v>
      </c>
      <c r="T325" s="181">
        <v>20.2438</v>
      </c>
      <c r="U325" s="181">
        <v>153589.39604639998</v>
      </c>
      <c r="V325" s="181">
        <v>30076017052.490749</v>
      </c>
    </row>
    <row r="326" spans="1:22">
      <c r="A326" s="2" t="s">
        <v>669</v>
      </c>
      <c r="B326" s="2" t="s">
        <v>670</v>
      </c>
      <c r="C326" s="181">
        <v>44.644799999999996</v>
      </c>
      <c r="D326" s="181">
        <v>5683.8595999999998</v>
      </c>
      <c r="E326" s="181">
        <v>254</v>
      </c>
      <c r="F326" s="181">
        <v>76.961999999999989</v>
      </c>
      <c r="G326" s="181">
        <v>17.094200000000001</v>
      </c>
      <c r="H326" s="181">
        <v>11.074399999999999</v>
      </c>
      <c r="I326" s="181">
        <v>0</v>
      </c>
      <c r="J326" s="181">
        <v>14.3256</v>
      </c>
      <c r="K326" s="181">
        <v>0</v>
      </c>
      <c r="L326" s="181">
        <v>0</v>
      </c>
      <c r="M326" s="181">
        <v>42871836.836799994</v>
      </c>
      <c r="N326" s="181">
        <v>437534.60879999993</v>
      </c>
      <c r="O326" s="181">
        <v>339212.22479999997</v>
      </c>
      <c r="P326" s="181">
        <v>86.867999999999995</v>
      </c>
      <c r="Q326" s="181">
        <v>1635789.5026079998</v>
      </c>
      <c r="R326" s="181">
        <v>61943.101919999994</v>
      </c>
      <c r="S326" s="181">
        <v>27038.655599999995</v>
      </c>
      <c r="T326" s="181">
        <v>16.967199999999998</v>
      </c>
      <c r="U326" s="181">
        <v>507802.33923199994</v>
      </c>
      <c r="V326" s="181">
        <v>21348601389.93763</v>
      </c>
    </row>
    <row r="327" spans="1:22">
      <c r="A327" s="2" t="s">
        <v>671</v>
      </c>
      <c r="B327" s="2" t="s">
        <v>672</v>
      </c>
      <c r="C327" s="181">
        <v>37.204000000000001</v>
      </c>
      <c r="D327" s="181">
        <v>4735.4744000000001</v>
      </c>
      <c r="E327" s="181">
        <v>254</v>
      </c>
      <c r="F327" s="181">
        <v>73.406000000000006</v>
      </c>
      <c r="G327" s="181">
        <v>13.3604</v>
      </c>
      <c r="H327" s="181">
        <v>11.074399999999999</v>
      </c>
      <c r="I327" s="181">
        <v>0</v>
      </c>
      <c r="J327" s="181">
        <v>14.3256</v>
      </c>
      <c r="K327" s="181">
        <v>0</v>
      </c>
      <c r="L327" s="181">
        <v>0</v>
      </c>
      <c r="M327" s="181">
        <v>37918682.872159995</v>
      </c>
      <c r="N327" s="181">
        <v>378541.17839999998</v>
      </c>
      <c r="O327" s="181">
        <v>298244.56479999993</v>
      </c>
      <c r="P327" s="181">
        <v>89.408000000000001</v>
      </c>
      <c r="Q327" s="181">
        <v>1390212.9615039998</v>
      </c>
      <c r="R327" s="181">
        <v>52110.863519999999</v>
      </c>
      <c r="S327" s="181">
        <v>24088.984079999998</v>
      </c>
      <c r="T327" s="181">
        <v>17.145</v>
      </c>
      <c r="U327" s="181">
        <v>285950.98938719998</v>
      </c>
      <c r="V327" s="181">
        <v>18340999684.688557</v>
      </c>
    </row>
    <row r="328" spans="1:22">
      <c r="A328" s="2" t="s">
        <v>673</v>
      </c>
      <c r="B328" s="2" t="s">
        <v>674</v>
      </c>
      <c r="C328" s="181">
        <v>29.763199999999998</v>
      </c>
      <c r="D328" s="181">
        <v>3787.0891999999999</v>
      </c>
      <c r="E328" s="181">
        <v>254</v>
      </c>
      <c r="F328" s="181">
        <v>69.596000000000004</v>
      </c>
      <c r="G328" s="181">
        <v>9.6265999999999998</v>
      </c>
      <c r="H328" s="181">
        <v>11.074399999999999</v>
      </c>
      <c r="I328" s="181">
        <v>0</v>
      </c>
      <c r="J328" s="181">
        <v>14.3256</v>
      </c>
      <c r="K328" s="181">
        <v>0</v>
      </c>
      <c r="L328" s="181">
        <v>0</v>
      </c>
      <c r="M328" s="181">
        <v>32840659.479839999</v>
      </c>
      <c r="N328" s="181">
        <v>317909.04159999994</v>
      </c>
      <c r="O328" s="181">
        <v>258915.61119999998</v>
      </c>
      <c r="P328" s="181">
        <v>92.963999999999999</v>
      </c>
      <c r="Q328" s="181">
        <v>1165447.9916799997</v>
      </c>
      <c r="R328" s="181">
        <v>44245.072800000002</v>
      </c>
      <c r="S328" s="181">
        <v>21467.05384</v>
      </c>
      <c r="T328" s="181">
        <v>17.525999999999996</v>
      </c>
      <c r="U328" s="181">
        <v>153173.16462079997</v>
      </c>
      <c r="V328" s="181">
        <v>15279690806.131462</v>
      </c>
    </row>
    <row r="329" spans="1:22">
      <c r="A329" s="2" t="s">
        <v>675</v>
      </c>
      <c r="B329" s="2" t="s">
        <v>676</v>
      </c>
      <c r="C329" s="181">
        <v>22.768847999999998</v>
      </c>
      <c r="D329" s="181">
        <v>2890.3168000000001</v>
      </c>
      <c r="E329" s="181">
        <v>254</v>
      </c>
      <c r="F329" s="181">
        <v>66.039999999999992</v>
      </c>
      <c r="G329" s="181">
        <v>6.0959999999999992</v>
      </c>
      <c r="H329" s="181">
        <v>11.074399999999999</v>
      </c>
      <c r="I329" s="181">
        <v>0</v>
      </c>
      <c r="J329" s="181">
        <v>14.3256</v>
      </c>
      <c r="K329" s="181">
        <v>0</v>
      </c>
      <c r="L329" s="181">
        <v>0</v>
      </c>
      <c r="M329" s="181">
        <v>28012374.942879997</v>
      </c>
      <c r="N329" s="181">
        <v>260554.31759999998</v>
      </c>
      <c r="O329" s="181">
        <v>221225.36399999997</v>
      </c>
      <c r="P329" s="181">
        <v>98.298000000000002</v>
      </c>
      <c r="Q329" s="181">
        <v>944845.33611199993</v>
      </c>
      <c r="R329" s="181">
        <v>38345.729759999995</v>
      </c>
      <c r="S329" s="181">
        <v>18845.123599999995</v>
      </c>
      <c r="T329" s="181">
        <v>18.059399999999997</v>
      </c>
      <c r="U329" s="181">
        <v>86992.367950399988</v>
      </c>
      <c r="V329" s="181">
        <v>12218381927.574368</v>
      </c>
    </row>
    <row r="330" spans="1:22">
      <c r="A330" s="2" t="s">
        <v>677</v>
      </c>
      <c r="B330" s="2" t="s">
        <v>678</v>
      </c>
      <c r="C330" s="181">
        <v>29.763199999999998</v>
      </c>
      <c r="D330" s="181">
        <v>3787.0891999999999</v>
      </c>
      <c r="E330" s="181">
        <v>228.6</v>
      </c>
      <c r="F330" s="181">
        <v>67.309999999999988</v>
      </c>
      <c r="G330" s="181">
        <v>11.379199999999999</v>
      </c>
      <c r="H330" s="181">
        <v>10.4902</v>
      </c>
      <c r="I330" s="181">
        <v>0</v>
      </c>
      <c r="J330" s="181">
        <v>14.909799999999999</v>
      </c>
      <c r="K330" s="181">
        <v>0</v>
      </c>
      <c r="L330" s="181">
        <v>0</v>
      </c>
      <c r="M330" s="181">
        <v>25348493.819039997</v>
      </c>
      <c r="N330" s="181">
        <v>276941.38159999996</v>
      </c>
      <c r="O330" s="181">
        <v>221225.36399999997</v>
      </c>
      <c r="P330" s="181">
        <v>81.787999999999997</v>
      </c>
      <c r="Q330" s="181">
        <v>1003117.7356959999</v>
      </c>
      <c r="R330" s="181">
        <v>40312.177439999992</v>
      </c>
      <c r="S330" s="181">
        <v>19172.864879999997</v>
      </c>
      <c r="T330" s="181">
        <v>16.256</v>
      </c>
      <c r="U330" s="181">
        <v>177730.81873119998</v>
      </c>
      <c r="V330" s="181">
        <v>10580313141.679781</v>
      </c>
    </row>
    <row r="331" spans="1:22">
      <c r="A331" s="2" t="s">
        <v>679</v>
      </c>
      <c r="B331" s="2" t="s">
        <v>680</v>
      </c>
      <c r="C331" s="181">
        <v>22.322399999999998</v>
      </c>
      <c r="D331" s="181">
        <v>2845.1556</v>
      </c>
      <c r="E331" s="181">
        <v>228.6</v>
      </c>
      <c r="F331" s="181">
        <v>63.246000000000002</v>
      </c>
      <c r="G331" s="181">
        <v>7.238999999999999</v>
      </c>
      <c r="H331" s="181">
        <v>10.4902</v>
      </c>
      <c r="I331" s="181">
        <v>0</v>
      </c>
      <c r="J331" s="181">
        <v>14.909799999999999</v>
      </c>
      <c r="K331" s="181">
        <v>0</v>
      </c>
      <c r="L331" s="181">
        <v>0</v>
      </c>
      <c r="M331" s="181">
        <v>21227802.705599997</v>
      </c>
      <c r="N331" s="181">
        <v>222864.07039999997</v>
      </c>
      <c r="O331" s="181">
        <v>185173.82319999998</v>
      </c>
      <c r="P331" s="181">
        <v>86.36</v>
      </c>
      <c r="Q331" s="181">
        <v>795002.02289599983</v>
      </c>
      <c r="R331" s="181">
        <v>33429.610560000001</v>
      </c>
      <c r="S331" s="181">
        <v>16550.934639999999</v>
      </c>
      <c r="T331" s="181">
        <v>16.738599999999998</v>
      </c>
      <c r="U331" s="181">
        <v>86576.136524799993</v>
      </c>
      <c r="V331" s="181">
        <v>8324611862.7429752</v>
      </c>
    </row>
    <row r="332" spans="1:22">
      <c r="A332" s="2" t="s">
        <v>681</v>
      </c>
      <c r="B332" s="2" t="s">
        <v>682</v>
      </c>
      <c r="C332" s="181">
        <v>19.941344000000001</v>
      </c>
      <c r="D332" s="181">
        <v>2541.9303999999997</v>
      </c>
      <c r="E332" s="181">
        <v>228.6</v>
      </c>
      <c r="F332" s="181">
        <v>61.722000000000001</v>
      </c>
      <c r="G332" s="181">
        <v>5.9181999999999997</v>
      </c>
      <c r="H332" s="181">
        <v>10.4902</v>
      </c>
      <c r="I332" s="181">
        <v>0</v>
      </c>
      <c r="J332" s="181">
        <v>14.909799999999999</v>
      </c>
      <c r="K332" s="181">
        <v>0</v>
      </c>
      <c r="L332" s="181">
        <v>0</v>
      </c>
      <c r="M332" s="181">
        <v>19895862.143679995</v>
      </c>
      <c r="N332" s="181">
        <v>206477.00639999998</v>
      </c>
      <c r="O332" s="181">
        <v>173702.87839999999</v>
      </c>
      <c r="P332" s="181">
        <v>88.646000000000001</v>
      </c>
      <c r="Q332" s="181">
        <v>728404.99479999999</v>
      </c>
      <c r="R332" s="181">
        <v>31790.904159999995</v>
      </c>
      <c r="S332" s="181">
        <v>15633.259055999997</v>
      </c>
      <c r="T332" s="181">
        <v>16.916399999999999</v>
      </c>
      <c r="U332" s="181">
        <v>69926.879500800002</v>
      </c>
      <c r="V332" s="181">
        <v>7572711436.430707</v>
      </c>
    </row>
    <row r="333" spans="1:22">
      <c r="A333" s="2" t="s">
        <v>683</v>
      </c>
      <c r="B333" s="2" t="s">
        <v>684</v>
      </c>
      <c r="C333" s="181">
        <v>27.902999999999999</v>
      </c>
      <c r="D333" s="181">
        <v>3554.8315999999995</v>
      </c>
      <c r="E333" s="181">
        <v>203.2</v>
      </c>
      <c r="F333" s="181">
        <v>64.261999999999986</v>
      </c>
      <c r="G333" s="181">
        <v>12.3698</v>
      </c>
      <c r="H333" s="181">
        <v>9.9060000000000006</v>
      </c>
      <c r="I333" s="181">
        <v>0</v>
      </c>
      <c r="J333" s="181">
        <v>13.906499999999999</v>
      </c>
      <c r="K333" s="181">
        <v>0</v>
      </c>
      <c r="L333" s="181">
        <v>0</v>
      </c>
      <c r="M333" s="181">
        <v>18272559.583839998</v>
      </c>
      <c r="N333" s="181">
        <v>227780.18959999998</v>
      </c>
      <c r="O333" s="181">
        <v>180257.70399999997</v>
      </c>
      <c r="P333" s="181">
        <v>71.627999999999986</v>
      </c>
      <c r="Q333" s="181">
        <v>819975.90843199985</v>
      </c>
      <c r="R333" s="181">
        <v>35559.928879999992</v>
      </c>
      <c r="S333" s="181">
        <v>16550.934639999999</v>
      </c>
      <c r="T333" s="181">
        <v>15.189199999999998</v>
      </c>
      <c r="U333" s="181">
        <v>180644.43871039999</v>
      </c>
      <c r="V333" s="181">
        <v>6740250250.1564093</v>
      </c>
    </row>
    <row r="334" spans="1:22">
      <c r="A334" s="2" t="s">
        <v>685</v>
      </c>
      <c r="B334" s="2" t="s">
        <v>686</v>
      </c>
      <c r="C334" s="181">
        <v>20.462199999999999</v>
      </c>
      <c r="D334" s="181">
        <v>2606.4463999999998</v>
      </c>
      <c r="E334" s="181">
        <v>203.2</v>
      </c>
      <c r="F334" s="181">
        <v>59.435999999999993</v>
      </c>
      <c r="G334" s="181">
        <v>7.6961999999999993</v>
      </c>
      <c r="H334" s="181">
        <v>9.9060000000000006</v>
      </c>
      <c r="I334" s="181">
        <v>0</v>
      </c>
      <c r="J334" s="181">
        <v>13.906499999999999</v>
      </c>
      <c r="K334" s="181">
        <v>0</v>
      </c>
      <c r="L334" s="181">
        <v>0</v>
      </c>
      <c r="M334" s="181">
        <v>15025954.464159999</v>
      </c>
      <c r="N334" s="181">
        <v>180257.70399999997</v>
      </c>
      <c r="O334" s="181">
        <v>147811.31727999999</v>
      </c>
      <c r="P334" s="181">
        <v>75.945999999999998</v>
      </c>
      <c r="Q334" s="181">
        <v>632671.7669119999</v>
      </c>
      <c r="R334" s="181">
        <v>28349.620719999995</v>
      </c>
      <c r="S334" s="181">
        <v>13896.230271999999</v>
      </c>
      <c r="T334" s="181">
        <v>15.570199999999998</v>
      </c>
      <c r="U334" s="181">
        <v>77419.045161599992</v>
      </c>
      <c r="V334" s="181">
        <v>5155888637.5698423</v>
      </c>
    </row>
    <row r="335" spans="1:22">
      <c r="A335" s="2" t="s">
        <v>687</v>
      </c>
      <c r="B335" s="2" t="s">
        <v>688</v>
      </c>
      <c r="C335" s="181">
        <v>17.11384</v>
      </c>
      <c r="D335" s="181">
        <v>2174.1891999999998</v>
      </c>
      <c r="E335" s="181">
        <v>203.2</v>
      </c>
      <c r="F335" s="181">
        <v>57.403999999999989</v>
      </c>
      <c r="G335" s="181">
        <v>5.5880000000000001</v>
      </c>
      <c r="H335" s="181">
        <v>9.9060000000000006</v>
      </c>
      <c r="I335" s="181">
        <v>0</v>
      </c>
      <c r="J335" s="181">
        <v>13.906499999999999</v>
      </c>
      <c r="K335" s="181">
        <v>0</v>
      </c>
      <c r="L335" s="181">
        <v>0</v>
      </c>
      <c r="M335" s="181">
        <v>13527521.331999999</v>
      </c>
      <c r="N335" s="181">
        <v>157807.42632</v>
      </c>
      <c r="O335" s="181">
        <v>133390.70095999999</v>
      </c>
      <c r="P335" s="181">
        <v>78.993999999999986</v>
      </c>
      <c r="Q335" s="181">
        <v>545263.16753600002</v>
      </c>
      <c r="R335" s="181">
        <v>25727.690479999997</v>
      </c>
      <c r="S335" s="181">
        <v>12699.9746</v>
      </c>
      <c r="T335" s="181">
        <v>15.824199999999999</v>
      </c>
      <c r="U335" s="181">
        <v>54110.085327999994</v>
      </c>
      <c r="V335" s="181">
        <v>4430841797.9115839</v>
      </c>
    </row>
    <row r="336" spans="1:22">
      <c r="A336" s="2" t="s">
        <v>689</v>
      </c>
      <c r="B336" s="2" t="s">
        <v>690</v>
      </c>
      <c r="C336" s="181">
        <v>21.95036</v>
      </c>
      <c r="D336" s="181">
        <v>2793.5427999999997</v>
      </c>
      <c r="E336" s="181">
        <v>177.79999999999998</v>
      </c>
      <c r="F336" s="181">
        <v>58.419999999999995</v>
      </c>
      <c r="G336" s="181">
        <v>10.6426</v>
      </c>
      <c r="H336" s="181">
        <v>9.2963999999999984</v>
      </c>
      <c r="I336" s="181">
        <v>0</v>
      </c>
      <c r="J336" s="181">
        <v>12.928599999999999</v>
      </c>
      <c r="K336" s="181">
        <v>0</v>
      </c>
      <c r="L336" s="181">
        <v>0</v>
      </c>
      <c r="M336" s="181">
        <v>11321494.776319999</v>
      </c>
      <c r="N336" s="181">
        <v>159773.87399999998</v>
      </c>
      <c r="O336" s="181">
        <v>127491.35791999999</v>
      </c>
      <c r="P336" s="181">
        <v>63.753999999999991</v>
      </c>
      <c r="Q336" s="181">
        <v>570237.05307200004</v>
      </c>
      <c r="R336" s="181">
        <v>26710.914319999996</v>
      </c>
      <c r="S336" s="181">
        <v>12650.813408</v>
      </c>
      <c r="T336" s="181">
        <v>14.249400000000001</v>
      </c>
      <c r="U336" s="181">
        <v>111133.7906352</v>
      </c>
      <c r="V336" s="181">
        <v>3517819851.6752572</v>
      </c>
    </row>
    <row r="337" spans="1:22">
      <c r="A337" s="2" t="s">
        <v>691</v>
      </c>
      <c r="B337" s="2" t="s">
        <v>692</v>
      </c>
      <c r="C337" s="181">
        <v>18.229959999999998</v>
      </c>
      <c r="D337" s="181">
        <v>2322.576</v>
      </c>
      <c r="E337" s="181">
        <v>177.79999999999998</v>
      </c>
      <c r="F337" s="181">
        <v>55.625999999999998</v>
      </c>
      <c r="G337" s="181">
        <v>7.9756</v>
      </c>
      <c r="H337" s="181">
        <v>9.2963999999999984</v>
      </c>
      <c r="I337" s="181">
        <v>0</v>
      </c>
      <c r="J337" s="181">
        <v>12.928599999999999</v>
      </c>
      <c r="K337" s="181">
        <v>0</v>
      </c>
      <c r="L337" s="181">
        <v>0</v>
      </c>
      <c r="M337" s="181">
        <v>10072800.499519998</v>
      </c>
      <c r="N337" s="181">
        <v>138634.56143999999</v>
      </c>
      <c r="O337" s="181">
        <v>113398.48287999998</v>
      </c>
      <c r="P337" s="181">
        <v>66.039999999999992</v>
      </c>
      <c r="Q337" s="181">
        <v>482828.45369599992</v>
      </c>
      <c r="R337" s="181">
        <v>23269.630879999997</v>
      </c>
      <c r="S337" s="181">
        <v>11405.396543999997</v>
      </c>
      <c r="T337" s="181">
        <v>14.427199999999997</v>
      </c>
      <c r="U337" s="181">
        <v>67013.25952159999</v>
      </c>
      <c r="V337" s="181">
        <v>3007601705.2490749</v>
      </c>
    </row>
    <row r="338" spans="1:22">
      <c r="A338" s="2" t="s">
        <v>693</v>
      </c>
      <c r="B338" s="2" t="s">
        <v>694</v>
      </c>
      <c r="C338" s="181">
        <v>14.583968</v>
      </c>
      <c r="D338" s="181">
        <v>1851.6091999999999</v>
      </c>
      <c r="E338" s="181">
        <v>177.79999999999998</v>
      </c>
      <c r="F338" s="181">
        <v>53.085999999999991</v>
      </c>
      <c r="G338" s="181">
        <v>5.3339999999999996</v>
      </c>
      <c r="H338" s="181">
        <v>9.2963999999999984</v>
      </c>
      <c r="I338" s="181">
        <v>0</v>
      </c>
      <c r="J338" s="181">
        <v>12.928599999999999</v>
      </c>
      <c r="K338" s="181">
        <v>0</v>
      </c>
      <c r="L338" s="181">
        <v>0</v>
      </c>
      <c r="M338" s="181">
        <v>8824106.222719999</v>
      </c>
      <c r="N338" s="181">
        <v>117822.99016</v>
      </c>
      <c r="O338" s="181">
        <v>99469.478479999991</v>
      </c>
      <c r="P338" s="181">
        <v>69.088000000000008</v>
      </c>
      <c r="Q338" s="181">
        <v>398333.47429919994</v>
      </c>
      <c r="R338" s="181">
        <v>20647.700639999999</v>
      </c>
      <c r="S338" s="181">
        <v>10110.818487999999</v>
      </c>
      <c r="T338" s="181">
        <v>14.681199999999999</v>
      </c>
      <c r="U338" s="181">
        <v>41456.649989759993</v>
      </c>
      <c r="V338" s="181">
        <v>2457103178.8418784</v>
      </c>
    </row>
    <row r="339" spans="1:22">
      <c r="A339" s="2" t="s">
        <v>695</v>
      </c>
      <c r="B339" s="2" t="s">
        <v>696</v>
      </c>
      <c r="C339" s="181">
        <v>19.346080000000001</v>
      </c>
      <c r="D339" s="181">
        <v>2458.0596</v>
      </c>
      <c r="E339" s="181">
        <v>152.39999999999998</v>
      </c>
      <c r="F339" s="181">
        <v>54.863999999999997</v>
      </c>
      <c r="G339" s="181">
        <v>11.0998</v>
      </c>
      <c r="H339" s="181">
        <v>8.7122000000000011</v>
      </c>
      <c r="I339" s="181">
        <v>0</v>
      </c>
      <c r="J339" s="181">
        <v>11.925299999999998</v>
      </c>
      <c r="K339" s="181">
        <v>0</v>
      </c>
      <c r="L339" s="181">
        <v>0</v>
      </c>
      <c r="M339" s="181">
        <v>7200803.6628799997</v>
      </c>
      <c r="N339" s="181">
        <v>119461.69656</v>
      </c>
      <c r="O339" s="181">
        <v>94717.229919999998</v>
      </c>
      <c r="P339" s="181">
        <v>54.101999999999997</v>
      </c>
      <c r="Q339" s="181">
        <v>437042.99687999999</v>
      </c>
      <c r="R339" s="181">
        <v>22122.536400000001</v>
      </c>
      <c r="S339" s="181">
        <v>10454.946832</v>
      </c>
      <c r="T339" s="181">
        <v>13.3096</v>
      </c>
      <c r="U339" s="181">
        <v>98646.847867199991</v>
      </c>
      <c r="V339" s="181">
        <v>1930772880.4232903</v>
      </c>
    </row>
    <row r="340" spans="1:22">
      <c r="A340" s="2" t="s">
        <v>697</v>
      </c>
      <c r="B340" s="2" t="s">
        <v>698</v>
      </c>
      <c r="C340" s="181">
        <v>15.625679999999999</v>
      </c>
      <c r="D340" s="181">
        <v>1987.0927999999999</v>
      </c>
      <c r="E340" s="181">
        <v>152.39999999999998</v>
      </c>
      <c r="F340" s="181">
        <v>51.561999999999991</v>
      </c>
      <c r="G340" s="181">
        <v>7.9756</v>
      </c>
      <c r="H340" s="181">
        <v>8.7122000000000011</v>
      </c>
      <c r="I340" s="181">
        <v>0</v>
      </c>
      <c r="J340" s="181">
        <v>11.925299999999998</v>
      </c>
      <c r="K340" s="181">
        <v>0</v>
      </c>
      <c r="L340" s="181">
        <v>0</v>
      </c>
      <c r="M340" s="181">
        <v>6285094.5265599992</v>
      </c>
      <c r="N340" s="181">
        <v>101272.05551999998</v>
      </c>
      <c r="O340" s="181">
        <v>82590.802559999996</v>
      </c>
      <c r="P340" s="181">
        <v>56.388000000000005</v>
      </c>
      <c r="Q340" s="181">
        <v>357959.02601599996</v>
      </c>
      <c r="R340" s="181">
        <v>18681.252959999998</v>
      </c>
      <c r="S340" s="181">
        <v>9193.1429040000003</v>
      </c>
      <c r="T340" s="181">
        <v>13.4366</v>
      </c>
      <c r="U340" s="181">
        <v>53277.622476799996</v>
      </c>
      <c r="V340" s="181">
        <v>1587046971.2519672</v>
      </c>
    </row>
    <row r="341" spans="1:22">
      <c r="A341" s="2" t="s">
        <v>699</v>
      </c>
      <c r="B341" s="2" t="s">
        <v>700</v>
      </c>
      <c r="C341" s="181">
        <v>12.202911999999998</v>
      </c>
      <c r="D341" s="181">
        <v>1541.9323999999999</v>
      </c>
      <c r="E341" s="181">
        <v>152.39999999999998</v>
      </c>
      <c r="F341" s="181">
        <v>48.767999999999994</v>
      </c>
      <c r="G341" s="181">
        <v>5.08</v>
      </c>
      <c r="H341" s="181">
        <v>8.7122000000000011</v>
      </c>
      <c r="I341" s="181">
        <v>0</v>
      </c>
      <c r="J341" s="181">
        <v>11.925299999999998</v>
      </c>
      <c r="K341" s="181">
        <v>0</v>
      </c>
      <c r="L341" s="181">
        <v>0</v>
      </c>
      <c r="M341" s="181">
        <v>5452631.6753599998</v>
      </c>
      <c r="N341" s="181">
        <v>84557.250239999994</v>
      </c>
      <c r="O341" s="181">
        <v>71283.728399999993</v>
      </c>
      <c r="P341" s="181">
        <v>59.435999999999993</v>
      </c>
      <c r="Q341" s="181">
        <v>285950.98938719998</v>
      </c>
      <c r="R341" s="181">
        <v>16174.032167999998</v>
      </c>
      <c r="S341" s="181">
        <v>7996.8872319999991</v>
      </c>
      <c r="T341" s="181">
        <v>13.6144</v>
      </c>
      <c r="U341" s="181">
        <v>30634.632924159996</v>
      </c>
      <c r="V341" s="181">
        <v>1262118572.7384512</v>
      </c>
    </row>
    <row r="342" spans="1:22">
      <c r="A342" s="2" t="s">
        <v>701</v>
      </c>
      <c r="B342" s="2" t="s">
        <v>702</v>
      </c>
      <c r="C342" s="181">
        <v>13.39344</v>
      </c>
      <c r="D342" s="181">
        <v>1703.2224000000001</v>
      </c>
      <c r="E342" s="181">
        <v>127</v>
      </c>
      <c r="F342" s="181">
        <v>48.005999999999993</v>
      </c>
      <c r="G342" s="181">
        <v>8.254999999999999</v>
      </c>
      <c r="H342" s="181">
        <v>8.1280000000000001</v>
      </c>
      <c r="I342" s="181">
        <v>0</v>
      </c>
      <c r="J342" s="181">
        <v>10.921999999999997</v>
      </c>
      <c r="K342" s="181">
        <v>0</v>
      </c>
      <c r="L342" s="181">
        <v>0</v>
      </c>
      <c r="M342" s="181">
        <v>3700297.3735839999</v>
      </c>
      <c r="N342" s="181">
        <v>71939.210959999982</v>
      </c>
      <c r="O342" s="181">
        <v>58337.947839999993</v>
      </c>
      <c r="P342" s="181">
        <v>46.481999999999999</v>
      </c>
      <c r="Q342" s="181">
        <v>259728.40957439996</v>
      </c>
      <c r="R342" s="181">
        <v>14961.389432</v>
      </c>
      <c r="S342" s="181">
        <v>7275.8564159999996</v>
      </c>
      <c r="T342" s="181">
        <v>12.344399999999998</v>
      </c>
      <c r="U342" s="181">
        <v>45369.225390399995</v>
      </c>
      <c r="V342" s="181">
        <v>786810088.96248126</v>
      </c>
    </row>
    <row r="343" spans="1:22">
      <c r="A343" s="2" t="s">
        <v>703</v>
      </c>
      <c r="B343" s="2" t="s">
        <v>704</v>
      </c>
      <c r="C343" s="181">
        <v>9.9706720000000004</v>
      </c>
      <c r="D343" s="181">
        <v>1270.9651999999999</v>
      </c>
      <c r="E343" s="181">
        <v>127</v>
      </c>
      <c r="F343" s="181">
        <v>44.449999999999996</v>
      </c>
      <c r="G343" s="181">
        <v>4.8259999999999996</v>
      </c>
      <c r="H343" s="181">
        <v>8.1280000000000001</v>
      </c>
      <c r="I343" s="181">
        <v>0</v>
      </c>
      <c r="J343" s="181">
        <v>10.921999999999997</v>
      </c>
      <c r="K343" s="181">
        <v>0</v>
      </c>
      <c r="L343" s="181">
        <v>0</v>
      </c>
      <c r="M343" s="181">
        <v>3113411.0634880001</v>
      </c>
      <c r="N343" s="181">
        <v>58174.077199999992</v>
      </c>
      <c r="O343" s="181">
        <v>48997.321360000002</v>
      </c>
      <c r="P343" s="181">
        <v>49.529999999999994</v>
      </c>
      <c r="Q343" s="181">
        <v>195628.77003199997</v>
      </c>
      <c r="R343" s="181">
        <v>12405.007447999998</v>
      </c>
      <c r="S343" s="181">
        <v>6095.9878079999989</v>
      </c>
      <c r="T343" s="181">
        <v>12.420599999999999</v>
      </c>
      <c r="U343" s="181">
        <v>22851.105265439997</v>
      </c>
      <c r="V343" s="181">
        <v>596149623.71901309</v>
      </c>
    </row>
    <row r="344" spans="1:22">
      <c r="A344" s="2" t="s">
        <v>705</v>
      </c>
      <c r="B344" s="2" t="s">
        <v>706</v>
      </c>
      <c r="C344" s="181">
        <v>10.789159999999999</v>
      </c>
      <c r="D344" s="181">
        <v>1374.1907999999999</v>
      </c>
      <c r="E344" s="181">
        <v>101.6</v>
      </c>
      <c r="F344" s="181">
        <v>43.687999999999995</v>
      </c>
      <c r="G344" s="181">
        <v>8.1533999999999995</v>
      </c>
      <c r="H344" s="181">
        <v>7.5183999999999989</v>
      </c>
      <c r="I344" s="181">
        <v>0</v>
      </c>
      <c r="J344" s="181">
        <v>11.531599999999997</v>
      </c>
      <c r="K344" s="181">
        <v>0</v>
      </c>
      <c r="L344" s="181">
        <v>0</v>
      </c>
      <c r="M344" s="181">
        <v>1906339.9292479998</v>
      </c>
      <c r="N344" s="181">
        <v>46539.261759999994</v>
      </c>
      <c r="O344" s="181">
        <v>37526.376559999997</v>
      </c>
      <c r="P344" s="181">
        <v>37.337999999999994</v>
      </c>
      <c r="Q344" s="181">
        <v>176898.35587999999</v>
      </c>
      <c r="R344" s="181">
        <v>11389.009479999999</v>
      </c>
      <c r="S344" s="181">
        <v>5522.440568</v>
      </c>
      <c r="T344" s="181">
        <v>11.3538</v>
      </c>
      <c r="U344" s="181">
        <v>34006.107471519994</v>
      </c>
      <c r="V344" s="181">
        <v>332984474.50971901</v>
      </c>
    </row>
    <row r="345" spans="1:22">
      <c r="A345" s="2" t="s">
        <v>707</v>
      </c>
      <c r="B345" s="2" t="s">
        <v>708</v>
      </c>
      <c r="C345" s="181">
        <v>8.0360639999999997</v>
      </c>
      <c r="D345" s="181">
        <v>1019.3528</v>
      </c>
      <c r="E345" s="181">
        <v>101.6</v>
      </c>
      <c r="F345" s="181">
        <v>40.131999999999998</v>
      </c>
      <c r="G345" s="181">
        <v>4.6735999999999995</v>
      </c>
      <c r="H345" s="181">
        <v>7.5183999999999989</v>
      </c>
      <c r="I345" s="181">
        <v>0</v>
      </c>
      <c r="J345" s="181">
        <v>11.531599999999997</v>
      </c>
      <c r="K345" s="181">
        <v>0</v>
      </c>
      <c r="L345" s="181">
        <v>0</v>
      </c>
      <c r="M345" s="181">
        <v>1602490.98856</v>
      </c>
      <c r="N345" s="181">
        <v>37526.376559999997</v>
      </c>
      <c r="O345" s="181">
        <v>31463.162879999996</v>
      </c>
      <c r="P345" s="181">
        <v>39.624000000000002</v>
      </c>
      <c r="Q345" s="181">
        <v>129864.20478719998</v>
      </c>
      <c r="R345" s="181">
        <v>9258.6911599999985</v>
      </c>
      <c r="S345" s="181">
        <v>4539.2167280000003</v>
      </c>
      <c r="T345" s="181">
        <v>11.2776</v>
      </c>
      <c r="U345" s="181">
        <v>16607.633881439997</v>
      </c>
      <c r="V345" s="181">
        <v>247321533.08342841</v>
      </c>
    </row>
    <row r="346" spans="1:22">
      <c r="A346" s="2" t="s">
        <v>709</v>
      </c>
      <c r="B346" s="2" t="s">
        <v>710</v>
      </c>
      <c r="C346" s="181">
        <v>6.69672</v>
      </c>
      <c r="D346" s="181">
        <v>890.32079999999985</v>
      </c>
      <c r="E346" s="181">
        <v>101.6</v>
      </c>
      <c r="F346" s="181">
        <v>40.131999999999998</v>
      </c>
      <c r="G346" s="181">
        <v>3.1749999999999998</v>
      </c>
      <c r="H346" s="181">
        <v>7.5183999999999989</v>
      </c>
      <c r="I346" s="181">
        <v>0</v>
      </c>
      <c r="J346" s="181">
        <v>11.531599999999997</v>
      </c>
      <c r="K346" s="181">
        <v>0</v>
      </c>
      <c r="L346" s="181">
        <v>0</v>
      </c>
      <c r="M346" s="181">
        <v>1519244.7034399998</v>
      </c>
      <c r="N346" s="181">
        <v>34740.575680000002</v>
      </c>
      <c r="O346" s="181">
        <v>29988.327119999998</v>
      </c>
      <c r="P346" s="181">
        <v>41.401999999999994</v>
      </c>
      <c r="Q346" s="181">
        <v>120290.88199839999</v>
      </c>
      <c r="R346" s="181">
        <v>8701.5309839999991</v>
      </c>
      <c r="S346" s="181">
        <v>4342.5719600000002</v>
      </c>
      <c r="T346" s="181">
        <v>11.607799999999999</v>
      </c>
      <c r="U346" s="181">
        <v>13402.651904319999</v>
      </c>
      <c r="V346" s="181">
        <v>233894739.75642359</v>
      </c>
    </row>
    <row r="347" spans="1:22">
      <c r="A347" s="2" t="s">
        <v>711</v>
      </c>
      <c r="B347" s="2" t="s">
        <v>712</v>
      </c>
      <c r="C347" s="181">
        <v>8.92896</v>
      </c>
      <c r="D347" s="181">
        <v>1135.4815999999998</v>
      </c>
      <c r="E347" s="181">
        <v>76.199999999999989</v>
      </c>
      <c r="F347" s="181">
        <v>40.64</v>
      </c>
      <c r="G347" s="181">
        <v>9.0423999999999989</v>
      </c>
      <c r="H347" s="181">
        <v>6.9341999999999997</v>
      </c>
      <c r="I347" s="181">
        <v>0</v>
      </c>
      <c r="J347" s="181">
        <v>10.528299999999998</v>
      </c>
      <c r="K347" s="181">
        <v>0</v>
      </c>
      <c r="L347" s="181">
        <v>0</v>
      </c>
      <c r="M347" s="181">
        <v>861599.0509919998</v>
      </c>
      <c r="N347" s="181">
        <v>28513.491359999996</v>
      </c>
      <c r="O347" s="181">
        <v>22614.148319999997</v>
      </c>
      <c r="P347" s="181">
        <v>27.431999999999999</v>
      </c>
      <c r="Q347" s="181">
        <v>124869.42767999998</v>
      </c>
      <c r="R347" s="181">
        <v>8898.1757519999992</v>
      </c>
      <c r="S347" s="181">
        <v>4309.7978320000002</v>
      </c>
      <c r="T347" s="181">
        <v>10.4902</v>
      </c>
      <c r="U347" s="181">
        <v>30176.778355999995</v>
      </c>
      <c r="V347" s="181">
        <v>124063570.34152435</v>
      </c>
    </row>
    <row r="348" spans="1:22">
      <c r="A348" s="2" t="s">
        <v>713</v>
      </c>
      <c r="B348" s="2" t="s">
        <v>714</v>
      </c>
      <c r="C348" s="181">
        <v>7.4407999999999994</v>
      </c>
      <c r="D348" s="181">
        <v>948.38519999999994</v>
      </c>
      <c r="E348" s="181">
        <v>76.199999999999989</v>
      </c>
      <c r="F348" s="181">
        <v>38.099999999999994</v>
      </c>
      <c r="G348" s="181">
        <v>6.5531999999999995</v>
      </c>
      <c r="H348" s="181">
        <v>6.9341999999999997</v>
      </c>
      <c r="I348" s="181">
        <v>0</v>
      </c>
      <c r="J348" s="181">
        <v>10.528299999999998</v>
      </c>
      <c r="K348" s="181">
        <v>0</v>
      </c>
      <c r="L348" s="181">
        <v>0</v>
      </c>
      <c r="M348" s="181">
        <v>770028.13735999994</v>
      </c>
      <c r="N348" s="181">
        <v>24908.33728</v>
      </c>
      <c r="O348" s="181">
        <v>20156.088719999996</v>
      </c>
      <c r="P348" s="181">
        <v>28.448</v>
      </c>
      <c r="Q348" s="181">
        <v>100311.77356959999</v>
      </c>
      <c r="R348" s="181">
        <v>7603.5976959999998</v>
      </c>
      <c r="S348" s="181">
        <v>3736.2505919999999</v>
      </c>
      <c r="T348" s="181">
        <v>10.287000000000001</v>
      </c>
      <c r="U348" s="181">
        <v>17689.835587999998</v>
      </c>
      <c r="V348" s="181">
        <v>101775093.41869637</v>
      </c>
    </row>
    <row r="349" spans="1:22">
      <c r="A349" s="2" t="s">
        <v>715</v>
      </c>
      <c r="B349" s="2" t="s">
        <v>716</v>
      </c>
      <c r="C349" s="181">
        <v>6.1014559999999989</v>
      </c>
      <c r="D349" s="181">
        <v>774.19199999999989</v>
      </c>
      <c r="E349" s="181">
        <v>76.199999999999989</v>
      </c>
      <c r="F349" s="181">
        <v>35.813999999999993</v>
      </c>
      <c r="G349" s="181">
        <v>4.3180000000000005</v>
      </c>
      <c r="H349" s="181">
        <v>6.9341999999999997</v>
      </c>
      <c r="I349" s="181">
        <v>0</v>
      </c>
      <c r="J349" s="181">
        <v>10.528299999999998</v>
      </c>
      <c r="K349" s="181">
        <v>0</v>
      </c>
      <c r="L349" s="181">
        <v>0</v>
      </c>
      <c r="M349" s="181">
        <v>686781.85223999992</v>
      </c>
      <c r="N349" s="181">
        <v>21630.924479999998</v>
      </c>
      <c r="O349" s="181">
        <v>18025.770400000001</v>
      </c>
      <c r="P349" s="181">
        <v>29.717999999999996</v>
      </c>
      <c r="Q349" s="181">
        <v>79500.202289599998</v>
      </c>
      <c r="R349" s="181">
        <v>6538.4385359999997</v>
      </c>
      <c r="S349" s="181">
        <v>3211.864544</v>
      </c>
      <c r="T349" s="181">
        <v>10.1092</v>
      </c>
      <c r="U349" s="181">
        <v>11196.625348639998</v>
      </c>
      <c r="V349" s="181">
        <v>82440511.027809471</v>
      </c>
    </row>
    <row r="350" spans="1:22">
      <c r="A350" s="2" t="s">
        <v>717</v>
      </c>
      <c r="B350" s="2" t="s">
        <v>718</v>
      </c>
      <c r="C350" s="181">
        <v>5.2085599999999994</v>
      </c>
      <c r="D350" s="181">
        <v>703.22440000000006</v>
      </c>
      <c r="E350" s="181">
        <v>76.199999999999989</v>
      </c>
      <c r="F350" s="181">
        <v>34.798000000000002</v>
      </c>
      <c r="G350" s="181">
        <v>3.3527999999999998</v>
      </c>
      <c r="H350" s="181">
        <v>6.9341999999999997</v>
      </c>
      <c r="I350" s="181">
        <v>0</v>
      </c>
      <c r="J350" s="181">
        <v>10.528299999999998</v>
      </c>
      <c r="K350" s="181">
        <v>0</v>
      </c>
      <c r="L350" s="181">
        <v>0</v>
      </c>
      <c r="M350" s="181">
        <v>653483.33819199994</v>
      </c>
      <c r="N350" s="181">
        <v>20319.959359999997</v>
      </c>
      <c r="O350" s="181">
        <v>17042.546559999999</v>
      </c>
      <c r="P350" s="181">
        <v>30.479999999999997</v>
      </c>
      <c r="Q350" s="181">
        <v>70343.110926399997</v>
      </c>
      <c r="R350" s="181">
        <v>5964.8912959999989</v>
      </c>
      <c r="S350" s="181">
        <v>2982.4456479999994</v>
      </c>
      <c r="T350" s="181">
        <v>10.0076</v>
      </c>
      <c r="U350" s="181">
        <v>9406.8302185599987</v>
      </c>
      <c r="V350" s="181">
        <v>74115899.165066496</v>
      </c>
    </row>
    <row r="351" spans="1:22">
      <c r="A351" s="2" t="s">
        <v>719</v>
      </c>
      <c r="B351" s="2" t="s">
        <v>720</v>
      </c>
      <c r="C351" s="181">
        <v>86.313279999999992</v>
      </c>
      <c r="D351" s="181">
        <v>11032.236000000001</v>
      </c>
      <c r="E351" s="181">
        <v>457.2</v>
      </c>
      <c r="F351" s="181">
        <v>106.67999999999999</v>
      </c>
      <c r="G351" s="181">
        <v>17.779999999999998</v>
      </c>
      <c r="H351" s="181">
        <v>15.875</v>
      </c>
      <c r="I351" s="181">
        <v>0</v>
      </c>
      <c r="J351" s="181">
        <v>20.637499999999996</v>
      </c>
      <c r="K351" s="181">
        <v>0</v>
      </c>
      <c r="L351" s="181">
        <v>0</v>
      </c>
      <c r="M351" s="181">
        <v>280956212.27999997</v>
      </c>
      <c r="N351" s="181">
        <v>1563325.9055999999</v>
      </c>
      <c r="O351" s="181">
        <v>1229029.7999999998</v>
      </c>
      <c r="P351" s="181">
        <v>159.76599999999999</v>
      </c>
      <c r="Q351" s="181">
        <v>7325673.0905599995</v>
      </c>
      <c r="R351" s="181">
        <v>175341.58479999998</v>
      </c>
      <c r="S351" s="181">
        <v>86523.697919999991</v>
      </c>
      <c r="T351" s="181">
        <v>25.907999999999998</v>
      </c>
      <c r="U351" s="181">
        <v>1169610.3059359998</v>
      </c>
      <c r="V351" s="181">
        <v>287333377197.90271</v>
      </c>
    </row>
    <row r="352" spans="1:22">
      <c r="A352" s="2" t="s">
        <v>721</v>
      </c>
      <c r="B352" s="2" t="s">
        <v>722</v>
      </c>
      <c r="C352" s="181">
        <v>77.235503999999992</v>
      </c>
      <c r="D352" s="181">
        <v>9870.9480000000003</v>
      </c>
      <c r="E352" s="181">
        <v>457.2</v>
      </c>
      <c r="F352" s="181">
        <v>104.13999999999999</v>
      </c>
      <c r="G352" s="181">
        <v>15.239999999999998</v>
      </c>
      <c r="H352" s="181">
        <v>15.875</v>
      </c>
      <c r="I352" s="181">
        <v>0</v>
      </c>
      <c r="J352" s="181">
        <v>20.637499999999996</v>
      </c>
      <c r="K352" s="181">
        <v>0</v>
      </c>
      <c r="L352" s="181">
        <v>0</v>
      </c>
      <c r="M352" s="181">
        <v>260977103.85119998</v>
      </c>
      <c r="N352" s="181">
        <v>1430590.6871999998</v>
      </c>
      <c r="O352" s="181">
        <v>1140539.6543999999</v>
      </c>
      <c r="P352" s="181">
        <v>162.81399999999999</v>
      </c>
      <c r="Q352" s="181">
        <v>6784572.23728</v>
      </c>
      <c r="R352" s="181">
        <v>161576.45103999999</v>
      </c>
      <c r="S352" s="181">
        <v>82263.06127999998</v>
      </c>
      <c r="T352" s="181">
        <v>26.161999999999999</v>
      </c>
      <c r="U352" s="181">
        <v>844949.79396799987</v>
      </c>
      <c r="V352" s="181">
        <v>264507828541.99454</v>
      </c>
    </row>
    <row r="353" spans="1:22">
      <c r="A353" s="2" t="s">
        <v>723</v>
      </c>
      <c r="B353" s="2" t="s">
        <v>724</v>
      </c>
      <c r="C353" s="181">
        <v>68.157727999999992</v>
      </c>
      <c r="D353" s="181">
        <v>8709.66</v>
      </c>
      <c r="E353" s="181">
        <v>457.2</v>
      </c>
      <c r="F353" s="181">
        <v>101.6</v>
      </c>
      <c r="G353" s="181">
        <v>12.7</v>
      </c>
      <c r="H353" s="181">
        <v>15.875</v>
      </c>
      <c r="I353" s="181">
        <v>0</v>
      </c>
      <c r="J353" s="181">
        <v>20.637499999999996</v>
      </c>
      <c r="K353" s="181">
        <v>0</v>
      </c>
      <c r="L353" s="181">
        <v>0</v>
      </c>
      <c r="M353" s="181">
        <v>240581763.99679998</v>
      </c>
      <c r="N353" s="181">
        <v>1297855.4687999999</v>
      </c>
      <c r="O353" s="181">
        <v>1052049.5088</v>
      </c>
      <c r="P353" s="181">
        <v>166.36999999999998</v>
      </c>
      <c r="Q353" s="181">
        <v>6201848.2414399991</v>
      </c>
      <c r="R353" s="181">
        <v>149777.76496</v>
      </c>
      <c r="S353" s="181">
        <v>78166.295279999991</v>
      </c>
      <c r="T353" s="181">
        <v>26.669999999999998</v>
      </c>
      <c r="U353" s="181">
        <v>603535.56711999991</v>
      </c>
      <c r="V353" s="181">
        <v>240876672286.46609</v>
      </c>
    </row>
    <row r="354" spans="1:22">
      <c r="A354" s="2" t="s">
        <v>725</v>
      </c>
      <c r="B354" s="2" t="s">
        <v>726</v>
      </c>
      <c r="C354" s="181">
        <v>63.544432</v>
      </c>
      <c r="D354" s="181">
        <v>8129.0159999999996</v>
      </c>
      <c r="E354" s="181">
        <v>457.2</v>
      </c>
      <c r="F354" s="181">
        <v>100.33</v>
      </c>
      <c r="G354" s="181">
        <v>11.43</v>
      </c>
      <c r="H354" s="181">
        <v>15.875</v>
      </c>
      <c r="I354" s="181">
        <v>0</v>
      </c>
      <c r="J354" s="181">
        <v>20.637499999999996</v>
      </c>
      <c r="K354" s="181">
        <v>0</v>
      </c>
      <c r="L354" s="181">
        <v>0</v>
      </c>
      <c r="M354" s="181">
        <v>230592209.78239998</v>
      </c>
      <c r="N354" s="181">
        <v>1230668.5063999998</v>
      </c>
      <c r="O354" s="181">
        <v>1007804.4359999999</v>
      </c>
      <c r="P354" s="181">
        <v>168.65599999999998</v>
      </c>
      <c r="Q354" s="181">
        <v>5952109.3860799996</v>
      </c>
      <c r="R354" s="181">
        <v>144533.90448</v>
      </c>
      <c r="S354" s="181">
        <v>76035.976959999985</v>
      </c>
      <c r="T354" s="181">
        <v>27.178000000000001</v>
      </c>
      <c r="U354" s="181">
        <v>511964.65348799992</v>
      </c>
      <c r="V354" s="181">
        <v>228792558292.16177</v>
      </c>
    </row>
    <row r="355" spans="1:22">
      <c r="A355" s="2" t="s">
        <v>727</v>
      </c>
      <c r="B355" s="2" t="s">
        <v>728</v>
      </c>
      <c r="C355" s="181">
        <v>74.408000000000001</v>
      </c>
      <c r="D355" s="181">
        <v>9483.851999999999</v>
      </c>
      <c r="E355" s="181">
        <v>330.2</v>
      </c>
      <c r="F355" s="181">
        <v>112.014</v>
      </c>
      <c r="G355" s="181">
        <v>19.989799999999999</v>
      </c>
      <c r="H355" s="181">
        <v>15.493999999999998</v>
      </c>
      <c r="I355" s="181">
        <v>0</v>
      </c>
      <c r="J355" s="181">
        <v>21.018499999999996</v>
      </c>
      <c r="K355" s="181">
        <v>0</v>
      </c>
      <c r="L355" s="181">
        <v>0</v>
      </c>
      <c r="M355" s="181">
        <v>130696667.63839999</v>
      </c>
      <c r="N355" s="181">
        <v>996333.49119999981</v>
      </c>
      <c r="O355" s="181">
        <v>791495.19119999988</v>
      </c>
      <c r="P355" s="181">
        <v>117.348</v>
      </c>
      <c r="Q355" s="181">
        <v>6826195.3798399987</v>
      </c>
      <c r="R355" s="181">
        <v>167148.05279999998</v>
      </c>
      <c r="S355" s="181">
        <v>78166.295279999991</v>
      </c>
      <c r="T355" s="181">
        <v>26.923999999999999</v>
      </c>
      <c r="U355" s="181">
        <v>1232045.0197759999</v>
      </c>
      <c r="V355" s="181">
        <v>149843013529.37357</v>
      </c>
    </row>
    <row r="356" spans="1:22">
      <c r="A356" s="2" t="s">
        <v>729</v>
      </c>
      <c r="B356" s="2" t="s">
        <v>730</v>
      </c>
      <c r="C356" s="181">
        <v>59.526399999999995</v>
      </c>
      <c r="D356" s="181">
        <v>7612.8879999999999</v>
      </c>
      <c r="E356" s="181">
        <v>330.2</v>
      </c>
      <c r="F356" s="181">
        <v>106.17199999999998</v>
      </c>
      <c r="G356" s="181">
        <v>14.224</v>
      </c>
      <c r="H356" s="181">
        <v>15.493999999999998</v>
      </c>
      <c r="I356" s="181">
        <v>0</v>
      </c>
      <c r="J356" s="181">
        <v>21.018499999999996</v>
      </c>
      <c r="K356" s="181">
        <v>0</v>
      </c>
      <c r="L356" s="181">
        <v>0</v>
      </c>
      <c r="M356" s="181">
        <v>113631179.18879999</v>
      </c>
      <c r="N356" s="181">
        <v>839017.67680000002</v>
      </c>
      <c r="O356" s="181">
        <v>686617.98159999994</v>
      </c>
      <c r="P356" s="181">
        <v>122.428</v>
      </c>
      <c r="Q356" s="181">
        <v>5702370.5307199992</v>
      </c>
      <c r="R356" s="181">
        <v>141911.97423999998</v>
      </c>
      <c r="S356" s="181">
        <v>69481.151360000003</v>
      </c>
      <c r="T356" s="181">
        <v>27.431999999999999</v>
      </c>
      <c r="U356" s="181">
        <v>645158.70967999997</v>
      </c>
      <c r="V356" s="181">
        <v>124063570341.52434</v>
      </c>
    </row>
    <row r="357" spans="1:22">
      <c r="A357" s="2" t="s">
        <v>731</v>
      </c>
      <c r="B357" s="2" t="s">
        <v>732</v>
      </c>
      <c r="C357" s="181">
        <v>52.085599999999999</v>
      </c>
      <c r="D357" s="181">
        <v>6645.1480000000001</v>
      </c>
      <c r="E357" s="181">
        <v>330.2</v>
      </c>
      <c r="F357" s="181">
        <v>103.378</v>
      </c>
      <c r="G357" s="181">
        <v>11.3538</v>
      </c>
      <c r="H357" s="181">
        <v>15.493999999999998</v>
      </c>
      <c r="I357" s="181">
        <v>0</v>
      </c>
      <c r="J357" s="181">
        <v>21.018499999999996</v>
      </c>
      <c r="K357" s="181">
        <v>0</v>
      </c>
      <c r="L357" s="181">
        <v>0</v>
      </c>
      <c r="M357" s="181">
        <v>104890319.25119999</v>
      </c>
      <c r="N357" s="181">
        <v>761998.47599999991</v>
      </c>
      <c r="O357" s="181">
        <v>635818.08319999988</v>
      </c>
      <c r="P357" s="181">
        <v>125.73</v>
      </c>
      <c r="Q357" s="181">
        <v>5119646.5348800002</v>
      </c>
      <c r="R357" s="181">
        <v>131751.99455999996</v>
      </c>
      <c r="S357" s="181">
        <v>65056.644079999998</v>
      </c>
      <c r="T357" s="181">
        <v>27.686</v>
      </c>
      <c r="U357" s="181">
        <v>470341.51092799992</v>
      </c>
      <c r="V357" s="181">
        <v>110636777014.51955</v>
      </c>
    </row>
    <row r="358" spans="1:22">
      <c r="A358" s="2" t="s">
        <v>733</v>
      </c>
      <c r="B358" s="2" t="s">
        <v>734</v>
      </c>
      <c r="C358" s="181">
        <v>47.323487999999998</v>
      </c>
      <c r="D358" s="181">
        <v>6032.2459999999992</v>
      </c>
      <c r="E358" s="181">
        <v>330.2</v>
      </c>
      <c r="F358" s="181">
        <v>101.6</v>
      </c>
      <c r="G358" s="181">
        <v>9.5249999999999986</v>
      </c>
      <c r="H358" s="181">
        <v>15.493999999999998</v>
      </c>
      <c r="I358" s="181">
        <v>0</v>
      </c>
      <c r="J358" s="181">
        <v>21.018499999999996</v>
      </c>
      <c r="K358" s="181">
        <v>0</v>
      </c>
      <c r="L358" s="181">
        <v>0</v>
      </c>
      <c r="M358" s="181">
        <v>99479310.718399987</v>
      </c>
      <c r="N358" s="181">
        <v>711198.57759999996</v>
      </c>
      <c r="O358" s="181">
        <v>601405.24879999994</v>
      </c>
      <c r="P358" s="181">
        <v>128.26999999999998</v>
      </c>
      <c r="Q358" s="181">
        <v>4745038.25184</v>
      </c>
      <c r="R358" s="181">
        <v>126016.52215999999</v>
      </c>
      <c r="S358" s="181">
        <v>62106.972559999995</v>
      </c>
      <c r="T358" s="181">
        <v>27.94</v>
      </c>
      <c r="U358" s="181">
        <v>390008.84578719997</v>
      </c>
      <c r="V358" s="181">
        <v>102043629285.23648</v>
      </c>
    </row>
    <row r="359" spans="1:22">
      <c r="A359" s="2" t="s">
        <v>735</v>
      </c>
      <c r="B359" s="2" t="s">
        <v>736</v>
      </c>
      <c r="C359" s="181">
        <v>74.408000000000001</v>
      </c>
      <c r="D359" s="181">
        <v>9483.851999999999</v>
      </c>
      <c r="E359" s="181">
        <v>304.79999999999995</v>
      </c>
      <c r="F359" s="181">
        <v>105.15599999999999</v>
      </c>
      <c r="G359" s="181">
        <v>21.209</v>
      </c>
      <c r="H359" s="181">
        <v>17.779999999999998</v>
      </c>
      <c r="I359" s="181">
        <v>0</v>
      </c>
      <c r="J359" s="181">
        <v>15.557500000000001</v>
      </c>
      <c r="K359" s="181">
        <v>0</v>
      </c>
      <c r="L359" s="181">
        <v>0</v>
      </c>
      <c r="M359" s="181">
        <v>111966253.48639999</v>
      </c>
      <c r="N359" s="181">
        <v>925869.11599999992</v>
      </c>
      <c r="O359" s="181">
        <v>735779.17359999986</v>
      </c>
      <c r="P359" s="181">
        <v>108.712</v>
      </c>
      <c r="Q359" s="181">
        <v>7242426.8054399984</v>
      </c>
      <c r="R359" s="181">
        <v>178618.9976</v>
      </c>
      <c r="S359" s="181">
        <v>92423.040959999984</v>
      </c>
      <c r="T359" s="181">
        <v>27.686</v>
      </c>
      <c r="U359" s="181">
        <v>1344427.5046879998</v>
      </c>
      <c r="V359" s="181">
        <v>110368241147.97945</v>
      </c>
    </row>
    <row r="360" spans="1:22">
      <c r="A360" s="2" t="s">
        <v>737</v>
      </c>
      <c r="B360" s="2" t="s">
        <v>738</v>
      </c>
      <c r="C360" s="181">
        <v>66.967199999999991</v>
      </c>
      <c r="D360" s="181">
        <v>8516.1119999999992</v>
      </c>
      <c r="E360" s="181">
        <v>304.79999999999995</v>
      </c>
      <c r="F360" s="181">
        <v>101.85399999999998</v>
      </c>
      <c r="G360" s="181">
        <v>18.084799999999998</v>
      </c>
      <c r="H360" s="181">
        <v>17.779999999999998</v>
      </c>
      <c r="I360" s="181">
        <v>0</v>
      </c>
      <c r="J360" s="181">
        <v>15.557500000000001</v>
      </c>
      <c r="K360" s="181">
        <v>0</v>
      </c>
      <c r="L360" s="181">
        <v>0</v>
      </c>
      <c r="M360" s="181">
        <v>104890319.25119999</v>
      </c>
      <c r="N360" s="181">
        <v>852127.32799999998</v>
      </c>
      <c r="O360" s="181">
        <v>686617.98159999994</v>
      </c>
      <c r="P360" s="181">
        <v>110.744</v>
      </c>
      <c r="Q360" s="181">
        <v>6576456.5244799992</v>
      </c>
      <c r="R360" s="181">
        <v>165509.34639999998</v>
      </c>
      <c r="S360" s="181">
        <v>87015.309839999987</v>
      </c>
      <c r="T360" s="181">
        <v>27.686</v>
      </c>
      <c r="U360" s="181">
        <v>973981.53590399981</v>
      </c>
      <c r="V360" s="181">
        <v>100432414085.9959</v>
      </c>
    </row>
    <row r="361" spans="1:22">
      <c r="A361" s="2" t="s">
        <v>739</v>
      </c>
      <c r="B361" s="2" t="s">
        <v>740</v>
      </c>
      <c r="C361" s="181">
        <v>59.526399999999995</v>
      </c>
      <c r="D361" s="181">
        <v>7612.8879999999999</v>
      </c>
      <c r="E361" s="181">
        <v>304.79999999999995</v>
      </c>
      <c r="F361" s="181">
        <v>98.805999999999997</v>
      </c>
      <c r="G361" s="181">
        <v>14.985999999999999</v>
      </c>
      <c r="H361" s="181">
        <v>17.779999999999998</v>
      </c>
      <c r="I361" s="181">
        <v>0</v>
      </c>
      <c r="J361" s="181">
        <v>15.557500000000001</v>
      </c>
      <c r="K361" s="181">
        <v>0</v>
      </c>
      <c r="L361" s="181">
        <v>0</v>
      </c>
      <c r="M361" s="181">
        <v>97398153.590399995</v>
      </c>
      <c r="N361" s="181">
        <v>781662.95279999997</v>
      </c>
      <c r="O361" s="181">
        <v>639095.49599999993</v>
      </c>
      <c r="P361" s="181">
        <v>113.28399999999999</v>
      </c>
      <c r="Q361" s="181">
        <v>5910486.2435199991</v>
      </c>
      <c r="R361" s="181">
        <v>152563.56584</v>
      </c>
      <c r="S361" s="181">
        <v>81607.578720000005</v>
      </c>
      <c r="T361" s="181">
        <v>27.94</v>
      </c>
      <c r="U361" s="181">
        <v>703431.10926399985</v>
      </c>
      <c r="V361" s="181">
        <v>90228051157.472244</v>
      </c>
    </row>
    <row r="362" spans="1:22">
      <c r="A362" s="2" t="s">
        <v>741</v>
      </c>
      <c r="B362" s="2" t="s">
        <v>742</v>
      </c>
      <c r="C362" s="181">
        <v>52.085599999999999</v>
      </c>
      <c r="D362" s="181">
        <v>6645.1480000000001</v>
      </c>
      <c r="E362" s="181">
        <v>304.79999999999995</v>
      </c>
      <c r="F362" s="181">
        <v>95.757999999999996</v>
      </c>
      <c r="G362" s="181">
        <v>11.861800000000001</v>
      </c>
      <c r="H362" s="181">
        <v>17.779999999999998</v>
      </c>
      <c r="I362" s="181">
        <v>0</v>
      </c>
      <c r="J362" s="181">
        <v>15.557500000000001</v>
      </c>
      <c r="K362" s="181">
        <v>0</v>
      </c>
      <c r="L362" s="181">
        <v>0</v>
      </c>
      <c r="M362" s="181">
        <v>89905987.929599985</v>
      </c>
      <c r="N362" s="181">
        <v>707921.16480000003</v>
      </c>
      <c r="O362" s="181">
        <v>591573.01039999991</v>
      </c>
      <c r="P362" s="181">
        <v>116.58599999999998</v>
      </c>
      <c r="Q362" s="181">
        <v>5244515.962559999</v>
      </c>
      <c r="R362" s="181">
        <v>141420.36231999999</v>
      </c>
      <c r="S362" s="181">
        <v>76199.847599999994</v>
      </c>
      <c r="T362" s="181">
        <v>28.194000000000003</v>
      </c>
      <c r="U362" s="181">
        <v>516126.96774399997</v>
      </c>
      <c r="V362" s="181">
        <v>80023688228.948608</v>
      </c>
    </row>
    <row r="363" spans="1:22">
      <c r="A363" s="2" t="s">
        <v>743</v>
      </c>
      <c r="B363" s="2" t="s">
        <v>744</v>
      </c>
      <c r="C363" s="181">
        <v>46.132959999999997</v>
      </c>
      <c r="D363" s="181">
        <v>5883.859199999999</v>
      </c>
      <c r="E363" s="181">
        <v>304.79999999999995</v>
      </c>
      <c r="F363" s="181">
        <v>93.217999999999989</v>
      </c>
      <c r="G363" s="181">
        <v>9.3979999999999997</v>
      </c>
      <c r="H363" s="181">
        <v>17.779999999999998</v>
      </c>
      <c r="I363" s="181">
        <v>0</v>
      </c>
      <c r="J363" s="181">
        <v>15.557500000000001</v>
      </c>
      <c r="K363" s="181">
        <v>0</v>
      </c>
      <c r="L363" s="181">
        <v>0</v>
      </c>
      <c r="M363" s="181">
        <v>84078747.971199989</v>
      </c>
      <c r="N363" s="181">
        <v>650566.44079999998</v>
      </c>
      <c r="O363" s="181">
        <v>552244.05680000002</v>
      </c>
      <c r="P363" s="181">
        <v>119.63399999999999</v>
      </c>
      <c r="Q363" s="181">
        <v>4703415.1092799995</v>
      </c>
      <c r="R363" s="181">
        <v>133554.5716</v>
      </c>
      <c r="S363" s="181">
        <v>71611.469679999995</v>
      </c>
      <c r="T363" s="181">
        <v>28.194000000000003</v>
      </c>
      <c r="U363" s="181">
        <v>416231.42559999996</v>
      </c>
      <c r="V363" s="181">
        <v>71699076366.205627</v>
      </c>
    </row>
    <row r="364" spans="1:22">
      <c r="A364" s="2" t="s">
        <v>745</v>
      </c>
      <c r="B364" s="2" t="s">
        <v>746</v>
      </c>
      <c r="C364" s="181">
        <v>15.774495999999999</v>
      </c>
      <c r="D364" s="181">
        <v>1999.9959999999999</v>
      </c>
      <c r="E364" s="181">
        <v>304.79999999999995</v>
      </c>
      <c r="F364" s="181">
        <v>38.099999999999994</v>
      </c>
      <c r="G364" s="181">
        <v>4.8259999999999996</v>
      </c>
      <c r="H364" s="181">
        <v>7.8485999999999994</v>
      </c>
      <c r="I364" s="181">
        <v>0</v>
      </c>
      <c r="J364" s="181">
        <v>11.201399999999998</v>
      </c>
      <c r="K364" s="181">
        <v>0</v>
      </c>
      <c r="L364" s="181">
        <v>0</v>
      </c>
      <c r="M364" s="181">
        <v>23017597.835679997</v>
      </c>
      <c r="N364" s="181">
        <v>190089.94239999997</v>
      </c>
      <c r="O364" s="181">
        <v>151088.73008000001</v>
      </c>
      <c r="P364" s="181">
        <v>107.18799999999999</v>
      </c>
      <c r="Q364" s="181">
        <v>157335.47887679999</v>
      </c>
      <c r="R364" s="181">
        <v>10405.78564</v>
      </c>
      <c r="S364" s="181">
        <v>5030.8286479999997</v>
      </c>
      <c r="T364" s="181">
        <v>8.8645999999999994</v>
      </c>
      <c r="U364" s="181">
        <v>24807.392965759998</v>
      </c>
      <c r="V364" s="181">
        <v>3141869638.5191226</v>
      </c>
    </row>
    <row r="365" spans="1:22">
      <c r="A365" s="2" t="s">
        <v>747</v>
      </c>
      <c r="B365" s="2" t="s">
        <v>748</v>
      </c>
      <c r="C365" s="181">
        <v>61.163376</v>
      </c>
      <c r="D365" s="181">
        <v>7806.4359999999997</v>
      </c>
      <c r="E365" s="181">
        <v>254</v>
      </c>
      <c r="F365" s="181">
        <v>109.72799999999999</v>
      </c>
      <c r="G365" s="181">
        <v>20.218399999999999</v>
      </c>
      <c r="H365" s="181">
        <v>14.604999999999999</v>
      </c>
      <c r="I365" s="181">
        <v>0</v>
      </c>
      <c r="J365" s="181">
        <v>18.732500000000002</v>
      </c>
      <c r="K365" s="181">
        <v>0</v>
      </c>
      <c r="L365" s="181">
        <v>0</v>
      </c>
      <c r="M365" s="181">
        <v>65348333.819199994</v>
      </c>
      <c r="N365" s="181">
        <v>644011.61519999988</v>
      </c>
      <c r="O365" s="181">
        <v>516192.51599999995</v>
      </c>
      <c r="P365" s="181">
        <v>91.693999999999988</v>
      </c>
      <c r="Q365" s="181">
        <v>6534833.3819199987</v>
      </c>
      <c r="R365" s="181">
        <v>155513.23736</v>
      </c>
      <c r="S365" s="181">
        <v>79477.260399999985</v>
      </c>
      <c r="T365" s="181">
        <v>28.955999999999996</v>
      </c>
      <c r="U365" s="181">
        <v>940683.02185599983</v>
      </c>
      <c r="V365" s="181">
        <v>72236148099.285812</v>
      </c>
    </row>
    <row r="366" spans="1:22">
      <c r="A366" s="2" t="s">
        <v>749</v>
      </c>
      <c r="B366" s="2" t="s">
        <v>750</v>
      </c>
      <c r="C366" s="181">
        <v>50.002175999999999</v>
      </c>
      <c r="D366" s="181">
        <v>6367.7291999999989</v>
      </c>
      <c r="E366" s="181">
        <v>254</v>
      </c>
      <c r="F366" s="181">
        <v>104.13999999999999</v>
      </c>
      <c r="G366" s="181">
        <v>14.604999999999999</v>
      </c>
      <c r="H366" s="181">
        <v>14.604999999999999</v>
      </c>
      <c r="I366" s="181">
        <v>0</v>
      </c>
      <c r="J366" s="181">
        <v>18.732500000000002</v>
      </c>
      <c r="K366" s="181">
        <v>0</v>
      </c>
      <c r="L366" s="181">
        <v>0</v>
      </c>
      <c r="M366" s="181">
        <v>57856168.158399992</v>
      </c>
      <c r="N366" s="181">
        <v>552244.05680000002</v>
      </c>
      <c r="O366" s="181">
        <v>455560.37919999997</v>
      </c>
      <c r="P366" s="181">
        <v>95.25</v>
      </c>
      <c r="Q366" s="181">
        <v>5452631.6753599998</v>
      </c>
      <c r="R366" s="181">
        <v>135684.88991999999</v>
      </c>
      <c r="S366" s="181">
        <v>71283.728399999993</v>
      </c>
      <c r="T366" s="181">
        <v>29.209999999999997</v>
      </c>
      <c r="U366" s="181">
        <v>499477.71071999992</v>
      </c>
      <c r="V366" s="181">
        <v>60152034104.981499</v>
      </c>
    </row>
    <row r="367" spans="1:22">
      <c r="A367" s="2" t="s">
        <v>751</v>
      </c>
      <c r="B367" s="2" t="s">
        <v>752</v>
      </c>
      <c r="C367" s="181">
        <v>42.412559999999999</v>
      </c>
      <c r="D367" s="181">
        <v>5399.9891999999991</v>
      </c>
      <c r="E367" s="181">
        <v>254</v>
      </c>
      <c r="F367" s="181">
        <v>100.33</v>
      </c>
      <c r="G367" s="181">
        <v>10.795</v>
      </c>
      <c r="H367" s="181">
        <v>14.604999999999999</v>
      </c>
      <c r="I367" s="181">
        <v>0</v>
      </c>
      <c r="J367" s="181">
        <v>18.732500000000002</v>
      </c>
      <c r="K367" s="181">
        <v>0</v>
      </c>
      <c r="L367" s="181">
        <v>0</v>
      </c>
      <c r="M367" s="181">
        <v>52445159.625599995</v>
      </c>
      <c r="N367" s="181">
        <v>491611.91999999993</v>
      </c>
      <c r="O367" s="181">
        <v>414592.71919999999</v>
      </c>
      <c r="P367" s="181">
        <v>98.805999999999997</v>
      </c>
      <c r="Q367" s="181">
        <v>4703415.1092799995</v>
      </c>
      <c r="R367" s="181">
        <v>124377.81575999998</v>
      </c>
      <c r="S367" s="181">
        <v>65384.38536</v>
      </c>
      <c r="T367" s="181">
        <v>29.463999999999995</v>
      </c>
      <c r="U367" s="181">
        <v>329239.05764959997</v>
      </c>
      <c r="V367" s="181">
        <v>51827422242.238525</v>
      </c>
    </row>
    <row r="368" spans="1:22">
      <c r="A368" s="2" t="s">
        <v>753</v>
      </c>
      <c r="B368" s="2" t="s">
        <v>754</v>
      </c>
      <c r="C368" s="181">
        <v>37.204000000000001</v>
      </c>
      <c r="D368" s="181">
        <v>4741.9259999999995</v>
      </c>
      <c r="E368" s="181">
        <v>254</v>
      </c>
      <c r="F368" s="181">
        <v>86.614000000000004</v>
      </c>
      <c r="G368" s="181">
        <v>9.6519999999999992</v>
      </c>
      <c r="H368" s="181">
        <v>14.604999999999999</v>
      </c>
      <c r="I368" s="181">
        <v>0</v>
      </c>
      <c r="J368" s="181">
        <v>18.732500000000002</v>
      </c>
      <c r="K368" s="181">
        <v>0</v>
      </c>
      <c r="L368" s="181">
        <v>0</v>
      </c>
      <c r="M368" s="181">
        <v>45785456.815999992</v>
      </c>
      <c r="N368" s="181">
        <v>429341.07679999992</v>
      </c>
      <c r="O368" s="181">
        <v>360515.40799999994</v>
      </c>
      <c r="P368" s="181">
        <v>98.298000000000002</v>
      </c>
      <c r="Q368" s="181">
        <v>3017677.8355999999</v>
      </c>
      <c r="R368" s="181">
        <v>92586.911599999992</v>
      </c>
      <c r="S368" s="181">
        <v>48505.709439999991</v>
      </c>
      <c r="T368" s="181">
        <v>25.222199999999997</v>
      </c>
      <c r="U368" s="181">
        <v>265555.64953279996</v>
      </c>
      <c r="V368" s="181">
        <v>33298447450.971901</v>
      </c>
    </row>
    <row r="369" spans="1:22">
      <c r="A369" s="2" t="s">
        <v>755</v>
      </c>
      <c r="B369" s="2" t="s">
        <v>756</v>
      </c>
      <c r="C369" s="181">
        <v>32.739519999999999</v>
      </c>
      <c r="D369" s="181">
        <v>4161.2820000000002</v>
      </c>
      <c r="E369" s="181">
        <v>254</v>
      </c>
      <c r="F369" s="181">
        <v>84.327999999999989</v>
      </c>
      <c r="G369" s="181">
        <v>7.3659999999999988</v>
      </c>
      <c r="H369" s="181">
        <v>14.604999999999999</v>
      </c>
      <c r="I369" s="181">
        <v>0</v>
      </c>
      <c r="J369" s="181">
        <v>18.732500000000002</v>
      </c>
      <c r="K369" s="181">
        <v>0</v>
      </c>
      <c r="L369" s="181">
        <v>0</v>
      </c>
      <c r="M369" s="181">
        <v>42455605.411199994</v>
      </c>
      <c r="N369" s="181">
        <v>391650.82959999994</v>
      </c>
      <c r="O369" s="181">
        <v>335934.81199999998</v>
      </c>
      <c r="P369" s="181">
        <v>101.346</v>
      </c>
      <c r="Q369" s="181">
        <v>2663881.12384</v>
      </c>
      <c r="R369" s="181">
        <v>86687.56856</v>
      </c>
      <c r="S369" s="181">
        <v>45064.425999999992</v>
      </c>
      <c r="T369" s="181">
        <v>25.323799999999999</v>
      </c>
      <c r="U369" s="181">
        <v>212278.02705599999</v>
      </c>
      <c r="V369" s="181">
        <v>29538945319.410557</v>
      </c>
    </row>
    <row r="370" spans="1:22">
      <c r="A370" s="2" t="s">
        <v>757</v>
      </c>
      <c r="B370" s="2" t="s">
        <v>758</v>
      </c>
      <c r="C370" s="181">
        <v>12.500544</v>
      </c>
      <c r="D370" s="181">
        <v>1587.0935999999999</v>
      </c>
      <c r="E370" s="181">
        <v>254</v>
      </c>
      <c r="F370" s="181">
        <v>38.099999999999994</v>
      </c>
      <c r="G370" s="181">
        <v>4.3180000000000005</v>
      </c>
      <c r="H370" s="181">
        <v>7.1120000000000001</v>
      </c>
      <c r="I370" s="181">
        <v>0</v>
      </c>
      <c r="J370" s="181">
        <v>11.937999999999997</v>
      </c>
      <c r="K370" s="181">
        <v>0</v>
      </c>
      <c r="L370" s="181">
        <v>0</v>
      </c>
      <c r="M370" s="181">
        <v>13277782.476639997</v>
      </c>
      <c r="N370" s="181">
        <v>129785.54687999998</v>
      </c>
      <c r="O370" s="181">
        <v>104713.33895999998</v>
      </c>
      <c r="P370" s="181">
        <v>91.693999999999988</v>
      </c>
      <c r="Q370" s="181">
        <v>135691.44474559999</v>
      </c>
      <c r="R370" s="181">
        <v>8980.1110719999997</v>
      </c>
      <c r="S370" s="181">
        <v>4391.7331519999998</v>
      </c>
      <c r="T370" s="181">
        <v>9.2455999999999996</v>
      </c>
      <c r="U370" s="181">
        <v>17190.357877279999</v>
      </c>
      <c r="V370" s="181">
        <v>1879751065.7806718</v>
      </c>
    </row>
    <row r="371" spans="1:22">
      <c r="A371" s="2" t="s">
        <v>759</v>
      </c>
      <c r="B371" s="2" t="s">
        <v>760</v>
      </c>
      <c r="C371" s="181">
        <v>37.799263999999994</v>
      </c>
      <c r="D371" s="181">
        <v>4819.3451999999997</v>
      </c>
      <c r="E371" s="181">
        <v>228.6</v>
      </c>
      <c r="F371" s="181">
        <v>88.899999999999991</v>
      </c>
      <c r="G371" s="181">
        <v>11.43</v>
      </c>
      <c r="H371" s="181">
        <v>13.97</v>
      </c>
      <c r="I371" s="181">
        <v>0</v>
      </c>
      <c r="J371" s="181">
        <v>17.78</v>
      </c>
      <c r="K371" s="181">
        <v>0</v>
      </c>
      <c r="L371" s="181">
        <v>0</v>
      </c>
      <c r="M371" s="181">
        <v>36586742.31024</v>
      </c>
      <c r="N371" s="181">
        <v>385096.00399999996</v>
      </c>
      <c r="O371" s="181">
        <v>319547.74799999996</v>
      </c>
      <c r="P371" s="181">
        <v>87.122</v>
      </c>
      <c r="Q371" s="181">
        <v>3150871.8917919998</v>
      </c>
      <c r="R371" s="181">
        <v>93406.26479999999</v>
      </c>
      <c r="S371" s="181">
        <v>48997.321360000002</v>
      </c>
      <c r="T371" s="181">
        <v>25.654</v>
      </c>
      <c r="U371" s="181">
        <v>287615.91508959996</v>
      </c>
      <c r="V371" s="181">
        <v>27927730120.169983</v>
      </c>
    </row>
    <row r="372" spans="1:22">
      <c r="A372" s="2" t="s">
        <v>761</v>
      </c>
      <c r="B372" s="2" t="s">
        <v>762</v>
      </c>
      <c r="C372" s="181">
        <v>35.567023999999996</v>
      </c>
      <c r="D372" s="181">
        <v>4529.0231999999996</v>
      </c>
      <c r="E372" s="181">
        <v>228.6</v>
      </c>
      <c r="F372" s="181">
        <v>87.63</v>
      </c>
      <c r="G372" s="181">
        <v>10.16</v>
      </c>
      <c r="H372" s="181">
        <v>13.97</v>
      </c>
      <c r="I372" s="181">
        <v>0</v>
      </c>
      <c r="J372" s="181">
        <v>17.78</v>
      </c>
      <c r="K372" s="181">
        <v>0</v>
      </c>
      <c r="L372" s="181">
        <v>0</v>
      </c>
      <c r="M372" s="181">
        <v>35338048.033440001</v>
      </c>
      <c r="N372" s="181">
        <v>368708.93999999994</v>
      </c>
      <c r="O372" s="181">
        <v>309715.50959999993</v>
      </c>
      <c r="P372" s="181">
        <v>88.391999999999996</v>
      </c>
      <c r="Q372" s="181">
        <v>2971892.3787839995</v>
      </c>
      <c r="R372" s="181">
        <v>90292.722639999993</v>
      </c>
      <c r="S372" s="181">
        <v>47358.614959999999</v>
      </c>
      <c r="T372" s="181">
        <v>25.654</v>
      </c>
      <c r="U372" s="181">
        <v>249322.62393439998</v>
      </c>
      <c r="V372" s="181">
        <v>26316514920.929405</v>
      </c>
    </row>
    <row r="373" spans="1:22">
      <c r="A373" s="2" t="s">
        <v>763</v>
      </c>
      <c r="B373" s="2" t="s">
        <v>764</v>
      </c>
      <c r="C373" s="181">
        <v>33.930047999999999</v>
      </c>
      <c r="D373" s="181">
        <v>4322.5720000000001</v>
      </c>
      <c r="E373" s="181">
        <v>203.2</v>
      </c>
      <c r="F373" s="181">
        <v>88.899999999999991</v>
      </c>
      <c r="G373" s="181">
        <v>10.845799999999999</v>
      </c>
      <c r="H373" s="181">
        <v>13.334999999999999</v>
      </c>
      <c r="I373" s="181">
        <v>0</v>
      </c>
      <c r="J373" s="181">
        <v>16.827500000000001</v>
      </c>
      <c r="K373" s="181">
        <v>0</v>
      </c>
      <c r="L373" s="181">
        <v>0</v>
      </c>
      <c r="M373" s="181">
        <v>26555564.953279994</v>
      </c>
      <c r="N373" s="181">
        <v>312992.92239999998</v>
      </c>
      <c r="O373" s="181">
        <v>260554.31759999998</v>
      </c>
      <c r="P373" s="181">
        <v>78.48599999999999</v>
      </c>
      <c r="Q373" s="181">
        <v>2917782.2934559998</v>
      </c>
      <c r="R373" s="181">
        <v>87998.533679999993</v>
      </c>
      <c r="S373" s="181">
        <v>46047.649839999998</v>
      </c>
      <c r="T373" s="181">
        <v>25.907999999999998</v>
      </c>
      <c r="U373" s="181">
        <v>238084.37544319997</v>
      </c>
      <c r="V373" s="181">
        <v>20193897163.81522</v>
      </c>
    </row>
    <row r="374" spans="1:22">
      <c r="A374" s="2" t="s">
        <v>765</v>
      </c>
      <c r="B374" s="2" t="s">
        <v>766</v>
      </c>
      <c r="C374" s="181">
        <v>31.846623999999995</v>
      </c>
      <c r="D374" s="181">
        <v>4051.6048000000001</v>
      </c>
      <c r="E374" s="181">
        <v>203.2</v>
      </c>
      <c r="F374" s="181">
        <v>87.63</v>
      </c>
      <c r="G374" s="181">
        <v>9.5249999999999986</v>
      </c>
      <c r="H374" s="181">
        <v>13.334999999999999</v>
      </c>
      <c r="I374" s="181">
        <v>0</v>
      </c>
      <c r="J374" s="181">
        <v>16.827500000000001</v>
      </c>
      <c r="K374" s="181">
        <v>0</v>
      </c>
      <c r="L374" s="181">
        <v>0</v>
      </c>
      <c r="M374" s="181">
        <v>25598232.674399998</v>
      </c>
      <c r="N374" s="181">
        <v>298244.56479999993</v>
      </c>
      <c r="O374" s="181">
        <v>252360.78559999997</v>
      </c>
      <c r="P374" s="181">
        <v>79.501999999999995</v>
      </c>
      <c r="Q374" s="181">
        <v>2738802.7804479999</v>
      </c>
      <c r="R374" s="181">
        <v>84884.991519999981</v>
      </c>
      <c r="S374" s="181">
        <v>44408.943439999995</v>
      </c>
      <c r="T374" s="181">
        <v>25.907999999999998</v>
      </c>
      <c r="U374" s="181">
        <v>206034.55567199999</v>
      </c>
      <c r="V374" s="181">
        <v>19012339351.038795</v>
      </c>
    </row>
    <row r="375" spans="1:22">
      <c r="A375" s="2" t="s">
        <v>767</v>
      </c>
      <c r="B375" s="2" t="s">
        <v>768</v>
      </c>
      <c r="C375" s="181">
        <v>29.763199999999998</v>
      </c>
      <c r="D375" s="181">
        <v>3793.5407999999998</v>
      </c>
      <c r="E375" s="181">
        <v>203.2</v>
      </c>
      <c r="F375" s="181">
        <v>76.961999999999989</v>
      </c>
      <c r="G375" s="181">
        <v>10.16</v>
      </c>
      <c r="H375" s="181">
        <v>12.7</v>
      </c>
      <c r="I375" s="181">
        <v>0</v>
      </c>
      <c r="J375" s="181">
        <v>15.875</v>
      </c>
      <c r="K375" s="181">
        <v>0</v>
      </c>
      <c r="L375" s="181">
        <v>0</v>
      </c>
      <c r="M375" s="181">
        <v>22642989.552639998</v>
      </c>
      <c r="N375" s="181">
        <v>268747.84959999996</v>
      </c>
      <c r="O375" s="181">
        <v>222864.07039999997</v>
      </c>
      <c r="P375" s="181">
        <v>77.215999999999994</v>
      </c>
      <c r="Q375" s="181">
        <v>1839742.9011519998</v>
      </c>
      <c r="R375" s="181">
        <v>63254.067039999994</v>
      </c>
      <c r="S375" s="181">
        <v>33101.869279999999</v>
      </c>
      <c r="T375" s="181">
        <v>22.021799999999999</v>
      </c>
      <c r="U375" s="181">
        <v>183558.05868959997</v>
      </c>
      <c r="V375" s="181">
        <v>12836014420.616587</v>
      </c>
    </row>
    <row r="376" spans="1:22">
      <c r="A376" s="2" t="s">
        <v>769</v>
      </c>
      <c r="B376" s="2" t="s">
        <v>770</v>
      </c>
      <c r="C376" s="181">
        <v>27.828591999999997</v>
      </c>
      <c r="D376" s="181">
        <v>3548.3799999999997</v>
      </c>
      <c r="E376" s="181">
        <v>203.2</v>
      </c>
      <c r="F376" s="181">
        <v>75.691999999999993</v>
      </c>
      <c r="G376" s="181">
        <v>8.9661999999999988</v>
      </c>
      <c r="H376" s="181">
        <v>12.7</v>
      </c>
      <c r="I376" s="181">
        <v>0</v>
      </c>
      <c r="J376" s="181">
        <v>15.875</v>
      </c>
      <c r="K376" s="181">
        <v>0</v>
      </c>
      <c r="L376" s="181">
        <v>0</v>
      </c>
      <c r="M376" s="181">
        <v>21810526.701439999</v>
      </c>
      <c r="N376" s="181">
        <v>255638.19839999996</v>
      </c>
      <c r="O376" s="181">
        <v>214670.53839999996</v>
      </c>
      <c r="P376" s="181">
        <v>78.48599999999999</v>
      </c>
      <c r="Q376" s="181">
        <v>1727360.4162399999</v>
      </c>
      <c r="R376" s="181">
        <v>60959.878079999995</v>
      </c>
      <c r="S376" s="181">
        <v>31954.774799999996</v>
      </c>
      <c r="T376" s="181">
        <v>22.0472</v>
      </c>
      <c r="U376" s="181">
        <v>158167.94172799998</v>
      </c>
      <c r="V376" s="181">
        <v>12084113994.304319</v>
      </c>
    </row>
    <row r="377" spans="1:22">
      <c r="A377" s="2" t="s">
        <v>771</v>
      </c>
      <c r="B377" s="2" t="s">
        <v>772</v>
      </c>
      <c r="C377" s="181">
        <v>12.64936</v>
      </c>
      <c r="D377" s="181">
        <v>1612.8999999999999</v>
      </c>
      <c r="E377" s="181">
        <v>203.2</v>
      </c>
      <c r="F377" s="181">
        <v>47.497999999999998</v>
      </c>
      <c r="G377" s="181">
        <v>4.5465999999999998</v>
      </c>
      <c r="H377" s="181">
        <v>7.8993999999999991</v>
      </c>
      <c r="I377" s="181">
        <v>0</v>
      </c>
      <c r="J377" s="181">
        <v>12.738099999999999</v>
      </c>
      <c r="K377" s="181">
        <v>0</v>
      </c>
      <c r="L377" s="181">
        <v>0</v>
      </c>
      <c r="M377" s="181">
        <v>9698192.2164799999</v>
      </c>
      <c r="N377" s="181">
        <v>113890.09479999999</v>
      </c>
      <c r="O377" s="181">
        <v>95372.712480000002</v>
      </c>
      <c r="P377" s="181">
        <v>77.469999999999985</v>
      </c>
      <c r="Q377" s="181">
        <v>259728.40957439996</v>
      </c>
      <c r="R377" s="181">
        <v>14338.680999999999</v>
      </c>
      <c r="S377" s="181">
        <v>7062.824583999999</v>
      </c>
      <c r="T377" s="181">
        <v>12.7</v>
      </c>
      <c r="U377" s="181">
        <v>24432.784682719997</v>
      </c>
      <c r="V377" s="181">
        <v>2204679464.2941885</v>
      </c>
    </row>
    <row r="378" spans="1:22">
      <c r="A378" s="2" t="s">
        <v>773</v>
      </c>
      <c r="B378" s="2" t="s">
        <v>774</v>
      </c>
      <c r="C378" s="181">
        <v>33.781231999999996</v>
      </c>
      <c r="D378" s="181">
        <v>4303.2172</v>
      </c>
      <c r="E378" s="181">
        <v>177.79999999999998</v>
      </c>
      <c r="F378" s="181">
        <v>91.44</v>
      </c>
      <c r="G378" s="181">
        <v>12.776199999999999</v>
      </c>
      <c r="H378" s="181">
        <v>12.7</v>
      </c>
      <c r="I378" s="181">
        <v>0</v>
      </c>
      <c r="J378" s="181">
        <v>15.875</v>
      </c>
      <c r="K378" s="181">
        <v>0</v>
      </c>
      <c r="L378" s="181">
        <v>0</v>
      </c>
      <c r="M378" s="181">
        <v>19729369.573439997</v>
      </c>
      <c r="N378" s="181">
        <v>268747.84959999996</v>
      </c>
      <c r="O378" s="181">
        <v>221225.36399999997</v>
      </c>
      <c r="P378" s="181">
        <v>67.817999999999998</v>
      </c>
      <c r="Q378" s="181">
        <v>3013515.521344</v>
      </c>
      <c r="R378" s="181">
        <v>88162.404319999987</v>
      </c>
      <c r="S378" s="181">
        <v>46375.39112</v>
      </c>
      <c r="T378" s="181">
        <v>26.416</v>
      </c>
      <c r="U378" s="181">
        <v>260144.64099999997</v>
      </c>
      <c r="V378" s="181">
        <v>15655641019.287596</v>
      </c>
    </row>
    <row r="379" spans="1:22">
      <c r="A379" s="2" t="s">
        <v>775</v>
      </c>
      <c r="B379" s="2" t="s">
        <v>776</v>
      </c>
      <c r="C379" s="181">
        <v>28.423856000000001</v>
      </c>
      <c r="D379" s="181">
        <v>3619.3476000000001</v>
      </c>
      <c r="E379" s="181">
        <v>177.79999999999998</v>
      </c>
      <c r="F379" s="181">
        <v>87.63</v>
      </c>
      <c r="G379" s="181">
        <v>8.9407999999999994</v>
      </c>
      <c r="H379" s="181">
        <v>12.7</v>
      </c>
      <c r="I379" s="181">
        <v>0</v>
      </c>
      <c r="J379" s="181">
        <v>15.875</v>
      </c>
      <c r="K379" s="181">
        <v>0</v>
      </c>
      <c r="L379" s="181">
        <v>0</v>
      </c>
      <c r="M379" s="181">
        <v>17939574.443359997</v>
      </c>
      <c r="N379" s="181">
        <v>237612.42799999999</v>
      </c>
      <c r="O379" s="181">
        <v>201560.8872</v>
      </c>
      <c r="P379" s="181">
        <v>70.35799999999999</v>
      </c>
      <c r="Q379" s="181">
        <v>2522362.4391359994</v>
      </c>
      <c r="R379" s="181">
        <v>79477.260399999985</v>
      </c>
      <c r="S379" s="181">
        <v>41787.013199999994</v>
      </c>
      <c r="T379" s="181">
        <v>26.416</v>
      </c>
      <c r="U379" s="181">
        <v>169406.19021919998</v>
      </c>
      <c r="V379" s="181">
        <v>13238818220.426731</v>
      </c>
    </row>
    <row r="380" spans="1:22">
      <c r="A380" s="2" t="s">
        <v>777</v>
      </c>
      <c r="B380" s="2" t="s">
        <v>778</v>
      </c>
      <c r="C380" s="181">
        <v>26.78688</v>
      </c>
      <c r="D380" s="181">
        <v>3412.8963999999996</v>
      </c>
      <c r="E380" s="181">
        <v>152.39999999999998</v>
      </c>
      <c r="F380" s="181">
        <v>88.899999999999991</v>
      </c>
      <c r="G380" s="181">
        <v>9.6265999999999998</v>
      </c>
      <c r="H380" s="181">
        <v>12.065</v>
      </c>
      <c r="I380" s="181">
        <v>0</v>
      </c>
      <c r="J380" s="181">
        <v>14.922499999999998</v>
      </c>
      <c r="K380" s="181">
        <v>0</v>
      </c>
      <c r="L380" s="181">
        <v>0</v>
      </c>
      <c r="M380" s="181">
        <v>12362073.340319999</v>
      </c>
      <c r="N380" s="181">
        <v>191728.64879999997</v>
      </c>
      <c r="O380" s="181">
        <v>162068.06295999998</v>
      </c>
      <c r="P380" s="181">
        <v>60.198</v>
      </c>
      <c r="Q380" s="181">
        <v>2447440.7825279995</v>
      </c>
      <c r="R380" s="181">
        <v>76691.459519999989</v>
      </c>
      <c r="S380" s="181">
        <v>40476.04808</v>
      </c>
      <c r="T380" s="181">
        <v>26.669999999999998</v>
      </c>
      <c r="U380" s="181">
        <v>157751.7103024</v>
      </c>
      <c r="V380" s="181">
        <v>9291340982.2873211</v>
      </c>
    </row>
    <row r="381" spans="1:22">
      <c r="A381" s="2" t="s">
        <v>779</v>
      </c>
      <c r="B381" s="2" t="s">
        <v>780</v>
      </c>
      <c r="C381" s="181">
        <v>22.768847999999998</v>
      </c>
      <c r="D381" s="181">
        <v>2896.7683999999999</v>
      </c>
      <c r="E381" s="181">
        <v>152.39999999999998</v>
      </c>
      <c r="F381" s="181">
        <v>88.899999999999991</v>
      </c>
      <c r="G381" s="181">
        <v>8.636000000000001</v>
      </c>
      <c r="H381" s="181">
        <v>9.7789999999999999</v>
      </c>
      <c r="I381" s="181">
        <v>0</v>
      </c>
      <c r="J381" s="181">
        <v>12.445999999999998</v>
      </c>
      <c r="K381" s="181">
        <v>0</v>
      </c>
      <c r="L381" s="181">
        <v>0</v>
      </c>
      <c r="M381" s="181">
        <v>10530655.067679999</v>
      </c>
      <c r="N381" s="181">
        <v>162395.80424</v>
      </c>
      <c r="O381" s="181">
        <v>138306.82015999997</v>
      </c>
      <c r="P381" s="181">
        <v>60.451999999999991</v>
      </c>
      <c r="Q381" s="181">
        <v>2043696.2996959998</v>
      </c>
      <c r="R381" s="181">
        <v>63090.196399999993</v>
      </c>
      <c r="S381" s="181">
        <v>32937.998639999991</v>
      </c>
      <c r="T381" s="181">
        <v>26.669999999999998</v>
      </c>
      <c r="U381" s="181">
        <v>92819.607908799997</v>
      </c>
      <c r="V381" s="181">
        <v>8056075996.2028799</v>
      </c>
    </row>
    <row r="382" spans="1:22">
      <c r="A382" s="2" t="s">
        <v>781</v>
      </c>
      <c r="B382" s="2" t="s">
        <v>782</v>
      </c>
      <c r="C382" s="181">
        <v>24.257007999999999</v>
      </c>
      <c r="D382" s="181">
        <v>3090.3163999999997</v>
      </c>
      <c r="E382" s="181">
        <v>152.39999999999998</v>
      </c>
      <c r="F382" s="181">
        <v>76.199999999999989</v>
      </c>
      <c r="G382" s="181">
        <v>9.5249999999999986</v>
      </c>
      <c r="H382" s="181">
        <v>12.065</v>
      </c>
      <c r="I382" s="181">
        <v>0</v>
      </c>
      <c r="J382" s="181">
        <v>14.922499999999998</v>
      </c>
      <c r="K382" s="181">
        <v>0</v>
      </c>
      <c r="L382" s="181">
        <v>0</v>
      </c>
      <c r="M382" s="181">
        <v>10822017.065599998</v>
      </c>
      <c r="N382" s="181">
        <v>170425.4656</v>
      </c>
      <c r="O382" s="181">
        <v>141911.97423999998</v>
      </c>
      <c r="P382" s="181">
        <v>59.181999999999995</v>
      </c>
      <c r="Q382" s="181">
        <v>1569192.4745119999</v>
      </c>
      <c r="R382" s="181">
        <v>56863.112079999999</v>
      </c>
      <c r="S382" s="181">
        <v>29824.456479999997</v>
      </c>
      <c r="T382" s="181">
        <v>22.529799999999998</v>
      </c>
      <c r="U382" s="181">
        <v>139853.7590016</v>
      </c>
      <c r="V382" s="181">
        <v>5934642650.5361214</v>
      </c>
    </row>
    <row r="383" spans="1:22">
      <c r="A383" s="2" t="s">
        <v>783</v>
      </c>
      <c r="B383" s="2" t="s">
        <v>784</v>
      </c>
      <c r="C383" s="181">
        <v>22.471215999999998</v>
      </c>
      <c r="D383" s="181">
        <v>2864.5104000000001</v>
      </c>
      <c r="E383" s="181">
        <v>152.39999999999998</v>
      </c>
      <c r="F383" s="181">
        <v>74.675999999999988</v>
      </c>
      <c r="G383" s="181">
        <v>8.0263999999999989</v>
      </c>
      <c r="H383" s="181">
        <v>12.065</v>
      </c>
      <c r="I383" s="181">
        <v>0</v>
      </c>
      <c r="J383" s="181">
        <v>14.922499999999998</v>
      </c>
      <c r="K383" s="181">
        <v>0</v>
      </c>
      <c r="L383" s="181">
        <v>0</v>
      </c>
      <c r="M383" s="181">
        <v>10364162.497439999</v>
      </c>
      <c r="N383" s="181">
        <v>161084.83911999999</v>
      </c>
      <c r="O383" s="181">
        <v>136012.6312</v>
      </c>
      <c r="P383" s="181">
        <v>60.198</v>
      </c>
      <c r="Q383" s="181">
        <v>1440160.7325759998</v>
      </c>
      <c r="R383" s="181">
        <v>54077.311199999989</v>
      </c>
      <c r="S383" s="181">
        <v>28349.620719999995</v>
      </c>
      <c r="T383" s="181">
        <v>22.4282</v>
      </c>
      <c r="U383" s="181">
        <v>118625.95629599997</v>
      </c>
      <c r="V383" s="181">
        <v>5504985264.0719681</v>
      </c>
    </row>
    <row r="384" spans="1:22">
      <c r="A384" s="2" t="s">
        <v>785</v>
      </c>
      <c r="B384" s="2" t="s">
        <v>786</v>
      </c>
      <c r="C384" s="181">
        <v>17.85792</v>
      </c>
      <c r="D384" s="181">
        <v>2277.4147999999996</v>
      </c>
      <c r="E384" s="181">
        <v>152.39999999999998</v>
      </c>
      <c r="F384" s="181">
        <v>63.5</v>
      </c>
      <c r="G384" s="181">
        <v>7.8739999999999997</v>
      </c>
      <c r="H384" s="181">
        <v>9.5249999999999986</v>
      </c>
      <c r="I384" s="181">
        <v>0</v>
      </c>
      <c r="J384" s="181">
        <v>12.7</v>
      </c>
      <c r="K384" s="181">
        <v>0</v>
      </c>
      <c r="L384" s="181">
        <v>0</v>
      </c>
      <c r="M384" s="181">
        <v>7783527.6587199988</v>
      </c>
      <c r="N384" s="181">
        <v>122411.36807999999</v>
      </c>
      <c r="O384" s="181">
        <v>102255.27936</v>
      </c>
      <c r="P384" s="181">
        <v>58.419999999999995</v>
      </c>
      <c r="Q384" s="181">
        <v>770028.13735999994</v>
      </c>
      <c r="R384" s="181">
        <v>32282.516079999998</v>
      </c>
      <c r="S384" s="181">
        <v>16878.675919999998</v>
      </c>
      <c r="T384" s="181">
        <v>18.389599999999998</v>
      </c>
      <c r="U384" s="181">
        <v>64515.870967999996</v>
      </c>
      <c r="V384" s="181">
        <v>3034455291.9030848</v>
      </c>
    </row>
    <row r="385" spans="1:22">
      <c r="A385" s="2" t="s">
        <v>788</v>
      </c>
      <c r="B385" s="2" t="s">
        <v>789</v>
      </c>
      <c r="C385" s="181">
        <v>85.122752000000006</v>
      </c>
      <c r="D385" s="181">
        <v>10838.688</v>
      </c>
      <c r="E385" s="181">
        <v>203.2</v>
      </c>
      <c r="F385" s="181">
        <v>0</v>
      </c>
      <c r="G385" s="181">
        <v>0</v>
      </c>
      <c r="H385" s="181">
        <v>0</v>
      </c>
      <c r="I385" s="181">
        <v>28.574999999999999</v>
      </c>
      <c r="J385" s="181">
        <v>44.449999999999996</v>
      </c>
      <c r="K385" s="181">
        <v>0</v>
      </c>
      <c r="L385" s="181">
        <v>0</v>
      </c>
      <c r="M385" s="181">
        <v>40832302.851359993</v>
      </c>
      <c r="N385" s="181">
        <v>517831.22239999997</v>
      </c>
      <c r="O385" s="181">
        <v>286773.62</v>
      </c>
      <c r="P385" s="181">
        <v>61.213999999999999</v>
      </c>
      <c r="Q385" s="181">
        <v>40832302.851359993</v>
      </c>
      <c r="R385" s="181">
        <v>517831.22239999997</v>
      </c>
      <c r="S385" s="181">
        <v>286773.62</v>
      </c>
      <c r="T385" s="181">
        <v>61.213999999999999</v>
      </c>
      <c r="U385" s="181">
        <v>2967730.0645279996</v>
      </c>
      <c r="V385" s="181">
        <v>8727415662.5531197</v>
      </c>
    </row>
    <row r="386" spans="1:22">
      <c r="A386" s="2" t="s">
        <v>790</v>
      </c>
      <c r="B386" s="2" t="s">
        <v>791</v>
      </c>
      <c r="C386" s="181">
        <v>76.342607999999998</v>
      </c>
      <c r="D386" s="181">
        <v>9741.9159999999993</v>
      </c>
      <c r="E386" s="181">
        <v>203.2</v>
      </c>
      <c r="F386" s="181">
        <v>0</v>
      </c>
      <c r="G386" s="181">
        <v>0</v>
      </c>
      <c r="H386" s="181">
        <v>0</v>
      </c>
      <c r="I386" s="181">
        <v>25.4</v>
      </c>
      <c r="J386" s="181">
        <v>41.274999999999999</v>
      </c>
      <c r="K386" s="181">
        <v>0</v>
      </c>
      <c r="L386" s="181">
        <v>0</v>
      </c>
      <c r="M386" s="181">
        <v>37086220.020959996</v>
      </c>
      <c r="N386" s="181">
        <v>467031.32399999996</v>
      </c>
      <c r="O386" s="181">
        <v>258915.61119999998</v>
      </c>
      <c r="P386" s="181">
        <v>61.722000000000001</v>
      </c>
      <c r="Q386" s="181">
        <v>37086220.020959996</v>
      </c>
      <c r="R386" s="181">
        <v>467031.32399999996</v>
      </c>
      <c r="S386" s="181">
        <v>258915.61119999998</v>
      </c>
      <c r="T386" s="181">
        <v>61.722000000000001</v>
      </c>
      <c r="U386" s="181">
        <v>2114455.6420479999</v>
      </c>
      <c r="V386" s="181">
        <v>6283739277.0382452</v>
      </c>
    </row>
    <row r="387" spans="1:22">
      <c r="A387" s="2" t="s">
        <v>792</v>
      </c>
      <c r="B387" s="2" t="s">
        <v>793</v>
      </c>
      <c r="C387" s="181">
        <v>67.413647999999995</v>
      </c>
      <c r="D387" s="181">
        <v>8580.6280000000006</v>
      </c>
      <c r="E387" s="181">
        <v>203.2</v>
      </c>
      <c r="F387" s="181">
        <v>0</v>
      </c>
      <c r="G387" s="181">
        <v>0</v>
      </c>
      <c r="H387" s="181">
        <v>0</v>
      </c>
      <c r="I387" s="181">
        <v>22.224999999999998</v>
      </c>
      <c r="J387" s="181">
        <v>38.099999999999994</v>
      </c>
      <c r="K387" s="181">
        <v>0</v>
      </c>
      <c r="L387" s="181">
        <v>0</v>
      </c>
      <c r="M387" s="181">
        <v>33173644.620319996</v>
      </c>
      <c r="N387" s="181">
        <v>414592.71919999999</v>
      </c>
      <c r="O387" s="181">
        <v>229418.89599999998</v>
      </c>
      <c r="P387" s="181">
        <v>62.230000000000004</v>
      </c>
      <c r="Q387" s="181">
        <v>33173644.620319996</v>
      </c>
      <c r="R387" s="181">
        <v>414592.71919999999</v>
      </c>
      <c r="S387" s="181">
        <v>229418.89599999998</v>
      </c>
      <c r="T387" s="181">
        <v>62.230000000000004</v>
      </c>
      <c r="U387" s="181">
        <v>1440160.7325759998</v>
      </c>
      <c r="V387" s="181">
        <v>4323427451.2955456</v>
      </c>
    </row>
    <row r="388" spans="1:22">
      <c r="A388" s="2" t="s">
        <v>794</v>
      </c>
      <c r="B388" s="2" t="s">
        <v>795</v>
      </c>
      <c r="C388" s="181">
        <v>58.335872000000002</v>
      </c>
      <c r="D388" s="181">
        <v>7419.3399999999992</v>
      </c>
      <c r="E388" s="181">
        <v>203.2</v>
      </c>
      <c r="F388" s="181">
        <v>0</v>
      </c>
      <c r="G388" s="181">
        <v>0</v>
      </c>
      <c r="H388" s="181">
        <v>0</v>
      </c>
      <c r="I388" s="181">
        <v>19.049999999999997</v>
      </c>
      <c r="J388" s="181">
        <v>34.924999999999997</v>
      </c>
      <c r="K388" s="181">
        <v>0</v>
      </c>
      <c r="L388" s="181">
        <v>0</v>
      </c>
      <c r="M388" s="181">
        <v>29094576.649439998</v>
      </c>
      <c r="N388" s="181">
        <v>360515.40799999994</v>
      </c>
      <c r="O388" s="181">
        <v>199922.18079999997</v>
      </c>
      <c r="P388" s="181">
        <v>62.483999999999995</v>
      </c>
      <c r="Q388" s="181">
        <v>29094576.649439998</v>
      </c>
      <c r="R388" s="181">
        <v>360515.40799999994</v>
      </c>
      <c r="S388" s="181">
        <v>199922.18079999997</v>
      </c>
      <c r="T388" s="181">
        <v>62.483999999999995</v>
      </c>
      <c r="U388" s="181">
        <v>919871.45057599992</v>
      </c>
      <c r="V388" s="181">
        <v>2792773012.0169983</v>
      </c>
    </row>
    <row r="389" spans="1:22">
      <c r="A389" s="2" t="s">
        <v>796</v>
      </c>
      <c r="B389" s="2" t="s">
        <v>797</v>
      </c>
      <c r="C389" s="181">
        <v>49.109279999999998</v>
      </c>
      <c r="D389" s="181">
        <v>6251.6003999999994</v>
      </c>
      <c r="E389" s="181">
        <v>203.2</v>
      </c>
      <c r="F389" s="181">
        <v>0</v>
      </c>
      <c r="G389" s="181">
        <v>0</v>
      </c>
      <c r="H389" s="181">
        <v>0</v>
      </c>
      <c r="I389" s="181">
        <v>15.875</v>
      </c>
      <c r="J389" s="181">
        <v>31.75</v>
      </c>
      <c r="K389" s="181">
        <v>0</v>
      </c>
      <c r="L389" s="181">
        <v>0</v>
      </c>
      <c r="M389" s="181">
        <v>24807392.965759996</v>
      </c>
      <c r="N389" s="181">
        <v>304799.39039999997</v>
      </c>
      <c r="O389" s="181">
        <v>168786.7592</v>
      </c>
      <c r="P389" s="181">
        <v>62.991999999999997</v>
      </c>
      <c r="Q389" s="181">
        <v>24807392.965759996</v>
      </c>
      <c r="R389" s="181">
        <v>304799.39039999997</v>
      </c>
      <c r="S389" s="181">
        <v>168786.7592</v>
      </c>
      <c r="T389" s="181">
        <v>62.991999999999997</v>
      </c>
      <c r="U389" s="181">
        <v>541100.85327999992</v>
      </c>
      <c r="V389" s="181">
        <v>1654180937.8869913</v>
      </c>
    </row>
    <row r="390" spans="1:22">
      <c r="A390" s="2" t="s">
        <v>798</v>
      </c>
      <c r="B390" s="2" t="s">
        <v>799</v>
      </c>
      <c r="C390" s="181">
        <v>44.347167999999996</v>
      </c>
      <c r="D390" s="181">
        <v>5658.0531999999994</v>
      </c>
      <c r="E390" s="181">
        <v>203.2</v>
      </c>
      <c r="F390" s="181">
        <v>0</v>
      </c>
      <c r="G390" s="181">
        <v>0</v>
      </c>
      <c r="H390" s="181">
        <v>0</v>
      </c>
      <c r="I390" s="181">
        <v>14.2875</v>
      </c>
      <c r="J390" s="181">
        <v>30.162499999999998</v>
      </c>
      <c r="K390" s="181">
        <v>0</v>
      </c>
      <c r="L390" s="181">
        <v>0</v>
      </c>
      <c r="M390" s="181">
        <v>22559743.267519999</v>
      </c>
      <c r="N390" s="181">
        <v>275302.6752</v>
      </c>
      <c r="O390" s="181">
        <v>152891.30711999998</v>
      </c>
      <c r="P390" s="181">
        <v>63.246000000000002</v>
      </c>
      <c r="Q390" s="181">
        <v>22559743.267519999</v>
      </c>
      <c r="R390" s="181">
        <v>275302.6752</v>
      </c>
      <c r="S390" s="181">
        <v>152891.30711999998</v>
      </c>
      <c r="T390" s="181">
        <v>63.246000000000002</v>
      </c>
      <c r="U390" s="181">
        <v>399998.40000159992</v>
      </c>
      <c r="V390" s="181">
        <v>1221838192.7574368</v>
      </c>
    </row>
    <row r="391" spans="1:22">
      <c r="A391" s="2" t="s">
        <v>800</v>
      </c>
      <c r="B391" s="2" t="s">
        <v>801</v>
      </c>
      <c r="C391" s="181">
        <v>39.733871999999998</v>
      </c>
      <c r="D391" s="181">
        <v>5058.0544</v>
      </c>
      <c r="E391" s="181">
        <v>203.2</v>
      </c>
      <c r="F391" s="181">
        <v>0</v>
      </c>
      <c r="G391" s="181">
        <v>0</v>
      </c>
      <c r="H391" s="181">
        <v>0</v>
      </c>
      <c r="I391" s="181">
        <v>12.7</v>
      </c>
      <c r="J391" s="181">
        <v>28.574999999999999</v>
      </c>
      <c r="K391" s="181">
        <v>0</v>
      </c>
      <c r="L391" s="181">
        <v>0</v>
      </c>
      <c r="M391" s="181">
        <v>20312093.569279999</v>
      </c>
      <c r="N391" s="181">
        <v>247444.66639999996</v>
      </c>
      <c r="O391" s="181">
        <v>136995.85503999997</v>
      </c>
      <c r="P391" s="181">
        <v>63.246000000000002</v>
      </c>
      <c r="Q391" s="181">
        <v>20312093.569279999</v>
      </c>
      <c r="R391" s="181">
        <v>247444.66639999996</v>
      </c>
      <c r="S391" s="181">
        <v>136995.85503999997</v>
      </c>
      <c r="T391" s="181">
        <v>63.246000000000002</v>
      </c>
      <c r="U391" s="181">
        <v>284286.0636848</v>
      </c>
      <c r="V391" s="181">
        <v>867370848.92451</v>
      </c>
    </row>
    <row r="392" spans="1:22">
      <c r="A392" s="2" t="s">
        <v>802</v>
      </c>
      <c r="B392" s="2" t="s">
        <v>803</v>
      </c>
      <c r="C392" s="181">
        <v>66.074303999999998</v>
      </c>
      <c r="D392" s="181">
        <v>8451.5959999999995</v>
      </c>
      <c r="E392" s="181">
        <v>203.2</v>
      </c>
      <c r="F392" s="181">
        <v>0</v>
      </c>
      <c r="G392" s="181">
        <v>0</v>
      </c>
      <c r="H392" s="181">
        <v>0</v>
      </c>
      <c r="I392" s="181">
        <v>25.4</v>
      </c>
      <c r="J392" s="181">
        <v>38.099999999999994</v>
      </c>
      <c r="K392" s="181">
        <v>0</v>
      </c>
      <c r="L392" s="181">
        <v>0</v>
      </c>
      <c r="M392" s="181">
        <v>33673122.331040002</v>
      </c>
      <c r="N392" s="181">
        <v>447366.84719999996</v>
      </c>
      <c r="O392" s="181">
        <v>247444.66639999996</v>
      </c>
      <c r="P392" s="181">
        <v>63.246000000000002</v>
      </c>
      <c r="Q392" s="181">
        <v>16149779.313279998</v>
      </c>
      <c r="R392" s="181">
        <v>265470.43679999997</v>
      </c>
      <c r="S392" s="181">
        <v>146172.61087999999</v>
      </c>
      <c r="T392" s="181">
        <v>43.687999999999995</v>
      </c>
      <c r="U392" s="181">
        <v>1806444.3871039997</v>
      </c>
      <c r="V392" s="181">
        <v>4377134624.6035652</v>
      </c>
    </row>
    <row r="393" spans="1:22">
      <c r="A393" s="2" t="s">
        <v>804</v>
      </c>
      <c r="B393" s="2" t="s">
        <v>805</v>
      </c>
      <c r="C393" s="181">
        <v>58.484687999999991</v>
      </c>
      <c r="D393" s="181">
        <v>7419.3399999999992</v>
      </c>
      <c r="E393" s="181">
        <v>203.2</v>
      </c>
      <c r="F393" s="181">
        <v>0</v>
      </c>
      <c r="G393" s="181">
        <v>0</v>
      </c>
      <c r="H393" s="181">
        <v>0</v>
      </c>
      <c r="I393" s="181">
        <v>22.224999999999998</v>
      </c>
      <c r="J393" s="181">
        <v>34.924999999999997</v>
      </c>
      <c r="K393" s="181">
        <v>0</v>
      </c>
      <c r="L393" s="181">
        <v>0</v>
      </c>
      <c r="M393" s="181">
        <v>30135155.213440001</v>
      </c>
      <c r="N393" s="181">
        <v>398205.65519999998</v>
      </c>
      <c r="O393" s="181">
        <v>219586.65759999998</v>
      </c>
      <c r="P393" s="181">
        <v>63.5</v>
      </c>
      <c r="Q393" s="181">
        <v>14526476.753439998</v>
      </c>
      <c r="R393" s="181">
        <v>235973.72159999999</v>
      </c>
      <c r="S393" s="181">
        <v>130113.28816</v>
      </c>
      <c r="T393" s="181">
        <v>44.195999999999998</v>
      </c>
      <c r="U393" s="181">
        <v>1232045.0197759999</v>
      </c>
      <c r="V393" s="181">
        <v>3034455291.9030848</v>
      </c>
    </row>
    <row r="394" spans="1:22">
      <c r="A394" s="2" t="s">
        <v>806</v>
      </c>
      <c r="B394" s="2" t="s">
        <v>807</v>
      </c>
      <c r="C394" s="181">
        <v>50.597439999999999</v>
      </c>
      <c r="D394" s="181">
        <v>6445.1484</v>
      </c>
      <c r="E394" s="181">
        <v>203.2</v>
      </c>
      <c r="F394" s="181">
        <v>0</v>
      </c>
      <c r="G394" s="181">
        <v>0</v>
      </c>
      <c r="H394" s="181">
        <v>0</v>
      </c>
      <c r="I394" s="181">
        <v>19.049999999999997</v>
      </c>
      <c r="J394" s="181">
        <v>31.75</v>
      </c>
      <c r="K394" s="181">
        <v>0</v>
      </c>
      <c r="L394" s="181">
        <v>0</v>
      </c>
      <c r="M394" s="181">
        <v>26430695.525599997</v>
      </c>
      <c r="N394" s="181">
        <v>345767.05040000001</v>
      </c>
      <c r="O394" s="181">
        <v>191728.64879999997</v>
      </c>
      <c r="P394" s="181">
        <v>64.007999999999996</v>
      </c>
      <c r="Q394" s="181">
        <v>12819927.90848</v>
      </c>
      <c r="R394" s="181">
        <v>204838.3</v>
      </c>
      <c r="S394" s="181">
        <v>113398.48287999998</v>
      </c>
      <c r="T394" s="181">
        <v>44.449999999999996</v>
      </c>
      <c r="U394" s="181">
        <v>790839.70863999985</v>
      </c>
      <c r="V394" s="181">
        <v>1954941108.4118989</v>
      </c>
    </row>
    <row r="395" spans="1:22">
      <c r="A395" s="2" t="s">
        <v>808</v>
      </c>
      <c r="B395" s="2" t="s">
        <v>809</v>
      </c>
      <c r="C395" s="181">
        <v>42.561376000000003</v>
      </c>
      <c r="D395" s="181">
        <v>5425.7955999999995</v>
      </c>
      <c r="E395" s="181">
        <v>203.2</v>
      </c>
      <c r="F395" s="181">
        <v>0</v>
      </c>
      <c r="G395" s="181">
        <v>0</v>
      </c>
      <c r="H395" s="181">
        <v>0</v>
      </c>
      <c r="I395" s="181">
        <v>15.875</v>
      </c>
      <c r="J395" s="181">
        <v>28.574999999999999</v>
      </c>
      <c r="K395" s="181">
        <v>0</v>
      </c>
      <c r="L395" s="181">
        <v>0</v>
      </c>
      <c r="M395" s="181">
        <v>22559743.267519999</v>
      </c>
      <c r="N395" s="181">
        <v>293328.44559999998</v>
      </c>
      <c r="O395" s="181">
        <v>161576.45103999999</v>
      </c>
      <c r="P395" s="181">
        <v>64.515999999999991</v>
      </c>
      <c r="Q395" s="181">
        <v>10988509.635839999</v>
      </c>
      <c r="R395" s="181">
        <v>172064.17199999999</v>
      </c>
      <c r="S395" s="181">
        <v>96355.936319999993</v>
      </c>
      <c r="T395" s="181">
        <v>44.957999999999998</v>
      </c>
      <c r="U395" s="181">
        <v>466179.19667199999</v>
      </c>
      <c r="V395" s="181">
        <v>1162760302.1186156</v>
      </c>
    </row>
    <row r="396" spans="1:22">
      <c r="A396" s="2" t="s">
        <v>810</v>
      </c>
      <c r="B396" s="2" t="s">
        <v>811</v>
      </c>
      <c r="C396" s="181">
        <v>38.543343999999998</v>
      </c>
      <c r="D396" s="181">
        <v>4909.6675999999998</v>
      </c>
      <c r="E396" s="181">
        <v>203.2</v>
      </c>
      <c r="F396" s="181">
        <v>0</v>
      </c>
      <c r="G396" s="181">
        <v>0</v>
      </c>
      <c r="H396" s="181">
        <v>0</v>
      </c>
      <c r="I396" s="181">
        <v>14.2875</v>
      </c>
      <c r="J396" s="181">
        <v>26.987499999999997</v>
      </c>
      <c r="K396" s="181">
        <v>0</v>
      </c>
      <c r="L396" s="181">
        <v>0</v>
      </c>
      <c r="M396" s="181">
        <v>20561832.424639996</v>
      </c>
      <c r="N396" s="181">
        <v>265470.43679999997</v>
      </c>
      <c r="O396" s="181">
        <v>146500.35215999998</v>
      </c>
      <c r="P396" s="181">
        <v>64.77</v>
      </c>
      <c r="Q396" s="181">
        <v>10031177.35696</v>
      </c>
      <c r="R396" s="181">
        <v>156004.84927999997</v>
      </c>
      <c r="S396" s="181">
        <v>87506.921759999983</v>
      </c>
      <c r="T396" s="181">
        <v>45.211999999999996</v>
      </c>
      <c r="U396" s="181">
        <v>342558.46326879994</v>
      </c>
      <c r="V396" s="181">
        <v>859314772.92830718</v>
      </c>
    </row>
    <row r="397" spans="1:22">
      <c r="A397" s="2" t="s">
        <v>812</v>
      </c>
      <c r="B397" s="2" t="s">
        <v>813</v>
      </c>
      <c r="C397" s="181">
        <v>34.525312</v>
      </c>
      <c r="D397" s="181">
        <v>4387.0879999999997</v>
      </c>
      <c r="E397" s="181">
        <v>203.2</v>
      </c>
      <c r="F397" s="181">
        <v>0</v>
      </c>
      <c r="G397" s="181">
        <v>0</v>
      </c>
      <c r="H397" s="181">
        <v>0</v>
      </c>
      <c r="I397" s="181">
        <v>12.7</v>
      </c>
      <c r="J397" s="181">
        <v>25.4</v>
      </c>
      <c r="K397" s="181">
        <v>0</v>
      </c>
      <c r="L397" s="181">
        <v>0</v>
      </c>
      <c r="M397" s="181">
        <v>18480675.296639998</v>
      </c>
      <c r="N397" s="181">
        <v>239251.13439999998</v>
      </c>
      <c r="O397" s="181">
        <v>131260.38264</v>
      </c>
      <c r="P397" s="181">
        <v>64.77</v>
      </c>
      <c r="Q397" s="181">
        <v>9032221.9355199989</v>
      </c>
      <c r="R397" s="181">
        <v>139617.78527999998</v>
      </c>
      <c r="S397" s="181">
        <v>78494.036559999993</v>
      </c>
      <c r="T397" s="181">
        <v>45.466000000000001</v>
      </c>
      <c r="U397" s="181">
        <v>243079.15255039997</v>
      </c>
      <c r="V397" s="181">
        <v>612261775.71141875</v>
      </c>
    </row>
    <row r="398" spans="1:22">
      <c r="A398" s="2" t="s">
        <v>814</v>
      </c>
      <c r="B398" s="2" t="s">
        <v>815</v>
      </c>
      <c r="C398" s="181">
        <v>30.358463999999998</v>
      </c>
      <c r="D398" s="181">
        <v>3864.5084000000002</v>
      </c>
      <c r="E398" s="181">
        <v>203.2</v>
      </c>
      <c r="F398" s="181">
        <v>0</v>
      </c>
      <c r="G398" s="181">
        <v>0</v>
      </c>
      <c r="H398" s="181">
        <v>0</v>
      </c>
      <c r="I398" s="181">
        <v>11.112499999999999</v>
      </c>
      <c r="J398" s="181">
        <v>23.8125</v>
      </c>
      <c r="K398" s="181">
        <v>0</v>
      </c>
      <c r="L398" s="181">
        <v>0</v>
      </c>
      <c r="M398" s="181">
        <v>16357895.026079997</v>
      </c>
      <c r="N398" s="181">
        <v>211393.1256</v>
      </c>
      <c r="O398" s="181">
        <v>115692.67183999998</v>
      </c>
      <c r="P398" s="181">
        <v>65.024000000000001</v>
      </c>
      <c r="Q398" s="181">
        <v>8033266.5140799992</v>
      </c>
      <c r="R398" s="181">
        <v>122902.97999999998</v>
      </c>
      <c r="S398" s="181">
        <v>69317.280719999995</v>
      </c>
      <c r="T398" s="181">
        <v>45.72</v>
      </c>
      <c r="U398" s="181">
        <v>164827.64453759999</v>
      </c>
      <c r="V398" s="181">
        <v>416230593.1371488</v>
      </c>
    </row>
    <row r="399" spans="1:22">
      <c r="A399" s="2" t="s">
        <v>816</v>
      </c>
      <c r="B399" s="2" t="s">
        <v>817</v>
      </c>
      <c r="C399" s="181">
        <v>55.954816000000001</v>
      </c>
      <c r="D399" s="181">
        <v>7161.2759999999998</v>
      </c>
      <c r="E399" s="181">
        <v>203.2</v>
      </c>
      <c r="F399" s="181">
        <v>0</v>
      </c>
      <c r="G399" s="181">
        <v>0</v>
      </c>
      <c r="H399" s="181">
        <v>0</v>
      </c>
      <c r="I399" s="181">
        <v>25.4</v>
      </c>
      <c r="J399" s="181">
        <v>38.099999999999994</v>
      </c>
      <c r="K399" s="181">
        <v>0</v>
      </c>
      <c r="L399" s="181">
        <v>0</v>
      </c>
      <c r="M399" s="181">
        <v>29011330.364319999</v>
      </c>
      <c r="N399" s="181">
        <v>398205.65519999998</v>
      </c>
      <c r="O399" s="181">
        <v>229418.89599999998</v>
      </c>
      <c r="P399" s="181">
        <v>63.753999999999991</v>
      </c>
      <c r="Q399" s="181">
        <v>4828284.5369599992</v>
      </c>
      <c r="R399" s="181">
        <v>126672.00472</v>
      </c>
      <c r="S399" s="181">
        <v>64565.032159999995</v>
      </c>
      <c r="T399" s="181">
        <v>26.161999999999999</v>
      </c>
      <c r="U399" s="181">
        <v>1531731.6462079999</v>
      </c>
      <c r="V399" s="181">
        <v>3464112678.3672385</v>
      </c>
    </row>
    <row r="400" spans="1:22">
      <c r="A400" s="2" t="s">
        <v>818</v>
      </c>
      <c r="B400" s="2" t="s">
        <v>819</v>
      </c>
      <c r="C400" s="181">
        <v>49.555727999999995</v>
      </c>
      <c r="D400" s="181">
        <v>6316.116399999999</v>
      </c>
      <c r="E400" s="181">
        <v>203.2</v>
      </c>
      <c r="F400" s="181">
        <v>0</v>
      </c>
      <c r="G400" s="181">
        <v>0</v>
      </c>
      <c r="H400" s="181">
        <v>0</v>
      </c>
      <c r="I400" s="181">
        <v>22.224999999999998</v>
      </c>
      <c r="J400" s="181">
        <v>34.924999999999997</v>
      </c>
      <c r="K400" s="181">
        <v>0</v>
      </c>
      <c r="L400" s="181">
        <v>0</v>
      </c>
      <c r="M400" s="181">
        <v>26056087.242559999</v>
      </c>
      <c r="N400" s="181">
        <v>355599.28879999998</v>
      </c>
      <c r="O400" s="181">
        <v>204838.3</v>
      </c>
      <c r="P400" s="181">
        <v>64.261999999999986</v>
      </c>
      <c r="Q400" s="181">
        <v>4370429.9687999999</v>
      </c>
      <c r="R400" s="181">
        <v>110940.42327999999</v>
      </c>
      <c r="S400" s="181">
        <v>57518.594639999988</v>
      </c>
      <c r="T400" s="181">
        <v>26.416</v>
      </c>
      <c r="U400" s="181">
        <v>1044740.8782559998</v>
      </c>
      <c r="V400" s="181">
        <v>2387283853.5414534</v>
      </c>
    </row>
    <row r="401" spans="1:22">
      <c r="A401" s="2" t="s">
        <v>820</v>
      </c>
      <c r="B401" s="2" t="s">
        <v>821</v>
      </c>
      <c r="C401" s="181">
        <v>43.007823999999992</v>
      </c>
      <c r="D401" s="181">
        <v>5477.4084000000003</v>
      </c>
      <c r="E401" s="181">
        <v>203.2</v>
      </c>
      <c r="F401" s="181">
        <v>0</v>
      </c>
      <c r="G401" s="181">
        <v>0</v>
      </c>
      <c r="H401" s="181">
        <v>0</v>
      </c>
      <c r="I401" s="181">
        <v>19.049999999999997</v>
      </c>
      <c r="J401" s="181">
        <v>31.75</v>
      </c>
      <c r="K401" s="181">
        <v>0</v>
      </c>
      <c r="L401" s="181">
        <v>0</v>
      </c>
      <c r="M401" s="181">
        <v>22892728.407999996</v>
      </c>
      <c r="N401" s="181">
        <v>309715.50959999993</v>
      </c>
      <c r="O401" s="181">
        <v>178618.9976</v>
      </c>
      <c r="P401" s="181">
        <v>64.77</v>
      </c>
      <c r="Q401" s="181">
        <v>3900088.4578719991</v>
      </c>
      <c r="R401" s="181">
        <v>95372.712480000002</v>
      </c>
      <c r="S401" s="181">
        <v>50308.286479999995</v>
      </c>
      <c r="T401" s="181">
        <v>26.669999999999998</v>
      </c>
      <c r="U401" s="181">
        <v>670132.59521599999</v>
      </c>
      <c r="V401" s="181">
        <v>1544081232.605552</v>
      </c>
    </row>
    <row r="402" spans="1:22">
      <c r="A402" s="2" t="s">
        <v>822</v>
      </c>
      <c r="B402" s="2" t="s">
        <v>823</v>
      </c>
      <c r="C402" s="181">
        <v>36.311103999999993</v>
      </c>
      <c r="D402" s="181">
        <v>4619.3455999999996</v>
      </c>
      <c r="E402" s="181">
        <v>203.2</v>
      </c>
      <c r="F402" s="181">
        <v>0</v>
      </c>
      <c r="G402" s="181">
        <v>0</v>
      </c>
      <c r="H402" s="181">
        <v>0</v>
      </c>
      <c r="I402" s="181">
        <v>15.875</v>
      </c>
      <c r="J402" s="181">
        <v>28.574999999999999</v>
      </c>
      <c r="K402" s="181">
        <v>0</v>
      </c>
      <c r="L402" s="181">
        <v>0</v>
      </c>
      <c r="M402" s="181">
        <v>19562877.003199998</v>
      </c>
      <c r="N402" s="181">
        <v>263831.7304</v>
      </c>
      <c r="O402" s="181">
        <v>150760.98879999996</v>
      </c>
      <c r="P402" s="181">
        <v>65.024000000000001</v>
      </c>
      <c r="Q402" s="181">
        <v>3375636.8616159996</v>
      </c>
      <c r="R402" s="181">
        <v>79641.131039999993</v>
      </c>
      <c r="S402" s="181">
        <v>42934.107680000001</v>
      </c>
      <c r="T402" s="181">
        <v>26.923999999999999</v>
      </c>
      <c r="U402" s="181">
        <v>397501.01144799992</v>
      </c>
      <c r="V402" s="181">
        <v>918392663.5671283</v>
      </c>
    </row>
    <row r="403" spans="1:22">
      <c r="A403" s="2" t="s">
        <v>824</v>
      </c>
      <c r="B403" s="2" t="s">
        <v>825</v>
      </c>
      <c r="C403" s="181">
        <v>32.888336000000002</v>
      </c>
      <c r="D403" s="181">
        <v>4187.0883999999996</v>
      </c>
      <c r="E403" s="181">
        <v>203.2</v>
      </c>
      <c r="F403" s="181">
        <v>0</v>
      </c>
      <c r="G403" s="181">
        <v>0</v>
      </c>
      <c r="H403" s="181">
        <v>0</v>
      </c>
      <c r="I403" s="181">
        <v>14.2875</v>
      </c>
      <c r="J403" s="181">
        <v>26.987499999999997</v>
      </c>
      <c r="K403" s="181">
        <v>0</v>
      </c>
      <c r="L403" s="181">
        <v>0</v>
      </c>
      <c r="M403" s="181">
        <v>17856328.158239998</v>
      </c>
      <c r="N403" s="181">
        <v>239251.13439999998</v>
      </c>
      <c r="O403" s="181">
        <v>136668.11375999998</v>
      </c>
      <c r="P403" s="181">
        <v>65.277999999999992</v>
      </c>
      <c r="Q403" s="181">
        <v>3096761.8064639997</v>
      </c>
      <c r="R403" s="181">
        <v>71939.210959999982</v>
      </c>
      <c r="S403" s="181">
        <v>39001.212319999991</v>
      </c>
      <c r="T403" s="181">
        <v>27.178000000000001</v>
      </c>
      <c r="U403" s="181">
        <v>293026.92362239998</v>
      </c>
      <c r="V403" s="181">
        <v>679395742.34644282</v>
      </c>
    </row>
    <row r="404" spans="1:22">
      <c r="A404" s="2" t="s">
        <v>826</v>
      </c>
      <c r="B404" s="2" t="s">
        <v>827</v>
      </c>
      <c r="C404" s="181">
        <v>29.316751999999997</v>
      </c>
      <c r="D404" s="181">
        <v>3741.9279999999999</v>
      </c>
      <c r="E404" s="181">
        <v>203.2</v>
      </c>
      <c r="F404" s="181">
        <v>0</v>
      </c>
      <c r="G404" s="181">
        <v>0</v>
      </c>
      <c r="H404" s="181">
        <v>0</v>
      </c>
      <c r="I404" s="181">
        <v>12.7</v>
      </c>
      <c r="J404" s="181">
        <v>25.4</v>
      </c>
      <c r="K404" s="181">
        <v>0</v>
      </c>
      <c r="L404" s="181">
        <v>0</v>
      </c>
      <c r="M404" s="181">
        <v>16066533.028159998</v>
      </c>
      <c r="N404" s="181">
        <v>214670.53839999996</v>
      </c>
      <c r="O404" s="181">
        <v>122575.23871999999</v>
      </c>
      <c r="P404" s="181">
        <v>65.531999999999996</v>
      </c>
      <c r="Q404" s="181">
        <v>2809562.1227999995</v>
      </c>
      <c r="R404" s="181">
        <v>64073.420239999999</v>
      </c>
      <c r="S404" s="181">
        <v>35232.187599999997</v>
      </c>
      <c r="T404" s="181">
        <v>27.431999999999999</v>
      </c>
      <c r="U404" s="181">
        <v>208531.94422559999</v>
      </c>
      <c r="V404" s="181">
        <v>483364559.77217281</v>
      </c>
    </row>
    <row r="405" spans="1:22">
      <c r="A405" s="2" t="s">
        <v>828</v>
      </c>
      <c r="B405" s="2" t="s">
        <v>829</v>
      </c>
      <c r="C405" s="181">
        <v>25.893983999999996</v>
      </c>
      <c r="D405" s="181">
        <v>3296.7676000000001</v>
      </c>
      <c r="E405" s="181">
        <v>203.2</v>
      </c>
      <c r="F405" s="181">
        <v>0</v>
      </c>
      <c r="G405" s="181">
        <v>0</v>
      </c>
      <c r="H405" s="181">
        <v>0</v>
      </c>
      <c r="I405" s="181">
        <v>11.112499999999999</v>
      </c>
      <c r="J405" s="181">
        <v>23.8125</v>
      </c>
      <c r="K405" s="181">
        <v>0</v>
      </c>
      <c r="L405" s="181">
        <v>0</v>
      </c>
      <c r="M405" s="181">
        <v>14235114.755519999</v>
      </c>
      <c r="N405" s="181">
        <v>190089.94239999997</v>
      </c>
      <c r="O405" s="181">
        <v>107990.75175999998</v>
      </c>
      <c r="P405" s="181">
        <v>65.785999999999987</v>
      </c>
      <c r="Q405" s="181">
        <v>2509875.4963679998</v>
      </c>
      <c r="R405" s="181">
        <v>56043.758879999994</v>
      </c>
      <c r="S405" s="181">
        <v>31135.421599999994</v>
      </c>
      <c r="T405" s="181">
        <v>27.686</v>
      </c>
      <c r="U405" s="181">
        <v>141518.68470399998</v>
      </c>
      <c r="V405" s="181">
        <v>327613757.17891711</v>
      </c>
    </row>
    <row r="406" spans="1:22">
      <c r="A406" s="2" t="s">
        <v>830</v>
      </c>
      <c r="B406" s="2" t="s">
        <v>831</v>
      </c>
      <c r="C406" s="181">
        <v>38.989791999999994</v>
      </c>
      <c r="D406" s="181">
        <v>4967.732</v>
      </c>
      <c r="E406" s="181">
        <v>177.79999999999998</v>
      </c>
      <c r="F406" s="181">
        <v>0</v>
      </c>
      <c r="G406" s="181">
        <v>0</v>
      </c>
      <c r="H406" s="181">
        <v>0</v>
      </c>
      <c r="I406" s="181">
        <v>19.049999999999997</v>
      </c>
      <c r="J406" s="181">
        <v>31.75</v>
      </c>
      <c r="K406" s="181">
        <v>0</v>
      </c>
      <c r="L406" s="181">
        <v>0</v>
      </c>
      <c r="M406" s="181">
        <v>15733547.887679998</v>
      </c>
      <c r="N406" s="181">
        <v>242528.5472</v>
      </c>
      <c r="O406" s="181">
        <v>137487.46695999999</v>
      </c>
      <c r="P406" s="181">
        <v>56.133999999999993</v>
      </c>
      <c r="Q406" s="181">
        <v>3746082.8303999994</v>
      </c>
      <c r="R406" s="181">
        <v>91767.55839999998</v>
      </c>
      <c r="S406" s="181">
        <v>49325.062639999989</v>
      </c>
      <c r="T406" s="181">
        <v>27.431999999999999</v>
      </c>
      <c r="U406" s="181">
        <v>611860.19563199987</v>
      </c>
      <c r="V406" s="181">
        <v>1066087390.1641811</v>
      </c>
    </row>
    <row r="407" spans="1:22">
      <c r="A407" s="2" t="s">
        <v>832</v>
      </c>
      <c r="B407" s="2" t="s">
        <v>833</v>
      </c>
      <c r="C407" s="181">
        <v>32.888336000000002</v>
      </c>
      <c r="D407" s="181">
        <v>4193.54</v>
      </c>
      <c r="E407" s="181">
        <v>177.79999999999998</v>
      </c>
      <c r="F407" s="181">
        <v>0</v>
      </c>
      <c r="G407" s="181">
        <v>0</v>
      </c>
      <c r="H407" s="181">
        <v>0</v>
      </c>
      <c r="I407" s="181">
        <v>15.875</v>
      </c>
      <c r="J407" s="181">
        <v>28.574999999999999</v>
      </c>
      <c r="K407" s="181">
        <v>0</v>
      </c>
      <c r="L407" s="181">
        <v>0</v>
      </c>
      <c r="M407" s="181">
        <v>13485898.189439999</v>
      </c>
      <c r="N407" s="181">
        <v>204838.3</v>
      </c>
      <c r="O407" s="181">
        <v>116675.89567999999</v>
      </c>
      <c r="P407" s="181">
        <v>56.641999999999996</v>
      </c>
      <c r="Q407" s="181">
        <v>3242442.8054239997</v>
      </c>
      <c r="R407" s="181">
        <v>76855.330159999998</v>
      </c>
      <c r="S407" s="181">
        <v>41950.883839999995</v>
      </c>
      <c r="T407" s="181">
        <v>27.94</v>
      </c>
      <c r="U407" s="181">
        <v>361288.87742079998</v>
      </c>
      <c r="V407" s="181">
        <v>636430003.70002747</v>
      </c>
    </row>
    <row r="408" spans="1:22">
      <c r="A408" s="2" t="s">
        <v>834</v>
      </c>
      <c r="B408" s="2" t="s">
        <v>835</v>
      </c>
      <c r="C408" s="181">
        <v>26.638063999999996</v>
      </c>
      <c r="D408" s="181">
        <v>3393.5415999999996</v>
      </c>
      <c r="E408" s="181">
        <v>177.79999999999998</v>
      </c>
      <c r="F408" s="181">
        <v>0</v>
      </c>
      <c r="G408" s="181">
        <v>0</v>
      </c>
      <c r="H408" s="181">
        <v>0</v>
      </c>
      <c r="I408" s="181">
        <v>12.7</v>
      </c>
      <c r="J408" s="181">
        <v>25.4</v>
      </c>
      <c r="K408" s="181">
        <v>0</v>
      </c>
      <c r="L408" s="181">
        <v>0</v>
      </c>
      <c r="M408" s="181">
        <v>11071755.92096</v>
      </c>
      <c r="N408" s="181">
        <v>167148.05279999998</v>
      </c>
      <c r="O408" s="181">
        <v>94881.100559999992</v>
      </c>
      <c r="P408" s="181">
        <v>57.15</v>
      </c>
      <c r="Q408" s="181">
        <v>2697179.6378879999</v>
      </c>
      <c r="R408" s="181">
        <v>61779.231279999993</v>
      </c>
      <c r="S408" s="181">
        <v>34412.8344</v>
      </c>
      <c r="T408" s="181">
        <v>28.194000000000003</v>
      </c>
      <c r="U408" s="181">
        <v>189801.53007359998</v>
      </c>
      <c r="V408" s="181">
        <v>335669833.17512</v>
      </c>
    </row>
    <row r="409" spans="1:22">
      <c r="A409" s="2" t="s">
        <v>836</v>
      </c>
      <c r="B409" s="2" t="s">
        <v>837</v>
      </c>
      <c r="C409" s="181">
        <v>23.512927999999999</v>
      </c>
      <c r="D409" s="181">
        <v>2987.0907999999999</v>
      </c>
      <c r="E409" s="181">
        <v>177.79999999999998</v>
      </c>
      <c r="F409" s="181">
        <v>0</v>
      </c>
      <c r="G409" s="181">
        <v>0</v>
      </c>
      <c r="H409" s="181">
        <v>0</v>
      </c>
      <c r="I409" s="181">
        <v>11.112499999999999</v>
      </c>
      <c r="J409" s="181">
        <v>23.8125</v>
      </c>
      <c r="K409" s="181">
        <v>0</v>
      </c>
      <c r="L409" s="181">
        <v>0</v>
      </c>
      <c r="M409" s="181">
        <v>9823061.6441599987</v>
      </c>
      <c r="N409" s="181">
        <v>147975.18791999997</v>
      </c>
      <c r="O409" s="181">
        <v>83737.897039999996</v>
      </c>
      <c r="P409" s="181">
        <v>57.403999999999989</v>
      </c>
      <c r="Q409" s="181">
        <v>2409979.9542239998</v>
      </c>
      <c r="R409" s="181">
        <v>54241.181839999997</v>
      </c>
      <c r="S409" s="181">
        <v>30479.939039999997</v>
      </c>
      <c r="T409" s="181">
        <v>28.448</v>
      </c>
      <c r="U409" s="181">
        <v>129031.74193599999</v>
      </c>
      <c r="V409" s="181">
        <v>228524022.42562169</v>
      </c>
    </row>
    <row r="410" spans="1:22">
      <c r="A410" s="2" t="s">
        <v>838</v>
      </c>
      <c r="B410" s="2" t="s">
        <v>839</v>
      </c>
      <c r="C410" s="181">
        <v>20.238975999999997</v>
      </c>
      <c r="D410" s="181">
        <v>2580.64</v>
      </c>
      <c r="E410" s="181">
        <v>177.79999999999998</v>
      </c>
      <c r="F410" s="181">
        <v>0</v>
      </c>
      <c r="G410" s="181">
        <v>0</v>
      </c>
      <c r="H410" s="181">
        <v>0</v>
      </c>
      <c r="I410" s="181">
        <v>9.5249999999999986</v>
      </c>
      <c r="J410" s="181">
        <v>22.224999999999998</v>
      </c>
      <c r="K410" s="181">
        <v>0</v>
      </c>
      <c r="L410" s="181">
        <v>0</v>
      </c>
      <c r="M410" s="181">
        <v>8532744.2248</v>
      </c>
      <c r="N410" s="181">
        <v>127982.96983999998</v>
      </c>
      <c r="O410" s="181">
        <v>72430.822879999992</v>
      </c>
      <c r="P410" s="181">
        <v>57.657999999999994</v>
      </c>
      <c r="Q410" s="181">
        <v>2106131.0135359997</v>
      </c>
      <c r="R410" s="181">
        <v>46539.261759999994</v>
      </c>
      <c r="S410" s="181">
        <v>26383.173039999998</v>
      </c>
      <c r="T410" s="181">
        <v>28.448</v>
      </c>
      <c r="U410" s="181">
        <v>82413.822268799995</v>
      </c>
      <c r="V410" s="181">
        <v>146083511.39781222</v>
      </c>
    </row>
    <row r="411" spans="1:22">
      <c r="A411" s="2" t="s">
        <v>840</v>
      </c>
      <c r="B411" s="2" t="s">
        <v>841</v>
      </c>
      <c r="C411" s="181">
        <v>55.805999999999997</v>
      </c>
      <c r="D411" s="181">
        <v>7096.7599999999993</v>
      </c>
      <c r="E411" s="181">
        <v>152.39999999999998</v>
      </c>
      <c r="F411" s="181">
        <v>0</v>
      </c>
      <c r="G411" s="181">
        <v>0</v>
      </c>
      <c r="H411" s="181">
        <v>0</v>
      </c>
      <c r="I411" s="181">
        <v>25.4</v>
      </c>
      <c r="J411" s="181">
        <v>38.099999999999994</v>
      </c>
      <c r="K411" s="181">
        <v>0</v>
      </c>
      <c r="L411" s="181">
        <v>0</v>
      </c>
      <c r="M411" s="181">
        <v>14734592.466239998</v>
      </c>
      <c r="N411" s="181">
        <v>252360.78559999997</v>
      </c>
      <c r="O411" s="181">
        <v>140109.39720000001</v>
      </c>
      <c r="P411" s="181">
        <v>45.466000000000001</v>
      </c>
      <c r="Q411" s="181">
        <v>14734592.466239998</v>
      </c>
      <c r="R411" s="181">
        <v>252360.78559999997</v>
      </c>
      <c r="S411" s="181">
        <v>140109.39720000001</v>
      </c>
      <c r="T411" s="181">
        <v>45.466000000000001</v>
      </c>
      <c r="U411" s="181">
        <v>1531731.6462079999</v>
      </c>
      <c r="V411" s="181">
        <v>2481271406.8304868</v>
      </c>
    </row>
    <row r="412" spans="1:22">
      <c r="A412" s="2" t="s">
        <v>842</v>
      </c>
      <c r="B412" s="2" t="s">
        <v>843</v>
      </c>
      <c r="C412" s="181">
        <v>49.406911999999998</v>
      </c>
      <c r="D412" s="181">
        <v>6290.3099999999995</v>
      </c>
      <c r="E412" s="181">
        <v>152.39999999999998</v>
      </c>
      <c r="F412" s="181">
        <v>0</v>
      </c>
      <c r="G412" s="181">
        <v>0</v>
      </c>
      <c r="H412" s="181">
        <v>0</v>
      </c>
      <c r="I412" s="181">
        <v>22.224999999999998</v>
      </c>
      <c r="J412" s="181">
        <v>34.924999999999997</v>
      </c>
      <c r="K412" s="181">
        <v>0</v>
      </c>
      <c r="L412" s="181">
        <v>0</v>
      </c>
      <c r="M412" s="181">
        <v>13277782.476639997</v>
      </c>
      <c r="N412" s="181">
        <v>224502.77679999996</v>
      </c>
      <c r="O412" s="181">
        <v>124705.55704</v>
      </c>
      <c r="P412" s="181">
        <v>45.973999999999997</v>
      </c>
      <c r="Q412" s="181">
        <v>13277782.476639997</v>
      </c>
      <c r="R412" s="181">
        <v>224502.77679999996</v>
      </c>
      <c r="S412" s="181">
        <v>124705.55704</v>
      </c>
      <c r="T412" s="181">
        <v>45.973999999999997</v>
      </c>
      <c r="U412" s="181">
        <v>1044740.8782559998</v>
      </c>
      <c r="V412" s="181">
        <v>1721314904.5220153</v>
      </c>
    </row>
    <row r="413" spans="1:22">
      <c r="A413" s="2" t="s">
        <v>844</v>
      </c>
      <c r="B413" s="2" t="s">
        <v>845</v>
      </c>
      <c r="C413" s="181">
        <v>42.859007999999996</v>
      </c>
      <c r="D413" s="181">
        <v>5458.0536000000002</v>
      </c>
      <c r="E413" s="181">
        <v>152.39999999999998</v>
      </c>
      <c r="F413" s="181">
        <v>0</v>
      </c>
      <c r="G413" s="181">
        <v>0</v>
      </c>
      <c r="H413" s="181">
        <v>0</v>
      </c>
      <c r="I413" s="181">
        <v>19.049999999999997</v>
      </c>
      <c r="J413" s="181">
        <v>31.75</v>
      </c>
      <c r="K413" s="181">
        <v>0</v>
      </c>
      <c r="L413" s="181">
        <v>0</v>
      </c>
      <c r="M413" s="181">
        <v>11696103.059359999</v>
      </c>
      <c r="N413" s="181">
        <v>195006.06159999999</v>
      </c>
      <c r="O413" s="181">
        <v>108810.10495999998</v>
      </c>
      <c r="P413" s="181">
        <v>46.228000000000002</v>
      </c>
      <c r="Q413" s="181">
        <v>11696103.059359999</v>
      </c>
      <c r="R413" s="181">
        <v>195006.06159999999</v>
      </c>
      <c r="S413" s="181">
        <v>108810.10495999998</v>
      </c>
      <c r="T413" s="181">
        <v>46.228000000000002</v>
      </c>
      <c r="U413" s="181">
        <v>670132.59521599999</v>
      </c>
      <c r="V413" s="181">
        <v>1119794563.4722002</v>
      </c>
    </row>
    <row r="414" spans="1:22">
      <c r="A414" s="2" t="s">
        <v>846</v>
      </c>
      <c r="B414" s="2" t="s">
        <v>847</v>
      </c>
      <c r="C414" s="181">
        <v>36.162287999999997</v>
      </c>
      <c r="D414" s="181">
        <v>4599.9907999999996</v>
      </c>
      <c r="E414" s="181">
        <v>152.39999999999998</v>
      </c>
      <c r="F414" s="181">
        <v>0</v>
      </c>
      <c r="G414" s="181">
        <v>0</v>
      </c>
      <c r="H414" s="181">
        <v>0</v>
      </c>
      <c r="I414" s="181">
        <v>15.875</v>
      </c>
      <c r="J414" s="181">
        <v>28.574999999999999</v>
      </c>
      <c r="K414" s="181">
        <v>0</v>
      </c>
      <c r="L414" s="181">
        <v>0</v>
      </c>
      <c r="M414" s="181">
        <v>10031177.35696</v>
      </c>
      <c r="N414" s="181">
        <v>165509.34639999998</v>
      </c>
      <c r="O414" s="181">
        <v>92423.040959999984</v>
      </c>
      <c r="P414" s="181">
        <v>46.735999999999997</v>
      </c>
      <c r="Q414" s="181">
        <v>10031177.35696</v>
      </c>
      <c r="R414" s="181">
        <v>165509.34639999998</v>
      </c>
      <c r="S414" s="181">
        <v>92423.040959999984</v>
      </c>
      <c r="T414" s="181">
        <v>46.735999999999997</v>
      </c>
      <c r="U414" s="181">
        <v>397501.01144799992</v>
      </c>
      <c r="V414" s="181">
        <v>671339666.35023999</v>
      </c>
    </row>
    <row r="415" spans="1:22">
      <c r="A415" s="2" t="s">
        <v>848</v>
      </c>
      <c r="B415" s="2" t="s">
        <v>849</v>
      </c>
      <c r="C415" s="181">
        <v>32.739519999999999</v>
      </c>
      <c r="D415" s="181">
        <v>4161.2820000000002</v>
      </c>
      <c r="E415" s="181">
        <v>152.39999999999998</v>
      </c>
      <c r="F415" s="181">
        <v>0</v>
      </c>
      <c r="G415" s="181">
        <v>0</v>
      </c>
      <c r="H415" s="181">
        <v>0</v>
      </c>
      <c r="I415" s="181">
        <v>14.2875</v>
      </c>
      <c r="J415" s="181">
        <v>26.987499999999997</v>
      </c>
      <c r="K415" s="181">
        <v>0</v>
      </c>
      <c r="L415" s="181">
        <v>0</v>
      </c>
      <c r="M415" s="181">
        <v>9157091.3631999996</v>
      </c>
      <c r="N415" s="181">
        <v>150433.24751999998</v>
      </c>
      <c r="O415" s="181">
        <v>83901.76767999999</v>
      </c>
      <c r="P415" s="181">
        <v>46.99</v>
      </c>
      <c r="Q415" s="181">
        <v>9157091.3631999996</v>
      </c>
      <c r="R415" s="181">
        <v>150269.37688</v>
      </c>
      <c r="S415" s="181">
        <v>83901.76767999999</v>
      </c>
      <c r="T415" s="181">
        <v>46.99</v>
      </c>
      <c r="U415" s="181">
        <v>293026.92362239998</v>
      </c>
      <c r="V415" s="181">
        <v>496791353.0991776</v>
      </c>
    </row>
    <row r="416" spans="1:22">
      <c r="A416" s="2" t="s">
        <v>850</v>
      </c>
      <c r="B416" s="2" t="s">
        <v>851</v>
      </c>
      <c r="C416" s="181">
        <v>29.167936000000001</v>
      </c>
      <c r="D416" s="181">
        <v>3722.5731999999994</v>
      </c>
      <c r="E416" s="181">
        <v>152.39999999999998</v>
      </c>
      <c r="F416" s="181">
        <v>0</v>
      </c>
      <c r="G416" s="181">
        <v>0</v>
      </c>
      <c r="H416" s="181">
        <v>0</v>
      </c>
      <c r="I416" s="181">
        <v>12.7</v>
      </c>
      <c r="J416" s="181">
        <v>25.4</v>
      </c>
      <c r="K416" s="181">
        <v>0</v>
      </c>
      <c r="L416" s="181">
        <v>0</v>
      </c>
      <c r="M416" s="181">
        <v>8283005.3694399986</v>
      </c>
      <c r="N416" s="181">
        <v>134701.66608</v>
      </c>
      <c r="O416" s="181">
        <v>75216.623759999988</v>
      </c>
      <c r="P416" s="181">
        <v>47.244</v>
      </c>
      <c r="Q416" s="181">
        <v>8283005.3694399986</v>
      </c>
      <c r="R416" s="181">
        <v>134701.66608</v>
      </c>
      <c r="S416" s="181">
        <v>75216.623759999988</v>
      </c>
      <c r="T416" s="181">
        <v>47.244</v>
      </c>
      <c r="U416" s="181">
        <v>208531.94422559999</v>
      </c>
      <c r="V416" s="181">
        <v>354467343.83292669</v>
      </c>
    </row>
    <row r="417" spans="1:22">
      <c r="A417" s="2" t="s">
        <v>852</v>
      </c>
      <c r="B417" s="2" t="s">
        <v>853</v>
      </c>
      <c r="C417" s="181">
        <v>25.745168</v>
      </c>
      <c r="D417" s="181">
        <v>3277.4128000000001</v>
      </c>
      <c r="E417" s="181">
        <v>152.39999999999998</v>
      </c>
      <c r="F417" s="181">
        <v>0</v>
      </c>
      <c r="G417" s="181">
        <v>0</v>
      </c>
      <c r="H417" s="181">
        <v>0</v>
      </c>
      <c r="I417" s="181">
        <v>11.112499999999999</v>
      </c>
      <c r="J417" s="181">
        <v>23.8125</v>
      </c>
      <c r="K417" s="181">
        <v>0</v>
      </c>
      <c r="L417" s="181">
        <v>0</v>
      </c>
      <c r="M417" s="181">
        <v>7325673.0905599995</v>
      </c>
      <c r="N417" s="181">
        <v>118806.21399999999</v>
      </c>
      <c r="O417" s="181">
        <v>66531.479839999985</v>
      </c>
      <c r="P417" s="181">
        <v>47.244</v>
      </c>
      <c r="Q417" s="181">
        <v>7325673.0905599995</v>
      </c>
      <c r="R417" s="181">
        <v>118806.21399999999</v>
      </c>
      <c r="S417" s="181">
        <v>66531.479839999985</v>
      </c>
      <c r="T417" s="181">
        <v>47.244</v>
      </c>
      <c r="U417" s="181">
        <v>141518.68470399998</v>
      </c>
      <c r="V417" s="181">
        <v>241413744.0195463</v>
      </c>
    </row>
    <row r="418" spans="1:22">
      <c r="A418" s="2" t="s">
        <v>854</v>
      </c>
      <c r="B418" s="2" t="s">
        <v>855</v>
      </c>
      <c r="C418" s="181">
        <v>22.173583999999998</v>
      </c>
      <c r="D418" s="181">
        <v>2825.8008</v>
      </c>
      <c r="E418" s="181">
        <v>152.39999999999998</v>
      </c>
      <c r="F418" s="181">
        <v>0</v>
      </c>
      <c r="G418" s="181">
        <v>0</v>
      </c>
      <c r="H418" s="181">
        <v>0</v>
      </c>
      <c r="I418" s="181">
        <v>9.5249999999999986</v>
      </c>
      <c r="J418" s="181">
        <v>22.224999999999998</v>
      </c>
      <c r="K418" s="181">
        <v>0</v>
      </c>
      <c r="L418" s="181">
        <v>0</v>
      </c>
      <c r="M418" s="181">
        <v>6409963.9542399999</v>
      </c>
      <c r="N418" s="181">
        <v>102746.89127999998</v>
      </c>
      <c r="O418" s="181">
        <v>57518.594639999988</v>
      </c>
      <c r="P418" s="181">
        <v>47.497999999999998</v>
      </c>
      <c r="Q418" s="181">
        <v>6409963.9542399999</v>
      </c>
      <c r="R418" s="181">
        <v>102583.02063999999</v>
      </c>
      <c r="S418" s="181">
        <v>57518.594639999988</v>
      </c>
      <c r="T418" s="181">
        <v>47.497999999999998</v>
      </c>
      <c r="U418" s="181">
        <v>90738.450780799991</v>
      </c>
      <c r="V418" s="181">
        <v>154408123.26055518</v>
      </c>
    </row>
    <row r="419" spans="1:22">
      <c r="A419" s="2" t="s">
        <v>856</v>
      </c>
      <c r="B419" s="2" t="s">
        <v>857</v>
      </c>
      <c r="C419" s="181">
        <v>18.602</v>
      </c>
      <c r="D419" s="181">
        <v>2367.7372</v>
      </c>
      <c r="E419" s="181">
        <v>152.39999999999998</v>
      </c>
      <c r="F419" s="181">
        <v>0</v>
      </c>
      <c r="G419" s="181">
        <v>0</v>
      </c>
      <c r="H419" s="181">
        <v>0</v>
      </c>
      <c r="I419" s="181">
        <v>7.9375</v>
      </c>
      <c r="J419" s="181">
        <v>20.637499999999999</v>
      </c>
      <c r="K419" s="181">
        <v>0</v>
      </c>
      <c r="L419" s="181">
        <v>0</v>
      </c>
      <c r="M419" s="181">
        <v>5411008.5327999992</v>
      </c>
      <c r="N419" s="181">
        <v>86195.956639999989</v>
      </c>
      <c r="O419" s="181">
        <v>48341.838799999998</v>
      </c>
      <c r="P419" s="181">
        <v>47.751999999999995</v>
      </c>
      <c r="Q419" s="181">
        <v>5411008.5327999992</v>
      </c>
      <c r="R419" s="181">
        <v>86195.956639999989</v>
      </c>
      <c r="S419" s="181">
        <v>48341.838799999998</v>
      </c>
      <c r="T419" s="181">
        <v>47.751999999999995</v>
      </c>
      <c r="U419" s="181">
        <v>53693.853902399998</v>
      </c>
      <c r="V419" s="181">
        <v>90765122.890552446</v>
      </c>
    </row>
    <row r="420" spans="1:22">
      <c r="A420" s="2" t="s">
        <v>858</v>
      </c>
      <c r="B420" s="2" t="s">
        <v>859</v>
      </c>
      <c r="C420" s="181">
        <v>40.477951999999995</v>
      </c>
      <c r="D420" s="181">
        <v>5148.3768</v>
      </c>
      <c r="E420" s="181">
        <v>152.39999999999998</v>
      </c>
      <c r="F420" s="181">
        <v>0</v>
      </c>
      <c r="G420" s="181">
        <v>0</v>
      </c>
      <c r="H420" s="181">
        <v>0</v>
      </c>
      <c r="I420" s="181">
        <v>22.224999999999998</v>
      </c>
      <c r="J420" s="181">
        <v>34.924999999999997</v>
      </c>
      <c r="K420" s="181">
        <v>0</v>
      </c>
      <c r="L420" s="181">
        <v>0</v>
      </c>
      <c r="M420" s="181">
        <v>11529610.489119999</v>
      </c>
      <c r="N420" s="181">
        <v>208115.71279999998</v>
      </c>
      <c r="O420" s="181">
        <v>116839.76631999998</v>
      </c>
      <c r="P420" s="181">
        <v>47.244</v>
      </c>
      <c r="Q420" s="181">
        <v>4037444.8283199994</v>
      </c>
      <c r="R420" s="181">
        <v>102583.02063999999</v>
      </c>
      <c r="S420" s="181">
        <v>55224.405679999996</v>
      </c>
      <c r="T420" s="181">
        <v>27.94</v>
      </c>
      <c r="U420" s="181">
        <v>844949.79396799987</v>
      </c>
      <c r="V420" s="181">
        <v>1084884900.8219879</v>
      </c>
    </row>
    <row r="421" spans="1:22">
      <c r="A421" s="2" t="s">
        <v>860</v>
      </c>
      <c r="B421" s="2" t="s">
        <v>861</v>
      </c>
      <c r="C421" s="181">
        <v>35.120576</v>
      </c>
      <c r="D421" s="181">
        <v>4477.4103999999998</v>
      </c>
      <c r="E421" s="181">
        <v>152.39999999999998</v>
      </c>
      <c r="F421" s="181">
        <v>0</v>
      </c>
      <c r="G421" s="181">
        <v>0</v>
      </c>
      <c r="H421" s="181">
        <v>0</v>
      </c>
      <c r="I421" s="181">
        <v>19.049999999999997</v>
      </c>
      <c r="J421" s="181">
        <v>31.75</v>
      </c>
      <c r="K421" s="181">
        <v>0</v>
      </c>
      <c r="L421" s="181">
        <v>0</v>
      </c>
      <c r="M421" s="181">
        <v>10197669.927199999</v>
      </c>
      <c r="N421" s="181">
        <v>181896.41039999996</v>
      </c>
      <c r="O421" s="181">
        <v>102091.40871999999</v>
      </c>
      <c r="P421" s="181">
        <v>47.751999999999995</v>
      </c>
      <c r="Q421" s="181">
        <v>3592077.2029280001</v>
      </c>
      <c r="R421" s="181">
        <v>88817.886879999991</v>
      </c>
      <c r="S421" s="181">
        <v>48341.838799999998</v>
      </c>
      <c r="T421" s="181">
        <v>28.448</v>
      </c>
      <c r="U421" s="181">
        <v>545263.16753600002</v>
      </c>
      <c r="V421" s="181">
        <v>708934687.66585338</v>
      </c>
    </row>
    <row r="422" spans="1:22">
      <c r="A422" s="2" t="s">
        <v>862</v>
      </c>
      <c r="B422" s="2" t="s">
        <v>863</v>
      </c>
      <c r="C422" s="181">
        <v>29.614383999999998</v>
      </c>
      <c r="D422" s="181">
        <v>3780.6376</v>
      </c>
      <c r="E422" s="181">
        <v>152.39999999999998</v>
      </c>
      <c r="F422" s="181">
        <v>0</v>
      </c>
      <c r="G422" s="181">
        <v>0</v>
      </c>
      <c r="H422" s="181">
        <v>0</v>
      </c>
      <c r="I422" s="181">
        <v>15.875</v>
      </c>
      <c r="J422" s="181">
        <v>28.574999999999999</v>
      </c>
      <c r="K422" s="181">
        <v>0</v>
      </c>
      <c r="L422" s="181">
        <v>0</v>
      </c>
      <c r="M422" s="181">
        <v>8740859.9375999998</v>
      </c>
      <c r="N422" s="181">
        <v>154693.88415999999</v>
      </c>
      <c r="O422" s="181">
        <v>86687.56856</v>
      </c>
      <c r="P422" s="181">
        <v>48.005999999999993</v>
      </c>
      <c r="Q422" s="181">
        <v>3113411.0634880001</v>
      </c>
      <c r="R422" s="181">
        <v>74725.011839999992</v>
      </c>
      <c r="S422" s="181">
        <v>41295.401279999998</v>
      </c>
      <c r="T422" s="181">
        <v>28.701999999999995</v>
      </c>
      <c r="U422" s="181">
        <v>322579.35483999999</v>
      </c>
      <c r="V422" s="181">
        <v>426972027.79875267</v>
      </c>
    </row>
    <row r="423" spans="1:22">
      <c r="A423" s="2" t="s">
        <v>864</v>
      </c>
      <c r="B423" s="2" t="s">
        <v>865</v>
      </c>
      <c r="C423" s="181">
        <v>26.935696</v>
      </c>
      <c r="D423" s="181">
        <v>3425.7995999999994</v>
      </c>
      <c r="E423" s="181">
        <v>152.39999999999998</v>
      </c>
      <c r="F423" s="181">
        <v>0</v>
      </c>
      <c r="G423" s="181">
        <v>0</v>
      </c>
      <c r="H423" s="181">
        <v>0</v>
      </c>
      <c r="I423" s="181">
        <v>14.2875</v>
      </c>
      <c r="J423" s="181">
        <v>26.987499999999997</v>
      </c>
      <c r="K423" s="181">
        <v>0</v>
      </c>
      <c r="L423" s="181">
        <v>0</v>
      </c>
      <c r="M423" s="181">
        <v>7991643.3715199986</v>
      </c>
      <c r="N423" s="181">
        <v>140764.87975999998</v>
      </c>
      <c r="O423" s="181">
        <v>78821.777839999981</v>
      </c>
      <c r="P423" s="181">
        <v>48.26</v>
      </c>
      <c r="Q423" s="181">
        <v>2855347.5796159999</v>
      </c>
      <c r="R423" s="181">
        <v>67678.574319999985</v>
      </c>
      <c r="S423" s="181">
        <v>37526.376559999997</v>
      </c>
      <c r="T423" s="181">
        <v>28.955999999999996</v>
      </c>
      <c r="U423" s="181">
        <v>238084.37544319997</v>
      </c>
      <c r="V423" s="181">
        <v>316872322.51731324</v>
      </c>
    </row>
    <row r="424" spans="1:22">
      <c r="A424" s="2" t="s">
        <v>866</v>
      </c>
      <c r="B424" s="2" t="s">
        <v>867</v>
      </c>
      <c r="C424" s="181">
        <v>24.108191999999999</v>
      </c>
      <c r="D424" s="181">
        <v>3064.5099999999998</v>
      </c>
      <c r="E424" s="181">
        <v>152.39999999999998</v>
      </c>
      <c r="F424" s="181">
        <v>0</v>
      </c>
      <c r="G424" s="181">
        <v>0</v>
      </c>
      <c r="H424" s="181">
        <v>0</v>
      </c>
      <c r="I424" s="181">
        <v>12.7</v>
      </c>
      <c r="J424" s="181">
        <v>25.4</v>
      </c>
      <c r="K424" s="181">
        <v>0</v>
      </c>
      <c r="L424" s="181">
        <v>0</v>
      </c>
      <c r="M424" s="181">
        <v>7200803.6628799997</v>
      </c>
      <c r="N424" s="181">
        <v>126344.26343999998</v>
      </c>
      <c r="O424" s="181">
        <v>70628.245839999989</v>
      </c>
      <c r="P424" s="181">
        <v>48.513999999999996</v>
      </c>
      <c r="Q424" s="181">
        <v>2588959.4672319996</v>
      </c>
      <c r="R424" s="181">
        <v>60468.266159999992</v>
      </c>
      <c r="S424" s="181">
        <v>33757.351839999996</v>
      </c>
      <c r="T424" s="181">
        <v>28.955999999999996</v>
      </c>
      <c r="U424" s="181">
        <v>169406.19021919998</v>
      </c>
      <c r="V424" s="181">
        <v>226375735.49330091</v>
      </c>
    </row>
    <row r="425" spans="1:22">
      <c r="A425" s="2" t="s">
        <v>868</v>
      </c>
      <c r="B425" s="2" t="s">
        <v>869</v>
      </c>
      <c r="C425" s="181">
        <v>21.131871999999998</v>
      </c>
      <c r="D425" s="181">
        <v>2696.7687999999998</v>
      </c>
      <c r="E425" s="181">
        <v>152.39999999999998</v>
      </c>
      <c r="F425" s="181">
        <v>0</v>
      </c>
      <c r="G425" s="181">
        <v>0</v>
      </c>
      <c r="H425" s="181">
        <v>0</v>
      </c>
      <c r="I425" s="181">
        <v>11.112499999999999</v>
      </c>
      <c r="J425" s="181">
        <v>23.8125</v>
      </c>
      <c r="K425" s="181">
        <v>0</v>
      </c>
      <c r="L425" s="181">
        <v>0</v>
      </c>
      <c r="M425" s="181">
        <v>6409963.9542399999</v>
      </c>
      <c r="N425" s="181">
        <v>111595.90583999998</v>
      </c>
      <c r="O425" s="181">
        <v>62434.713839999997</v>
      </c>
      <c r="P425" s="181">
        <v>48.767999999999994</v>
      </c>
      <c r="Q425" s="181">
        <v>2314246.7263359996</v>
      </c>
      <c r="R425" s="181">
        <v>53094.087359999998</v>
      </c>
      <c r="S425" s="181">
        <v>29988.327119999998</v>
      </c>
      <c r="T425" s="181">
        <v>29.209999999999997</v>
      </c>
      <c r="U425" s="181">
        <v>114879.8734656</v>
      </c>
      <c r="V425" s="181">
        <v>154408123.26055518</v>
      </c>
    </row>
    <row r="426" spans="1:22">
      <c r="A426" s="2" t="s">
        <v>870</v>
      </c>
      <c r="B426" s="2" t="s">
        <v>871</v>
      </c>
      <c r="C426" s="181">
        <v>18.304368</v>
      </c>
      <c r="D426" s="181">
        <v>2329.0275999999999</v>
      </c>
      <c r="E426" s="181">
        <v>152.39999999999998</v>
      </c>
      <c r="F426" s="181">
        <v>0</v>
      </c>
      <c r="G426" s="181">
        <v>0</v>
      </c>
      <c r="H426" s="181">
        <v>0</v>
      </c>
      <c r="I426" s="181">
        <v>9.5249999999999986</v>
      </c>
      <c r="J426" s="181">
        <v>22.224999999999998</v>
      </c>
      <c r="K426" s="181">
        <v>0</v>
      </c>
      <c r="L426" s="181">
        <v>0</v>
      </c>
      <c r="M426" s="181">
        <v>5577501.1030399995</v>
      </c>
      <c r="N426" s="181">
        <v>96519.806959999987</v>
      </c>
      <c r="O426" s="181">
        <v>54077.311199999989</v>
      </c>
      <c r="P426" s="181">
        <v>49.021999999999998</v>
      </c>
      <c r="Q426" s="181">
        <v>2022884.728416</v>
      </c>
      <c r="R426" s="181">
        <v>45719.908559999996</v>
      </c>
      <c r="S426" s="181">
        <v>25891.561119999998</v>
      </c>
      <c r="T426" s="181">
        <v>29.463999999999995</v>
      </c>
      <c r="U426" s="181">
        <v>73672.962331199989</v>
      </c>
      <c r="V426" s="181">
        <v>99089734.753295422</v>
      </c>
    </row>
    <row r="427" spans="1:22">
      <c r="A427" s="2" t="s">
        <v>872</v>
      </c>
      <c r="B427" s="2" t="s">
        <v>873</v>
      </c>
      <c r="C427" s="181">
        <v>15.328048000000001</v>
      </c>
      <c r="D427" s="181">
        <v>1954.8347999999999</v>
      </c>
      <c r="E427" s="181">
        <v>152.39999999999998</v>
      </c>
      <c r="F427" s="181">
        <v>0</v>
      </c>
      <c r="G427" s="181">
        <v>0</v>
      </c>
      <c r="H427" s="181">
        <v>0</v>
      </c>
      <c r="I427" s="181">
        <v>7.9375</v>
      </c>
      <c r="J427" s="181">
        <v>20.637499999999999</v>
      </c>
      <c r="K427" s="181">
        <v>0</v>
      </c>
      <c r="L427" s="181">
        <v>0</v>
      </c>
      <c r="M427" s="181">
        <v>4745038.25184</v>
      </c>
      <c r="N427" s="181">
        <v>81279.837439999988</v>
      </c>
      <c r="O427" s="181">
        <v>45392.167279999994</v>
      </c>
      <c r="P427" s="181">
        <v>49.275999999999996</v>
      </c>
      <c r="Q427" s="181">
        <v>1719035.7877279997</v>
      </c>
      <c r="R427" s="181">
        <v>38181.859120000001</v>
      </c>
      <c r="S427" s="181">
        <v>21958.66576</v>
      </c>
      <c r="T427" s="181">
        <v>29.717999999999996</v>
      </c>
      <c r="U427" s="181">
        <v>43288.068262399996</v>
      </c>
      <c r="V427" s="181">
        <v>58272283.039200827</v>
      </c>
    </row>
    <row r="428" spans="1:22">
      <c r="A428" s="2" t="s">
        <v>874</v>
      </c>
      <c r="B428" s="2" t="s">
        <v>875</v>
      </c>
      <c r="C428" s="181">
        <v>22.917663999999998</v>
      </c>
      <c r="D428" s="181">
        <v>2916.1231999999995</v>
      </c>
      <c r="E428" s="181">
        <v>152.39999999999998</v>
      </c>
      <c r="F428" s="181">
        <v>0</v>
      </c>
      <c r="G428" s="181">
        <v>0</v>
      </c>
      <c r="H428" s="181">
        <v>0</v>
      </c>
      <c r="I428" s="181">
        <v>12.7</v>
      </c>
      <c r="J428" s="181">
        <v>25.4</v>
      </c>
      <c r="K428" s="181">
        <v>0</v>
      </c>
      <c r="L428" s="181">
        <v>0</v>
      </c>
      <c r="M428" s="181">
        <v>6909441.6649599997</v>
      </c>
      <c r="N428" s="181">
        <v>122739.10935999999</v>
      </c>
      <c r="O428" s="181">
        <v>69317.280719999995</v>
      </c>
      <c r="P428" s="181">
        <v>48.767999999999994</v>
      </c>
      <c r="Q428" s="181">
        <v>1764821.2445439999</v>
      </c>
      <c r="R428" s="181">
        <v>47194.744319999991</v>
      </c>
      <c r="S428" s="181">
        <v>26055.431759999999</v>
      </c>
      <c r="T428" s="181">
        <v>24.587199999999999</v>
      </c>
      <c r="U428" s="181">
        <v>160665.33028159998</v>
      </c>
      <c r="V428" s="181">
        <v>209189440.03473479</v>
      </c>
    </row>
    <row r="429" spans="1:22">
      <c r="A429" s="2" t="s">
        <v>876</v>
      </c>
      <c r="B429" s="2" t="s">
        <v>877</v>
      </c>
      <c r="C429" s="181">
        <v>17.411472</v>
      </c>
      <c r="D429" s="181">
        <v>2219.3503999999998</v>
      </c>
      <c r="E429" s="181">
        <v>152.39999999999998</v>
      </c>
      <c r="F429" s="181">
        <v>0</v>
      </c>
      <c r="G429" s="181">
        <v>0</v>
      </c>
      <c r="H429" s="181">
        <v>0</v>
      </c>
      <c r="I429" s="181">
        <v>9.5249999999999986</v>
      </c>
      <c r="J429" s="181">
        <v>22.224999999999998</v>
      </c>
      <c r="K429" s="181">
        <v>0</v>
      </c>
      <c r="L429" s="181">
        <v>0</v>
      </c>
      <c r="M429" s="181">
        <v>5369385.3902399996</v>
      </c>
      <c r="N429" s="181">
        <v>94061.747359999994</v>
      </c>
      <c r="O429" s="181">
        <v>52930.216719999997</v>
      </c>
      <c r="P429" s="181">
        <v>49.021999999999998</v>
      </c>
      <c r="Q429" s="181">
        <v>1386050.6472479999</v>
      </c>
      <c r="R429" s="181">
        <v>35723.79952</v>
      </c>
      <c r="S429" s="181">
        <v>19992.218079999999</v>
      </c>
      <c r="T429" s="181">
        <v>24.993599999999997</v>
      </c>
      <c r="U429" s="181">
        <v>69926.879500800002</v>
      </c>
      <c r="V429" s="181">
        <v>91570730.490172744</v>
      </c>
    </row>
    <row r="430" spans="1:22">
      <c r="A430" s="2" t="s">
        <v>878</v>
      </c>
      <c r="B430" s="2" t="s">
        <v>879</v>
      </c>
      <c r="C430" s="181">
        <v>14.628612799999999</v>
      </c>
      <c r="D430" s="181">
        <v>1864.5124000000001</v>
      </c>
      <c r="E430" s="181">
        <v>152.39999999999998</v>
      </c>
      <c r="F430" s="181">
        <v>0</v>
      </c>
      <c r="G430" s="181">
        <v>0</v>
      </c>
      <c r="H430" s="181">
        <v>0</v>
      </c>
      <c r="I430" s="181">
        <v>7.9375</v>
      </c>
      <c r="J430" s="181">
        <v>20.637499999999999</v>
      </c>
      <c r="K430" s="181">
        <v>0</v>
      </c>
      <c r="L430" s="181">
        <v>0</v>
      </c>
      <c r="M430" s="181">
        <v>4536922.5390399992</v>
      </c>
      <c r="N430" s="181">
        <v>79313.389759999991</v>
      </c>
      <c r="O430" s="181">
        <v>44572.814079999996</v>
      </c>
      <c r="P430" s="181">
        <v>49.275999999999996</v>
      </c>
      <c r="Q430" s="181">
        <v>1182097.2487039999</v>
      </c>
      <c r="R430" s="181">
        <v>29824.456479999997</v>
      </c>
      <c r="S430" s="181">
        <v>16878.675919999998</v>
      </c>
      <c r="T430" s="181">
        <v>25.171399999999998</v>
      </c>
      <c r="U430" s="181">
        <v>41206.911134399998</v>
      </c>
      <c r="V430" s="181">
        <v>53975709.174559295</v>
      </c>
    </row>
    <row r="431" spans="1:22">
      <c r="A431" s="2" t="s">
        <v>880</v>
      </c>
      <c r="B431" s="2" t="s">
        <v>881</v>
      </c>
      <c r="C431" s="181">
        <v>40.626767999999998</v>
      </c>
      <c r="D431" s="181">
        <v>5174.1831999999995</v>
      </c>
      <c r="E431" s="181">
        <v>127</v>
      </c>
      <c r="F431" s="181">
        <v>0</v>
      </c>
      <c r="G431" s="181">
        <v>0</v>
      </c>
      <c r="H431" s="181">
        <v>0</v>
      </c>
      <c r="I431" s="181">
        <v>22.224999999999998</v>
      </c>
      <c r="J431" s="181">
        <v>34.924999999999997</v>
      </c>
      <c r="K431" s="181">
        <v>0</v>
      </c>
      <c r="L431" s="181">
        <v>0</v>
      </c>
      <c r="M431" s="181">
        <v>7408919.3756799996</v>
      </c>
      <c r="N431" s="181">
        <v>152563.56584</v>
      </c>
      <c r="O431" s="181">
        <v>84557.250239999994</v>
      </c>
      <c r="P431" s="181">
        <v>37.845999999999997</v>
      </c>
      <c r="Q431" s="181">
        <v>7408919.3756799996</v>
      </c>
      <c r="R431" s="181">
        <v>152399.69519999999</v>
      </c>
      <c r="S431" s="181">
        <v>84557.250239999994</v>
      </c>
      <c r="T431" s="181">
        <v>37.845999999999997</v>
      </c>
      <c r="U431" s="181">
        <v>861599.0509919998</v>
      </c>
      <c r="V431" s="181">
        <v>947931608.88653874</v>
      </c>
    </row>
    <row r="432" spans="1:22">
      <c r="A432" s="2" t="s">
        <v>882</v>
      </c>
      <c r="B432" s="2" t="s">
        <v>883</v>
      </c>
      <c r="C432" s="181">
        <v>35.269391999999996</v>
      </c>
      <c r="D432" s="181">
        <v>4503.2168000000001</v>
      </c>
      <c r="E432" s="181">
        <v>127</v>
      </c>
      <c r="F432" s="181">
        <v>0</v>
      </c>
      <c r="G432" s="181">
        <v>0</v>
      </c>
      <c r="H432" s="181">
        <v>0</v>
      </c>
      <c r="I432" s="181">
        <v>19.049999999999997</v>
      </c>
      <c r="J432" s="181">
        <v>31.75</v>
      </c>
      <c r="K432" s="181">
        <v>0</v>
      </c>
      <c r="L432" s="181">
        <v>0</v>
      </c>
      <c r="M432" s="181">
        <v>6534833.3819199987</v>
      </c>
      <c r="N432" s="181">
        <v>133390.70095999999</v>
      </c>
      <c r="O432" s="181">
        <v>74069.529279999988</v>
      </c>
      <c r="P432" s="181">
        <v>38.099999999999994</v>
      </c>
      <c r="Q432" s="181">
        <v>6534833.3819199987</v>
      </c>
      <c r="R432" s="181">
        <v>133390.70095999999</v>
      </c>
      <c r="S432" s="181">
        <v>74069.529279999988</v>
      </c>
      <c r="T432" s="181">
        <v>38.099999999999994</v>
      </c>
      <c r="U432" s="181">
        <v>553587.79604799999</v>
      </c>
      <c r="V432" s="181">
        <v>623003210.37302268</v>
      </c>
    </row>
    <row r="433" spans="1:22">
      <c r="A433" s="2" t="s">
        <v>884</v>
      </c>
      <c r="B433" s="2" t="s">
        <v>885</v>
      </c>
      <c r="C433" s="181">
        <v>29.912016000000001</v>
      </c>
      <c r="D433" s="181">
        <v>3806.444</v>
      </c>
      <c r="E433" s="181">
        <v>127</v>
      </c>
      <c r="F433" s="181">
        <v>0</v>
      </c>
      <c r="G433" s="181">
        <v>0</v>
      </c>
      <c r="H433" s="181">
        <v>0</v>
      </c>
      <c r="I433" s="181">
        <v>15.875</v>
      </c>
      <c r="J433" s="181">
        <v>28.574999999999999</v>
      </c>
      <c r="K433" s="181">
        <v>0</v>
      </c>
      <c r="L433" s="181">
        <v>0</v>
      </c>
      <c r="M433" s="181">
        <v>5660747.3881599996</v>
      </c>
      <c r="N433" s="181">
        <v>113562.35351999999</v>
      </c>
      <c r="O433" s="181">
        <v>63090.196399999993</v>
      </c>
      <c r="P433" s="181">
        <v>38.607999999999997</v>
      </c>
      <c r="Q433" s="181">
        <v>5660747.3881599996</v>
      </c>
      <c r="R433" s="181">
        <v>113398.48287999998</v>
      </c>
      <c r="S433" s="181">
        <v>63090.196399999993</v>
      </c>
      <c r="T433" s="181">
        <v>38.607999999999997</v>
      </c>
      <c r="U433" s="181">
        <v>329655.28907519998</v>
      </c>
      <c r="V433" s="181">
        <v>375950213.15613437</v>
      </c>
    </row>
    <row r="434" spans="1:22">
      <c r="A434" s="2" t="s">
        <v>886</v>
      </c>
      <c r="B434" s="2" t="s">
        <v>887</v>
      </c>
      <c r="C434" s="181">
        <v>24.257007999999999</v>
      </c>
      <c r="D434" s="181">
        <v>3090.3163999999997</v>
      </c>
      <c r="E434" s="181">
        <v>127</v>
      </c>
      <c r="F434" s="181">
        <v>0</v>
      </c>
      <c r="G434" s="181">
        <v>0</v>
      </c>
      <c r="H434" s="181">
        <v>0</v>
      </c>
      <c r="I434" s="181">
        <v>12.7</v>
      </c>
      <c r="J434" s="181">
        <v>25.4</v>
      </c>
      <c r="K434" s="181">
        <v>0</v>
      </c>
      <c r="L434" s="181">
        <v>0</v>
      </c>
      <c r="M434" s="181">
        <v>4703415.1092799995</v>
      </c>
      <c r="N434" s="181">
        <v>92750.78224</v>
      </c>
      <c r="O434" s="181">
        <v>51619.251599999996</v>
      </c>
      <c r="P434" s="181">
        <v>38.862000000000002</v>
      </c>
      <c r="Q434" s="181">
        <v>4703415.1092799995</v>
      </c>
      <c r="R434" s="181">
        <v>92750.78224</v>
      </c>
      <c r="S434" s="181">
        <v>51619.251599999996</v>
      </c>
      <c r="T434" s="181">
        <v>38.862000000000002</v>
      </c>
      <c r="U434" s="181">
        <v>173568.50447519997</v>
      </c>
      <c r="V434" s="181">
        <v>199790684.70583141</v>
      </c>
    </row>
    <row r="435" spans="1:22">
      <c r="A435" s="2" t="s">
        <v>888</v>
      </c>
      <c r="B435" s="2" t="s">
        <v>889</v>
      </c>
      <c r="C435" s="181">
        <v>21.429503999999998</v>
      </c>
      <c r="D435" s="181">
        <v>2722.5751999999998</v>
      </c>
      <c r="E435" s="181">
        <v>127</v>
      </c>
      <c r="F435" s="181">
        <v>0</v>
      </c>
      <c r="G435" s="181">
        <v>0</v>
      </c>
      <c r="H435" s="181">
        <v>0</v>
      </c>
      <c r="I435" s="181">
        <v>11.112499999999999</v>
      </c>
      <c r="J435" s="181">
        <v>23.8125</v>
      </c>
      <c r="K435" s="181">
        <v>0</v>
      </c>
      <c r="L435" s="181">
        <v>0</v>
      </c>
      <c r="M435" s="181">
        <v>4162314.2559999996</v>
      </c>
      <c r="N435" s="181">
        <v>81935.319999999992</v>
      </c>
      <c r="O435" s="181">
        <v>45556.037919999995</v>
      </c>
      <c r="P435" s="181">
        <v>39.116</v>
      </c>
      <c r="Q435" s="181">
        <v>4162314.2559999996</v>
      </c>
      <c r="R435" s="181">
        <v>81935.319999999992</v>
      </c>
      <c r="S435" s="181">
        <v>45556.037919999995</v>
      </c>
      <c r="T435" s="181">
        <v>39.116</v>
      </c>
      <c r="U435" s="181">
        <v>118209.72487039998</v>
      </c>
      <c r="V435" s="181">
        <v>136416220.20236877</v>
      </c>
    </row>
    <row r="436" spans="1:22">
      <c r="A436" s="2" t="s">
        <v>890</v>
      </c>
      <c r="B436" s="2" t="s">
        <v>891</v>
      </c>
      <c r="C436" s="181">
        <v>18.453184</v>
      </c>
      <c r="D436" s="181">
        <v>2354.8339999999998</v>
      </c>
      <c r="E436" s="181">
        <v>127</v>
      </c>
      <c r="F436" s="181">
        <v>0</v>
      </c>
      <c r="G436" s="181">
        <v>0</v>
      </c>
      <c r="H436" s="181">
        <v>0</v>
      </c>
      <c r="I436" s="181">
        <v>9.5249999999999986</v>
      </c>
      <c r="J436" s="181">
        <v>22.224999999999998</v>
      </c>
      <c r="K436" s="181">
        <v>0</v>
      </c>
      <c r="L436" s="181">
        <v>0</v>
      </c>
      <c r="M436" s="181">
        <v>3646187.2882559993</v>
      </c>
      <c r="N436" s="181">
        <v>70955.987119999991</v>
      </c>
      <c r="O436" s="181">
        <v>39492.824240000002</v>
      </c>
      <c r="P436" s="181">
        <v>39.369999999999997</v>
      </c>
      <c r="Q436" s="181">
        <v>3646187.2882559993</v>
      </c>
      <c r="R436" s="181">
        <v>70955.987119999991</v>
      </c>
      <c r="S436" s="181">
        <v>39492.824240000002</v>
      </c>
      <c r="T436" s="181">
        <v>39.369999999999997</v>
      </c>
      <c r="U436" s="181">
        <v>76170.350884799991</v>
      </c>
      <c r="V436" s="181">
        <v>87811228.35861139</v>
      </c>
    </row>
    <row r="437" spans="1:22">
      <c r="A437" s="2" t="s">
        <v>892</v>
      </c>
      <c r="B437" s="2" t="s">
        <v>893</v>
      </c>
      <c r="C437" s="181">
        <v>15.476863999999999</v>
      </c>
      <c r="D437" s="181">
        <v>1980.6411999999998</v>
      </c>
      <c r="E437" s="181">
        <v>127</v>
      </c>
      <c r="F437" s="181">
        <v>0</v>
      </c>
      <c r="G437" s="181">
        <v>0</v>
      </c>
      <c r="H437" s="181">
        <v>0</v>
      </c>
      <c r="I437" s="181">
        <v>7.9375</v>
      </c>
      <c r="J437" s="181">
        <v>20.637499999999999</v>
      </c>
      <c r="K437" s="181">
        <v>0</v>
      </c>
      <c r="L437" s="181">
        <v>0</v>
      </c>
      <c r="M437" s="181">
        <v>3096761.8064639997</v>
      </c>
      <c r="N437" s="181">
        <v>59812.783599999995</v>
      </c>
      <c r="O437" s="181">
        <v>33429.610560000001</v>
      </c>
      <c r="P437" s="181">
        <v>39.624000000000002</v>
      </c>
      <c r="Q437" s="181">
        <v>3096761.8064639997</v>
      </c>
      <c r="R437" s="181">
        <v>59812.783599999995</v>
      </c>
      <c r="S437" s="181">
        <v>33429.610560000001</v>
      </c>
      <c r="T437" s="181">
        <v>39.624000000000002</v>
      </c>
      <c r="U437" s="181">
        <v>44952.993964799993</v>
      </c>
      <c r="V437" s="181">
        <v>51827422.242238529</v>
      </c>
    </row>
    <row r="438" spans="1:22">
      <c r="A438" s="2" t="s">
        <v>894</v>
      </c>
      <c r="B438" s="2" t="s">
        <v>895</v>
      </c>
      <c r="C438" s="181">
        <v>29.465568000000001</v>
      </c>
      <c r="D438" s="181">
        <v>3754.8312000000001</v>
      </c>
      <c r="E438" s="181">
        <v>127</v>
      </c>
      <c r="F438" s="181">
        <v>0</v>
      </c>
      <c r="G438" s="181">
        <v>0</v>
      </c>
      <c r="H438" s="181">
        <v>0</v>
      </c>
      <c r="I438" s="181">
        <v>19.049999999999997</v>
      </c>
      <c r="J438" s="181">
        <v>30.162499999999998</v>
      </c>
      <c r="K438" s="181">
        <v>0</v>
      </c>
      <c r="L438" s="181">
        <v>0</v>
      </c>
      <c r="M438" s="181">
        <v>5785616.8158399994</v>
      </c>
      <c r="N438" s="181">
        <v>124541.68639999998</v>
      </c>
      <c r="O438" s="181">
        <v>69808.892639999991</v>
      </c>
      <c r="P438" s="181">
        <v>39.369999999999997</v>
      </c>
      <c r="Q438" s="181">
        <v>2297597.4693119996</v>
      </c>
      <c r="R438" s="181">
        <v>66695.350479999994</v>
      </c>
      <c r="S438" s="181">
        <v>36051.540800000002</v>
      </c>
      <c r="T438" s="181">
        <v>24.739599999999999</v>
      </c>
      <c r="U438" s="181">
        <v>453692.25390399998</v>
      </c>
      <c r="V438" s="181">
        <v>408174517.14094591</v>
      </c>
    </row>
    <row r="439" spans="1:22">
      <c r="A439" s="2" t="s">
        <v>896</v>
      </c>
      <c r="B439" s="2" t="s">
        <v>897</v>
      </c>
      <c r="C439" s="181">
        <v>25.001087999999999</v>
      </c>
      <c r="D439" s="181">
        <v>3180.6387999999997</v>
      </c>
      <c r="E439" s="181">
        <v>127</v>
      </c>
      <c r="F439" s="181">
        <v>0</v>
      </c>
      <c r="G439" s="181">
        <v>0</v>
      </c>
      <c r="H439" s="181">
        <v>0</v>
      </c>
      <c r="I439" s="181">
        <v>15.875</v>
      </c>
      <c r="J439" s="181">
        <v>26.987499999999997</v>
      </c>
      <c r="K439" s="181">
        <v>0</v>
      </c>
      <c r="L439" s="181">
        <v>0</v>
      </c>
      <c r="M439" s="181">
        <v>4994777.1071999995</v>
      </c>
      <c r="N439" s="181">
        <v>106515.916</v>
      </c>
      <c r="O439" s="181">
        <v>59485.042319999993</v>
      </c>
      <c r="P439" s="181">
        <v>39.624000000000002</v>
      </c>
      <c r="Q439" s="181">
        <v>1997910.8428799997</v>
      </c>
      <c r="R439" s="181">
        <v>56207.629519999995</v>
      </c>
      <c r="S439" s="181">
        <v>30807.680319999996</v>
      </c>
      <c r="T439" s="181">
        <v>25.069799999999997</v>
      </c>
      <c r="U439" s="181">
        <v>270966.65806559997</v>
      </c>
      <c r="V439" s="181">
        <v>246515925.48380813</v>
      </c>
    </row>
    <row r="440" spans="1:22">
      <c r="A440" s="2" t="s">
        <v>898</v>
      </c>
      <c r="B440" s="2" t="s">
        <v>899</v>
      </c>
      <c r="C440" s="181">
        <v>20.238975999999997</v>
      </c>
      <c r="D440" s="181">
        <v>2580.64</v>
      </c>
      <c r="E440" s="181">
        <v>127</v>
      </c>
      <c r="F440" s="181">
        <v>0</v>
      </c>
      <c r="G440" s="181">
        <v>0</v>
      </c>
      <c r="H440" s="181">
        <v>0</v>
      </c>
      <c r="I440" s="181">
        <v>12.7</v>
      </c>
      <c r="J440" s="181">
        <v>23.8125</v>
      </c>
      <c r="K440" s="181">
        <v>0</v>
      </c>
      <c r="L440" s="181">
        <v>0</v>
      </c>
      <c r="M440" s="181">
        <v>4145664.9989760001</v>
      </c>
      <c r="N440" s="181">
        <v>87343.051119999989</v>
      </c>
      <c r="O440" s="181">
        <v>48669.58008</v>
      </c>
      <c r="P440" s="181">
        <v>40.131999999999998</v>
      </c>
      <c r="Q440" s="181">
        <v>1673250.3309119996</v>
      </c>
      <c r="R440" s="181">
        <v>45719.908559999996</v>
      </c>
      <c r="S440" s="181">
        <v>25399.949199999999</v>
      </c>
      <c r="T440" s="181">
        <v>25.4</v>
      </c>
      <c r="U440" s="181">
        <v>142767.37898079999</v>
      </c>
      <c r="V440" s="181">
        <v>131851110.47118713</v>
      </c>
    </row>
    <row r="441" spans="1:22">
      <c r="A441" s="2" t="s">
        <v>900</v>
      </c>
      <c r="B441" s="2" t="s">
        <v>901</v>
      </c>
      <c r="C441" s="181">
        <v>15.476863999999999</v>
      </c>
      <c r="D441" s="181">
        <v>1967.7379999999998</v>
      </c>
      <c r="E441" s="181">
        <v>127</v>
      </c>
      <c r="F441" s="181">
        <v>0</v>
      </c>
      <c r="G441" s="181">
        <v>0</v>
      </c>
      <c r="H441" s="181">
        <v>0</v>
      </c>
      <c r="I441" s="181">
        <v>9.5249999999999986</v>
      </c>
      <c r="J441" s="181">
        <v>20.637499999999999</v>
      </c>
      <c r="K441" s="181">
        <v>0</v>
      </c>
      <c r="L441" s="181">
        <v>0</v>
      </c>
      <c r="M441" s="181">
        <v>3225793.5483999997</v>
      </c>
      <c r="N441" s="181">
        <v>67023.091759999996</v>
      </c>
      <c r="O441" s="181">
        <v>37362.505919999996</v>
      </c>
      <c r="P441" s="181">
        <v>40.386000000000003</v>
      </c>
      <c r="Q441" s="181">
        <v>1311128.9906399997</v>
      </c>
      <c r="R441" s="181">
        <v>34740.575680000002</v>
      </c>
      <c r="S441" s="181">
        <v>19500.606159999996</v>
      </c>
      <c r="T441" s="181">
        <v>25.907999999999998</v>
      </c>
      <c r="U441" s="181">
        <v>62434.713839999989</v>
      </c>
      <c r="V441" s="181">
        <v>58272283.039200827</v>
      </c>
    </row>
    <row r="442" spans="1:22">
      <c r="A442" s="2" t="s">
        <v>902</v>
      </c>
      <c r="B442" s="2" t="s">
        <v>903</v>
      </c>
      <c r="C442" s="181">
        <v>12.976755199999999</v>
      </c>
      <c r="D442" s="181">
        <v>1651.6096</v>
      </c>
      <c r="E442" s="181">
        <v>127</v>
      </c>
      <c r="F442" s="181">
        <v>0</v>
      </c>
      <c r="G442" s="181">
        <v>0</v>
      </c>
      <c r="H442" s="181">
        <v>0</v>
      </c>
      <c r="I442" s="181">
        <v>7.9375</v>
      </c>
      <c r="J442" s="181">
        <v>19.049999999999997</v>
      </c>
      <c r="K442" s="181">
        <v>0</v>
      </c>
      <c r="L442" s="181">
        <v>0</v>
      </c>
      <c r="M442" s="181">
        <v>2738802.7804479999</v>
      </c>
      <c r="N442" s="181">
        <v>56535.370799999997</v>
      </c>
      <c r="O442" s="181">
        <v>31463.162879999996</v>
      </c>
      <c r="P442" s="181">
        <v>40.64</v>
      </c>
      <c r="Q442" s="181">
        <v>1119662.5348639998</v>
      </c>
      <c r="R442" s="181">
        <v>29005.103279999999</v>
      </c>
      <c r="S442" s="181">
        <v>16550.934639999999</v>
      </c>
      <c r="T442" s="181">
        <v>25.907999999999998</v>
      </c>
      <c r="U442" s="181">
        <v>36753.234880479999</v>
      </c>
      <c r="V442" s="181">
        <v>34372590.917132288</v>
      </c>
    </row>
    <row r="443" spans="1:22">
      <c r="A443" s="2" t="s">
        <v>904</v>
      </c>
      <c r="B443" s="2" t="s">
        <v>905</v>
      </c>
      <c r="C443" s="181">
        <v>10.461764799999999</v>
      </c>
      <c r="D443" s="181">
        <v>1335.4811999999999</v>
      </c>
      <c r="E443" s="181">
        <v>127</v>
      </c>
      <c r="F443" s="181">
        <v>0</v>
      </c>
      <c r="G443" s="181">
        <v>0</v>
      </c>
      <c r="H443" s="181">
        <v>0</v>
      </c>
      <c r="I443" s="181">
        <v>6.35</v>
      </c>
      <c r="J443" s="181">
        <v>17.462499999999999</v>
      </c>
      <c r="K443" s="181">
        <v>0</v>
      </c>
      <c r="L443" s="181">
        <v>0</v>
      </c>
      <c r="M443" s="181">
        <v>2231000.4412159999</v>
      </c>
      <c r="N443" s="181">
        <v>45556.037919999995</v>
      </c>
      <c r="O443" s="181">
        <v>25399.949199999999</v>
      </c>
      <c r="P443" s="181">
        <v>40.893999999999998</v>
      </c>
      <c r="Q443" s="181">
        <v>915709.13631999993</v>
      </c>
      <c r="R443" s="181">
        <v>23269.630879999997</v>
      </c>
      <c r="S443" s="181">
        <v>13371.844223999999</v>
      </c>
      <c r="T443" s="181">
        <v>26.161999999999999</v>
      </c>
      <c r="U443" s="181">
        <v>19313.138147839996</v>
      </c>
      <c r="V443" s="181">
        <v>17991903.05818643</v>
      </c>
    </row>
    <row r="444" spans="1:22">
      <c r="A444" s="2" t="s">
        <v>906</v>
      </c>
      <c r="B444" s="2" t="s">
        <v>907</v>
      </c>
      <c r="C444" s="181">
        <v>19.048448</v>
      </c>
      <c r="D444" s="181">
        <v>2419.35</v>
      </c>
      <c r="E444" s="181">
        <v>127</v>
      </c>
      <c r="F444" s="181">
        <v>0</v>
      </c>
      <c r="G444" s="181">
        <v>0</v>
      </c>
      <c r="H444" s="181">
        <v>0</v>
      </c>
      <c r="I444" s="181">
        <v>12.7</v>
      </c>
      <c r="J444" s="181">
        <v>23.8125</v>
      </c>
      <c r="K444" s="181">
        <v>0</v>
      </c>
      <c r="L444" s="181">
        <v>0</v>
      </c>
      <c r="M444" s="181">
        <v>3925062.3434079997</v>
      </c>
      <c r="N444" s="181">
        <v>83901.76767999999</v>
      </c>
      <c r="O444" s="181">
        <v>47358.614959999999</v>
      </c>
      <c r="P444" s="181">
        <v>40.131999999999998</v>
      </c>
      <c r="Q444" s="181">
        <v>1061390.1352799998</v>
      </c>
      <c r="R444" s="181">
        <v>34085.093119999998</v>
      </c>
      <c r="S444" s="181">
        <v>18517.382319999997</v>
      </c>
      <c r="T444" s="181">
        <v>20.929599999999997</v>
      </c>
      <c r="U444" s="181">
        <v>134026.51904319998</v>
      </c>
      <c r="V444" s="181">
        <v>119229924.74380262</v>
      </c>
    </row>
    <row r="445" spans="1:22">
      <c r="A445" s="2" t="s">
        <v>908</v>
      </c>
      <c r="B445" s="2" t="s">
        <v>909</v>
      </c>
      <c r="C445" s="181">
        <v>16.816208</v>
      </c>
      <c r="D445" s="181">
        <v>2135.4796000000001</v>
      </c>
      <c r="E445" s="181">
        <v>127</v>
      </c>
      <c r="F445" s="181">
        <v>0</v>
      </c>
      <c r="G445" s="181">
        <v>0</v>
      </c>
      <c r="H445" s="181">
        <v>0</v>
      </c>
      <c r="I445" s="181">
        <v>11.112499999999999</v>
      </c>
      <c r="J445" s="181">
        <v>22.224999999999998</v>
      </c>
      <c r="K445" s="181">
        <v>0</v>
      </c>
      <c r="L445" s="181">
        <v>0</v>
      </c>
      <c r="M445" s="181">
        <v>3500506.2892959998</v>
      </c>
      <c r="N445" s="181">
        <v>74233.399919999996</v>
      </c>
      <c r="O445" s="181">
        <v>41950.883839999995</v>
      </c>
      <c r="P445" s="181">
        <v>40.386000000000003</v>
      </c>
      <c r="Q445" s="181">
        <v>953169.9646239999</v>
      </c>
      <c r="R445" s="181">
        <v>29824.456479999997</v>
      </c>
      <c r="S445" s="181">
        <v>16387.063999999998</v>
      </c>
      <c r="T445" s="181">
        <v>21.107399999999998</v>
      </c>
      <c r="U445" s="181">
        <v>91570.913631999996</v>
      </c>
      <c r="V445" s="181">
        <v>81634903.428189173</v>
      </c>
    </row>
    <row r="446" spans="1:22">
      <c r="A446" s="2" t="s">
        <v>910</v>
      </c>
      <c r="B446" s="2" t="s">
        <v>911</v>
      </c>
      <c r="C446" s="181">
        <v>14.4946784</v>
      </c>
      <c r="D446" s="181">
        <v>1845.1575999999998</v>
      </c>
      <c r="E446" s="181">
        <v>127</v>
      </c>
      <c r="F446" s="181">
        <v>0</v>
      </c>
      <c r="G446" s="181">
        <v>0</v>
      </c>
      <c r="H446" s="181">
        <v>0</v>
      </c>
      <c r="I446" s="181">
        <v>9.5249999999999986</v>
      </c>
      <c r="J446" s="181">
        <v>20.637499999999999</v>
      </c>
      <c r="K446" s="181">
        <v>0</v>
      </c>
      <c r="L446" s="181">
        <v>0</v>
      </c>
      <c r="M446" s="181">
        <v>3059300.9781599995</v>
      </c>
      <c r="N446" s="181">
        <v>64401.161519999994</v>
      </c>
      <c r="O446" s="181">
        <v>36379.282079999997</v>
      </c>
      <c r="P446" s="181">
        <v>40.64</v>
      </c>
      <c r="Q446" s="181">
        <v>836625.16545599978</v>
      </c>
      <c r="R446" s="181">
        <v>25727.690479999997</v>
      </c>
      <c r="S446" s="181">
        <v>14322.293935999998</v>
      </c>
      <c r="T446" s="181">
        <v>21.2852</v>
      </c>
      <c r="U446" s="181">
        <v>58688.631009599987</v>
      </c>
      <c r="V446" s="181">
        <v>52633029.841858812</v>
      </c>
    </row>
    <row r="447" spans="1:22">
      <c r="A447" s="2" t="s">
        <v>912</v>
      </c>
      <c r="B447" s="2" t="s">
        <v>913</v>
      </c>
      <c r="C447" s="181">
        <v>12.188030399999999</v>
      </c>
      <c r="D447" s="181">
        <v>1554.8356000000001</v>
      </c>
      <c r="E447" s="181">
        <v>127</v>
      </c>
      <c r="F447" s="181">
        <v>0</v>
      </c>
      <c r="G447" s="181">
        <v>0</v>
      </c>
      <c r="H447" s="181">
        <v>0</v>
      </c>
      <c r="I447" s="181">
        <v>7.9375</v>
      </c>
      <c r="J447" s="181">
        <v>19.049999999999997</v>
      </c>
      <c r="K447" s="181">
        <v>0</v>
      </c>
      <c r="L447" s="181">
        <v>0</v>
      </c>
      <c r="M447" s="181">
        <v>2597284.0957439998</v>
      </c>
      <c r="N447" s="181">
        <v>54405.052479999991</v>
      </c>
      <c r="O447" s="181">
        <v>30643.809679999998</v>
      </c>
      <c r="P447" s="181">
        <v>40.893999999999998</v>
      </c>
      <c r="Q447" s="181">
        <v>715918.05203199992</v>
      </c>
      <c r="R447" s="181">
        <v>21467.05384</v>
      </c>
      <c r="S447" s="181">
        <v>12110.040295999999</v>
      </c>
      <c r="T447" s="181">
        <v>21.488399999999999</v>
      </c>
      <c r="U447" s="181">
        <v>34630.454609919994</v>
      </c>
      <c r="V447" s="181">
        <v>31150160.518651135</v>
      </c>
    </row>
    <row r="448" spans="1:22">
      <c r="A448" s="2" t="s">
        <v>914</v>
      </c>
      <c r="B448" s="2" t="s">
        <v>915</v>
      </c>
      <c r="C448" s="181">
        <v>9.8218559999999986</v>
      </c>
      <c r="D448" s="181">
        <v>1251.6103999999998</v>
      </c>
      <c r="E448" s="181">
        <v>127</v>
      </c>
      <c r="F448" s="181">
        <v>0</v>
      </c>
      <c r="G448" s="181">
        <v>0</v>
      </c>
      <c r="H448" s="181">
        <v>0</v>
      </c>
      <c r="I448" s="181">
        <v>6.35</v>
      </c>
      <c r="J448" s="181">
        <v>17.462499999999999</v>
      </c>
      <c r="K448" s="181">
        <v>0</v>
      </c>
      <c r="L448" s="181">
        <v>0</v>
      </c>
      <c r="M448" s="181">
        <v>2118617.9563039998</v>
      </c>
      <c r="N448" s="181">
        <v>43917.33152</v>
      </c>
      <c r="O448" s="181">
        <v>24744.466639999999</v>
      </c>
      <c r="P448" s="181">
        <v>41.148000000000003</v>
      </c>
      <c r="Q448" s="181">
        <v>586886.31009599986</v>
      </c>
      <c r="R448" s="181">
        <v>17206.4172</v>
      </c>
      <c r="S448" s="181">
        <v>9832.2383999999984</v>
      </c>
      <c r="T448" s="181">
        <v>21.6662</v>
      </c>
      <c r="U448" s="181">
        <v>18230.936441279999</v>
      </c>
      <c r="V448" s="181">
        <v>16273273.512329817</v>
      </c>
    </row>
    <row r="449" spans="1:22">
      <c r="A449" s="2" t="s">
        <v>916</v>
      </c>
      <c r="B449" s="2" t="s">
        <v>917</v>
      </c>
      <c r="C449" s="181">
        <v>27.53096</v>
      </c>
      <c r="D449" s="181">
        <v>3503.2187999999996</v>
      </c>
      <c r="E449" s="181">
        <v>101.6</v>
      </c>
      <c r="F449" s="181">
        <v>0</v>
      </c>
      <c r="G449" s="181">
        <v>0</v>
      </c>
      <c r="H449" s="181">
        <v>0</v>
      </c>
      <c r="I449" s="181">
        <v>19.049999999999997</v>
      </c>
      <c r="J449" s="181">
        <v>28.574999999999999</v>
      </c>
      <c r="K449" s="181">
        <v>0</v>
      </c>
      <c r="L449" s="181">
        <v>0</v>
      </c>
      <c r="M449" s="181">
        <v>3171683.4630719996</v>
      </c>
      <c r="N449" s="181">
        <v>82263.06127999998</v>
      </c>
      <c r="O449" s="181">
        <v>45719.908559999996</v>
      </c>
      <c r="P449" s="181">
        <v>29.971999999999998</v>
      </c>
      <c r="Q449" s="181">
        <v>3171683.4630719996</v>
      </c>
      <c r="R449" s="181">
        <v>82099.190639999986</v>
      </c>
      <c r="S449" s="181">
        <v>45719.908559999996</v>
      </c>
      <c r="T449" s="181">
        <v>29.971999999999998</v>
      </c>
      <c r="U449" s="181">
        <v>424556.05411199998</v>
      </c>
      <c r="V449" s="181">
        <v>300760170.52490753</v>
      </c>
    </row>
    <row r="450" spans="1:22">
      <c r="A450" s="2" t="s">
        <v>918</v>
      </c>
      <c r="B450" s="2" t="s">
        <v>919</v>
      </c>
      <c r="C450" s="181">
        <v>23.364111999999999</v>
      </c>
      <c r="D450" s="181">
        <v>2974.1876000000002</v>
      </c>
      <c r="E450" s="181">
        <v>101.6</v>
      </c>
      <c r="F450" s="181">
        <v>0</v>
      </c>
      <c r="G450" s="181">
        <v>0</v>
      </c>
      <c r="H450" s="181">
        <v>0</v>
      </c>
      <c r="I450" s="181">
        <v>15.875</v>
      </c>
      <c r="J450" s="181">
        <v>25.4</v>
      </c>
      <c r="K450" s="181">
        <v>0</v>
      </c>
      <c r="L450" s="181">
        <v>0</v>
      </c>
      <c r="M450" s="181">
        <v>2755452.0374719999</v>
      </c>
      <c r="N450" s="181">
        <v>70136.633919999993</v>
      </c>
      <c r="O450" s="181">
        <v>39001.212319999991</v>
      </c>
      <c r="P450" s="181">
        <v>30.479999999999997</v>
      </c>
      <c r="Q450" s="181">
        <v>2755452.0374719999</v>
      </c>
      <c r="R450" s="181">
        <v>70136.633919999993</v>
      </c>
      <c r="S450" s="181">
        <v>39001.212319999991</v>
      </c>
      <c r="T450" s="181">
        <v>30.479999999999997</v>
      </c>
      <c r="U450" s="181">
        <v>253901.16961599997</v>
      </c>
      <c r="V450" s="181">
        <v>182604389.24726528</v>
      </c>
    </row>
    <row r="451" spans="1:22">
      <c r="A451" s="2" t="s">
        <v>920</v>
      </c>
      <c r="B451" s="2" t="s">
        <v>921</v>
      </c>
      <c r="C451" s="181">
        <v>18.899631999999997</v>
      </c>
      <c r="D451" s="181">
        <v>2419.35</v>
      </c>
      <c r="E451" s="181">
        <v>101.6</v>
      </c>
      <c r="F451" s="181">
        <v>0</v>
      </c>
      <c r="G451" s="181">
        <v>0</v>
      </c>
      <c r="H451" s="181">
        <v>0</v>
      </c>
      <c r="I451" s="181">
        <v>12.7</v>
      </c>
      <c r="J451" s="181">
        <v>22.224999999999998</v>
      </c>
      <c r="K451" s="181">
        <v>0</v>
      </c>
      <c r="L451" s="181">
        <v>0</v>
      </c>
      <c r="M451" s="181">
        <v>2297597.4693119996</v>
      </c>
      <c r="N451" s="181">
        <v>57354.723999999995</v>
      </c>
      <c r="O451" s="181">
        <v>32118.645439999997</v>
      </c>
      <c r="P451" s="181">
        <v>30.733999999999998</v>
      </c>
      <c r="Q451" s="181">
        <v>2297597.4693119996</v>
      </c>
      <c r="R451" s="181">
        <v>57354.723999999995</v>
      </c>
      <c r="S451" s="181">
        <v>32118.645439999997</v>
      </c>
      <c r="T451" s="181">
        <v>30.733999999999998</v>
      </c>
      <c r="U451" s="181">
        <v>134026.51904319998</v>
      </c>
      <c r="V451" s="181">
        <v>98284127.153675124</v>
      </c>
    </row>
    <row r="452" spans="1:22">
      <c r="A452" s="2" t="s">
        <v>922</v>
      </c>
      <c r="B452" s="2" t="s">
        <v>923</v>
      </c>
      <c r="C452" s="181">
        <v>16.667392</v>
      </c>
      <c r="D452" s="181">
        <v>2129.0279999999998</v>
      </c>
      <c r="E452" s="181">
        <v>101.6</v>
      </c>
      <c r="F452" s="181">
        <v>0</v>
      </c>
      <c r="G452" s="181">
        <v>0</v>
      </c>
      <c r="H452" s="181">
        <v>0</v>
      </c>
      <c r="I452" s="181">
        <v>11.112499999999999</v>
      </c>
      <c r="J452" s="181">
        <v>20.637499999999999</v>
      </c>
      <c r="K452" s="181">
        <v>0</v>
      </c>
      <c r="L452" s="181">
        <v>0</v>
      </c>
      <c r="M452" s="181">
        <v>2052020.9282079998</v>
      </c>
      <c r="N452" s="181">
        <v>50799.898399999998</v>
      </c>
      <c r="O452" s="181">
        <v>28349.620719999995</v>
      </c>
      <c r="P452" s="181">
        <v>30.987999999999996</v>
      </c>
      <c r="Q452" s="181">
        <v>2052020.9282079998</v>
      </c>
      <c r="R452" s="181">
        <v>50799.898399999998</v>
      </c>
      <c r="S452" s="181">
        <v>28349.620719999995</v>
      </c>
      <c r="T452" s="181">
        <v>30.987999999999996</v>
      </c>
      <c r="U452" s="181">
        <v>91570.913631999996</v>
      </c>
      <c r="V452" s="181">
        <v>67671038.36810419</v>
      </c>
    </row>
    <row r="453" spans="1:22">
      <c r="A453" s="2" t="s">
        <v>924</v>
      </c>
      <c r="B453" s="2" t="s">
        <v>925</v>
      </c>
      <c r="C453" s="181">
        <v>14.4649152</v>
      </c>
      <c r="D453" s="181">
        <v>1845.1575999999998</v>
      </c>
      <c r="E453" s="181">
        <v>101.6</v>
      </c>
      <c r="F453" s="181">
        <v>0</v>
      </c>
      <c r="G453" s="181">
        <v>0</v>
      </c>
      <c r="H453" s="181">
        <v>0</v>
      </c>
      <c r="I453" s="181">
        <v>9.5249999999999986</v>
      </c>
      <c r="J453" s="181">
        <v>19.049999999999997</v>
      </c>
      <c r="K453" s="181">
        <v>0</v>
      </c>
      <c r="L453" s="181">
        <v>0</v>
      </c>
      <c r="M453" s="181">
        <v>1798119.758592</v>
      </c>
      <c r="N453" s="181">
        <v>44081.202159999993</v>
      </c>
      <c r="O453" s="181">
        <v>24580.595999999998</v>
      </c>
      <c r="P453" s="181">
        <v>31.241999999999997</v>
      </c>
      <c r="Q453" s="181">
        <v>1798119.758592</v>
      </c>
      <c r="R453" s="181">
        <v>43917.33152</v>
      </c>
      <c r="S453" s="181">
        <v>24580.595999999998</v>
      </c>
      <c r="T453" s="181">
        <v>31.241999999999997</v>
      </c>
      <c r="U453" s="181">
        <v>58688.631009599987</v>
      </c>
      <c r="V453" s="181">
        <v>43502810.379495554</v>
      </c>
    </row>
    <row r="454" spans="1:22">
      <c r="A454" s="2" t="s">
        <v>926</v>
      </c>
      <c r="B454" s="2" t="s">
        <v>927</v>
      </c>
      <c r="C454" s="181">
        <v>12.1433856</v>
      </c>
      <c r="D454" s="181">
        <v>1548.3839999999998</v>
      </c>
      <c r="E454" s="181">
        <v>101.6</v>
      </c>
      <c r="F454" s="181">
        <v>0</v>
      </c>
      <c r="G454" s="181">
        <v>0</v>
      </c>
      <c r="H454" s="181">
        <v>0</v>
      </c>
      <c r="I454" s="181">
        <v>7.9375</v>
      </c>
      <c r="J454" s="181">
        <v>17.462499999999999</v>
      </c>
      <c r="K454" s="181">
        <v>0</v>
      </c>
      <c r="L454" s="181">
        <v>0</v>
      </c>
      <c r="M454" s="181">
        <v>1527569.3319519998</v>
      </c>
      <c r="N454" s="181">
        <v>37034.764639999994</v>
      </c>
      <c r="O454" s="181">
        <v>20811.57128</v>
      </c>
      <c r="P454" s="181">
        <v>31.495999999999999</v>
      </c>
      <c r="Q454" s="181">
        <v>1527569.3319519998</v>
      </c>
      <c r="R454" s="181">
        <v>37034.764639999994</v>
      </c>
      <c r="S454" s="181">
        <v>20811.57128</v>
      </c>
      <c r="T454" s="181">
        <v>31.495999999999999</v>
      </c>
      <c r="U454" s="181">
        <v>34630.454609919994</v>
      </c>
      <c r="V454" s="181">
        <v>25860003.947811242</v>
      </c>
    </row>
    <row r="455" spans="1:22">
      <c r="A455" s="2" t="s">
        <v>928</v>
      </c>
      <c r="B455" s="2" t="s">
        <v>929</v>
      </c>
      <c r="C455" s="181">
        <v>9.7920927999999989</v>
      </c>
      <c r="D455" s="181">
        <v>1245.1587999999999</v>
      </c>
      <c r="E455" s="181">
        <v>101.6</v>
      </c>
      <c r="F455" s="181">
        <v>0</v>
      </c>
      <c r="G455" s="181">
        <v>0</v>
      </c>
      <c r="H455" s="181">
        <v>0</v>
      </c>
      <c r="I455" s="181">
        <v>6.35</v>
      </c>
      <c r="J455" s="181">
        <v>15.875</v>
      </c>
      <c r="K455" s="181">
        <v>0</v>
      </c>
      <c r="L455" s="181">
        <v>0</v>
      </c>
      <c r="M455" s="181">
        <v>1248694.2767999999</v>
      </c>
      <c r="N455" s="181">
        <v>29824.456479999997</v>
      </c>
      <c r="O455" s="181">
        <v>16878.675919999998</v>
      </c>
      <c r="P455" s="181">
        <v>31.75</v>
      </c>
      <c r="Q455" s="181">
        <v>1248694.2767999999</v>
      </c>
      <c r="R455" s="181">
        <v>29824.456479999997</v>
      </c>
      <c r="S455" s="181">
        <v>16878.675919999998</v>
      </c>
      <c r="T455" s="181">
        <v>31.75</v>
      </c>
      <c r="U455" s="181">
        <v>18230.936441279999</v>
      </c>
      <c r="V455" s="181">
        <v>13561061.260274848</v>
      </c>
    </row>
    <row r="456" spans="1:22">
      <c r="A456" s="2" t="s">
        <v>930</v>
      </c>
      <c r="B456" s="2" t="s">
        <v>931</v>
      </c>
      <c r="C456" s="181">
        <v>17.709104</v>
      </c>
      <c r="D456" s="181">
        <v>2258.06</v>
      </c>
      <c r="E456" s="181">
        <v>101.6</v>
      </c>
      <c r="F456" s="181">
        <v>0</v>
      </c>
      <c r="G456" s="181">
        <v>0</v>
      </c>
      <c r="H456" s="181">
        <v>0</v>
      </c>
      <c r="I456" s="181">
        <v>12.7</v>
      </c>
      <c r="J456" s="181">
        <v>22.224999999999998</v>
      </c>
      <c r="K456" s="181">
        <v>0</v>
      </c>
      <c r="L456" s="181">
        <v>0</v>
      </c>
      <c r="M456" s="181">
        <v>2206026.5556799998</v>
      </c>
      <c r="N456" s="181">
        <v>56699.241439999991</v>
      </c>
      <c r="O456" s="181">
        <v>31463.162879999996</v>
      </c>
      <c r="P456" s="181">
        <v>31.241999999999997</v>
      </c>
      <c r="Q456" s="181">
        <v>1565030.1602559998</v>
      </c>
      <c r="R456" s="181">
        <v>44081.202159999993</v>
      </c>
      <c r="S456" s="181">
        <v>24580.595999999998</v>
      </c>
      <c r="T456" s="181">
        <v>26.416</v>
      </c>
      <c r="U456" s="181">
        <v>125285.65910559999</v>
      </c>
      <c r="V456" s="181">
        <v>81097831.69510898</v>
      </c>
    </row>
    <row r="457" spans="1:22">
      <c r="A457" s="2" t="s">
        <v>932</v>
      </c>
      <c r="B457" s="2" t="s">
        <v>933</v>
      </c>
      <c r="C457" s="181">
        <v>13.542255999999998</v>
      </c>
      <c r="D457" s="181">
        <v>1729.0288</v>
      </c>
      <c r="E457" s="181">
        <v>101.6</v>
      </c>
      <c r="F457" s="181">
        <v>0</v>
      </c>
      <c r="G457" s="181">
        <v>0</v>
      </c>
      <c r="H457" s="181">
        <v>0</v>
      </c>
      <c r="I457" s="181">
        <v>9.5249999999999986</v>
      </c>
      <c r="J457" s="181">
        <v>19.049999999999997</v>
      </c>
      <c r="K457" s="181">
        <v>0</v>
      </c>
      <c r="L457" s="181">
        <v>0</v>
      </c>
      <c r="M457" s="181">
        <v>1727360.4162399999</v>
      </c>
      <c r="N457" s="181">
        <v>43589.590239999998</v>
      </c>
      <c r="O457" s="181">
        <v>24252.854719999996</v>
      </c>
      <c r="P457" s="181">
        <v>31.75</v>
      </c>
      <c r="Q457" s="181">
        <v>1232045.0197759999</v>
      </c>
      <c r="R457" s="181">
        <v>33757.351839999996</v>
      </c>
      <c r="S457" s="181">
        <v>19008.994239999996</v>
      </c>
      <c r="T457" s="181">
        <v>26.669999999999998</v>
      </c>
      <c r="U457" s="181">
        <v>54942.548179199999</v>
      </c>
      <c r="V457" s="181">
        <v>35983806.116372861</v>
      </c>
    </row>
    <row r="458" spans="1:22">
      <c r="A458" s="2" t="s">
        <v>934</v>
      </c>
      <c r="B458" s="2" t="s">
        <v>935</v>
      </c>
      <c r="C458" s="181">
        <v>11.384423999999999</v>
      </c>
      <c r="D458" s="181">
        <v>1451.61</v>
      </c>
      <c r="E458" s="181">
        <v>101.6</v>
      </c>
      <c r="F458" s="181">
        <v>0</v>
      </c>
      <c r="G458" s="181">
        <v>0</v>
      </c>
      <c r="H458" s="181">
        <v>0</v>
      </c>
      <c r="I458" s="181">
        <v>7.9375</v>
      </c>
      <c r="J458" s="181">
        <v>17.462499999999999</v>
      </c>
      <c r="K458" s="181">
        <v>0</v>
      </c>
      <c r="L458" s="181">
        <v>0</v>
      </c>
      <c r="M458" s="181">
        <v>1469296.9323679998</v>
      </c>
      <c r="N458" s="181">
        <v>36707.023359999999</v>
      </c>
      <c r="O458" s="181">
        <v>20483.829999999998</v>
      </c>
      <c r="P458" s="181">
        <v>31.75</v>
      </c>
      <c r="Q458" s="181">
        <v>1048903.192512</v>
      </c>
      <c r="R458" s="181">
        <v>28513.491359999996</v>
      </c>
      <c r="S458" s="181">
        <v>16059.322719999998</v>
      </c>
      <c r="T458" s="181">
        <v>26.923999999999999</v>
      </c>
      <c r="U458" s="181">
        <v>32549.297481919999</v>
      </c>
      <c r="V458" s="181">
        <v>21429162.149899658</v>
      </c>
    </row>
    <row r="459" spans="1:22">
      <c r="A459" s="2" t="s">
        <v>936</v>
      </c>
      <c r="B459" s="2" t="s">
        <v>937</v>
      </c>
      <c r="C459" s="181">
        <v>9.1968287999999987</v>
      </c>
      <c r="D459" s="181">
        <v>1174.1912</v>
      </c>
      <c r="E459" s="181">
        <v>101.6</v>
      </c>
      <c r="F459" s="181">
        <v>0</v>
      </c>
      <c r="G459" s="181">
        <v>0</v>
      </c>
      <c r="H459" s="181">
        <v>0</v>
      </c>
      <c r="I459" s="181">
        <v>6.35</v>
      </c>
      <c r="J459" s="181">
        <v>15.875</v>
      </c>
      <c r="K459" s="181">
        <v>0</v>
      </c>
      <c r="L459" s="181">
        <v>0</v>
      </c>
      <c r="M459" s="181">
        <v>1202908.8199839999</v>
      </c>
      <c r="N459" s="181">
        <v>29660.58584</v>
      </c>
      <c r="O459" s="181">
        <v>16550.934639999999</v>
      </c>
      <c r="P459" s="181">
        <v>32.003999999999998</v>
      </c>
      <c r="Q459" s="181">
        <v>861599.0509919998</v>
      </c>
      <c r="R459" s="181">
        <v>22941.889599999995</v>
      </c>
      <c r="S459" s="181">
        <v>13011.328815999999</v>
      </c>
      <c r="T459" s="181">
        <v>27.178000000000001</v>
      </c>
      <c r="U459" s="181">
        <v>17148.734734719998</v>
      </c>
      <c r="V459" s="181">
        <v>11251652.808030022</v>
      </c>
    </row>
    <row r="460" spans="1:22">
      <c r="A460" s="2" t="s">
        <v>938</v>
      </c>
      <c r="B460" s="2" t="s">
        <v>939</v>
      </c>
      <c r="C460" s="181">
        <v>20.238975999999997</v>
      </c>
      <c r="D460" s="181">
        <v>2574.1884</v>
      </c>
      <c r="E460" s="181">
        <v>101.6</v>
      </c>
      <c r="F460" s="181">
        <v>0</v>
      </c>
      <c r="G460" s="181">
        <v>0</v>
      </c>
      <c r="H460" s="181">
        <v>0</v>
      </c>
      <c r="I460" s="181">
        <v>15.875</v>
      </c>
      <c r="J460" s="181">
        <v>25.4</v>
      </c>
      <c r="K460" s="181">
        <v>0</v>
      </c>
      <c r="L460" s="181">
        <v>0</v>
      </c>
      <c r="M460" s="181">
        <v>2501550.8678559996</v>
      </c>
      <c r="N460" s="181">
        <v>66859.221120000002</v>
      </c>
      <c r="O460" s="181">
        <v>37362.505919999996</v>
      </c>
      <c r="P460" s="181">
        <v>31.241999999999997</v>
      </c>
      <c r="Q460" s="181">
        <v>1186259.56296</v>
      </c>
      <c r="R460" s="181">
        <v>40148.306799999998</v>
      </c>
      <c r="S460" s="181">
        <v>21958.66576</v>
      </c>
      <c r="T460" s="181">
        <v>21.462999999999997</v>
      </c>
      <c r="U460" s="181">
        <v>220186.42414239998</v>
      </c>
      <c r="V460" s="181">
        <v>126748929.0069253</v>
      </c>
    </row>
    <row r="461" spans="1:22">
      <c r="A461" s="2" t="s">
        <v>940</v>
      </c>
      <c r="B461" s="2" t="s">
        <v>941</v>
      </c>
      <c r="C461" s="181">
        <v>16.518575999999999</v>
      </c>
      <c r="D461" s="181">
        <v>2096.77</v>
      </c>
      <c r="E461" s="181">
        <v>101.6</v>
      </c>
      <c r="F461" s="181">
        <v>0</v>
      </c>
      <c r="G461" s="181">
        <v>0</v>
      </c>
      <c r="H461" s="181">
        <v>0</v>
      </c>
      <c r="I461" s="181">
        <v>12.7</v>
      </c>
      <c r="J461" s="181">
        <v>22.224999999999998</v>
      </c>
      <c r="K461" s="181">
        <v>0</v>
      </c>
      <c r="L461" s="181">
        <v>0</v>
      </c>
      <c r="M461" s="181">
        <v>2089481.7565119995</v>
      </c>
      <c r="N461" s="181">
        <v>55060.535039999995</v>
      </c>
      <c r="O461" s="181">
        <v>30643.809679999998</v>
      </c>
      <c r="P461" s="181">
        <v>31.495999999999999</v>
      </c>
      <c r="Q461" s="181">
        <v>998955.42143999983</v>
      </c>
      <c r="R461" s="181">
        <v>32610.257359999996</v>
      </c>
      <c r="S461" s="181">
        <v>18025.770400000001</v>
      </c>
      <c r="T461" s="181">
        <v>21.793199999999999</v>
      </c>
      <c r="U461" s="181">
        <v>116961.03059359999</v>
      </c>
      <c r="V461" s="181">
        <v>68476645.967724472</v>
      </c>
    </row>
    <row r="462" spans="1:22">
      <c r="A462" s="2" t="s">
        <v>942</v>
      </c>
      <c r="B462" s="2" t="s">
        <v>943</v>
      </c>
      <c r="C462" s="181">
        <v>12.604715200000001</v>
      </c>
      <c r="D462" s="181">
        <v>1606.4484</v>
      </c>
      <c r="E462" s="181">
        <v>101.6</v>
      </c>
      <c r="F462" s="181">
        <v>0</v>
      </c>
      <c r="G462" s="181">
        <v>0</v>
      </c>
      <c r="H462" s="181">
        <v>0</v>
      </c>
      <c r="I462" s="181">
        <v>9.5249999999999986</v>
      </c>
      <c r="J462" s="181">
        <v>19.049999999999997</v>
      </c>
      <c r="K462" s="181">
        <v>0</v>
      </c>
      <c r="L462" s="181">
        <v>0</v>
      </c>
      <c r="M462" s="181">
        <v>1639951.8168639997</v>
      </c>
      <c r="N462" s="181">
        <v>42606.366399999999</v>
      </c>
      <c r="O462" s="181">
        <v>23597.372159999995</v>
      </c>
      <c r="P462" s="181">
        <v>32.003999999999998</v>
      </c>
      <c r="Q462" s="181">
        <v>786677.39438399987</v>
      </c>
      <c r="R462" s="181">
        <v>24908.33728</v>
      </c>
      <c r="S462" s="181">
        <v>13945.391463999998</v>
      </c>
      <c r="T462" s="181">
        <v>22.174199999999999</v>
      </c>
      <c r="U462" s="181">
        <v>51196.465348799997</v>
      </c>
      <c r="V462" s="181">
        <v>30613088.785570942</v>
      </c>
    </row>
    <row r="463" spans="1:22">
      <c r="A463" s="2" t="s">
        <v>944</v>
      </c>
      <c r="B463" s="2" t="s">
        <v>945</v>
      </c>
      <c r="C463" s="181">
        <v>10.5956992</v>
      </c>
      <c r="D463" s="181">
        <v>1348.3843999999999</v>
      </c>
      <c r="E463" s="181">
        <v>101.6</v>
      </c>
      <c r="F463" s="181">
        <v>0</v>
      </c>
      <c r="G463" s="181">
        <v>0</v>
      </c>
      <c r="H463" s="181">
        <v>0</v>
      </c>
      <c r="I463" s="181">
        <v>7.9375</v>
      </c>
      <c r="J463" s="181">
        <v>17.462499999999999</v>
      </c>
      <c r="K463" s="181">
        <v>0</v>
      </c>
      <c r="L463" s="181">
        <v>0</v>
      </c>
      <c r="M463" s="181">
        <v>1398537.5900159997</v>
      </c>
      <c r="N463" s="181">
        <v>35887.670159999994</v>
      </c>
      <c r="O463" s="181">
        <v>19992.218079999999</v>
      </c>
      <c r="P463" s="181">
        <v>32.257999999999996</v>
      </c>
      <c r="Q463" s="181">
        <v>674294.90947199997</v>
      </c>
      <c r="R463" s="181">
        <v>20975.441919999997</v>
      </c>
      <c r="S463" s="181">
        <v>11815.073143999998</v>
      </c>
      <c r="T463" s="181">
        <v>22.352</v>
      </c>
      <c r="U463" s="181">
        <v>30426.517211359995</v>
      </c>
      <c r="V463" s="181">
        <v>18153024.578110486</v>
      </c>
    </row>
    <row r="464" spans="1:22">
      <c r="A464" s="2" t="s">
        <v>946</v>
      </c>
      <c r="B464" s="2" t="s">
        <v>947</v>
      </c>
      <c r="C464" s="181">
        <v>8.5569199999999999</v>
      </c>
      <c r="D464" s="181">
        <v>1090.3203999999998</v>
      </c>
      <c r="E464" s="181">
        <v>101.6</v>
      </c>
      <c r="F464" s="181">
        <v>0</v>
      </c>
      <c r="G464" s="181">
        <v>0</v>
      </c>
      <c r="H464" s="181">
        <v>0</v>
      </c>
      <c r="I464" s="181">
        <v>6.35</v>
      </c>
      <c r="J464" s="181">
        <v>15.875</v>
      </c>
      <c r="K464" s="181">
        <v>0</v>
      </c>
      <c r="L464" s="181">
        <v>0</v>
      </c>
      <c r="M464" s="181">
        <v>1144636.4203999999</v>
      </c>
      <c r="N464" s="181">
        <v>29005.103279999999</v>
      </c>
      <c r="O464" s="181">
        <v>16190.419231999998</v>
      </c>
      <c r="P464" s="181">
        <v>32.257999999999996</v>
      </c>
      <c r="Q464" s="181">
        <v>553587.79604799999</v>
      </c>
      <c r="R464" s="181">
        <v>16878.675919999998</v>
      </c>
      <c r="S464" s="181">
        <v>9586.4324399999987</v>
      </c>
      <c r="T464" s="181">
        <v>22.529799999999998</v>
      </c>
      <c r="U464" s="181">
        <v>16066.53302816</v>
      </c>
      <c r="V464" s="181">
        <v>9559876.8488274161</v>
      </c>
    </row>
    <row r="465" spans="1:22">
      <c r="A465" s="2" t="s">
        <v>948</v>
      </c>
      <c r="B465" s="2" t="s">
        <v>949</v>
      </c>
      <c r="C465" s="181">
        <v>16.518575999999999</v>
      </c>
      <c r="D465" s="181">
        <v>2109.6731999999997</v>
      </c>
      <c r="E465" s="181">
        <v>88.899999999999991</v>
      </c>
      <c r="F465" s="181">
        <v>0</v>
      </c>
      <c r="G465" s="181">
        <v>0</v>
      </c>
      <c r="H465" s="181">
        <v>0</v>
      </c>
      <c r="I465" s="181">
        <v>12.7</v>
      </c>
      <c r="J465" s="181">
        <v>22.224999999999998</v>
      </c>
      <c r="K465" s="181">
        <v>0</v>
      </c>
      <c r="L465" s="181">
        <v>0</v>
      </c>
      <c r="M465" s="181">
        <v>1510920.0749279999</v>
      </c>
      <c r="N465" s="181">
        <v>43589.590239999998</v>
      </c>
      <c r="O465" s="181">
        <v>24252.854719999996</v>
      </c>
      <c r="P465" s="181">
        <v>26.669999999999998</v>
      </c>
      <c r="Q465" s="181">
        <v>1510920.0749279999</v>
      </c>
      <c r="R465" s="181">
        <v>43589.590239999998</v>
      </c>
      <c r="S465" s="181">
        <v>24252.854719999996</v>
      </c>
      <c r="T465" s="181">
        <v>26.669999999999998</v>
      </c>
      <c r="U465" s="181">
        <v>116961.03059359999</v>
      </c>
      <c r="V465" s="181">
        <v>63911536.236542843</v>
      </c>
    </row>
    <row r="466" spans="1:22">
      <c r="A466" s="2" t="s">
        <v>950</v>
      </c>
      <c r="B466" s="2" t="s">
        <v>951</v>
      </c>
      <c r="C466" s="181">
        <v>14.6137312</v>
      </c>
      <c r="D466" s="181">
        <v>1864.5124000000001</v>
      </c>
      <c r="E466" s="181">
        <v>88.899999999999991</v>
      </c>
      <c r="F466" s="181">
        <v>0</v>
      </c>
      <c r="G466" s="181">
        <v>0</v>
      </c>
      <c r="H466" s="181">
        <v>0</v>
      </c>
      <c r="I466" s="181">
        <v>11.112499999999999</v>
      </c>
      <c r="J466" s="181">
        <v>20.637499999999999</v>
      </c>
      <c r="K466" s="181">
        <v>0</v>
      </c>
      <c r="L466" s="181">
        <v>0</v>
      </c>
      <c r="M466" s="181">
        <v>1352752.1331999998</v>
      </c>
      <c r="N466" s="181">
        <v>38673.471039999997</v>
      </c>
      <c r="O466" s="181">
        <v>21630.924479999998</v>
      </c>
      <c r="P466" s="181">
        <v>26.923999999999999</v>
      </c>
      <c r="Q466" s="181">
        <v>1352752.1331999998</v>
      </c>
      <c r="R466" s="181">
        <v>38673.471039999997</v>
      </c>
      <c r="S466" s="181">
        <v>21630.924479999998</v>
      </c>
      <c r="T466" s="181">
        <v>26.923999999999999</v>
      </c>
      <c r="U466" s="181">
        <v>79916.433715199993</v>
      </c>
      <c r="V466" s="181">
        <v>44039882.112575747</v>
      </c>
    </row>
    <row r="467" spans="1:22">
      <c r="A467" s="2" t="s">
        <v>952</v>
      </c>
      <c r="B467" s="2" t="s">
        <v>953</v>
      </c>
      <c r="C467" s="181">
        <v>12.664241599999999</v>
      </c>
      <c r="D467" s="181">
        <v>1612.8999999999999</v>
      </c>
      <c r="E467" s="181">
        <v>88.899999999999991</v>
      </c>
      <c r="F467" s="181">
        <v>0</v>
      </c>
      <c r="G467" s="181">
        <v>0</v>
      </c>
      <c r="H467" s="181">
        <v>0</v>
      </c>
      <c r="I467" s="181">
        <v>9.5249999999999986</v>
      </c>
      <c r="J467" s="181">
        <v>19.049999999999997</v>
      </c>
      <c r="K467" s="181">
        <v>0</v>
      </c>
      <c r="L467" s="181">
        <v>0</v>
      </c>
      <c r="M467" s="181">
        <v>1190421.8772159999</v>
      </c>
      <c r="N467" s="181">
        <v>33757.351839999996</v>
      </c>
      <c r="O467" s="181">
        <v>18845.123599999995</v>
      </c>
      <c r="P467" s="181">
        <v>27.178000000000001</v>
      </c>
      <c r="Q467" s="181">
        <v>1190421.8772159999</v>
      </c>
      <c r="R467" s="181">
        <v>33593.481199999995</v>
      </c>
      <c r="S467" s="181">
        <v>18845.123599999995</v>
      </c>
      <c r="T467" s="181">
        <v>27.178000000000001</v>
      </c>
      <c r="U467" s="181">
        <v>51196.465348799997</v>
      </c>
      <c r="V467" s="181">
        <v>28464801.853250172</v>
      </c>
    </row>
    <row r="468" spans="1:22">
      <c r="A468" s="2" t="s">
        <v>954</v>
      </c>
      <c r="B468" s="2" t="s">
        <v>955</v>
      </c>
      <c r="C468" s="181">
        <v>10.6552256</v>
      </c>
      <c r="D468" s="181">
        <v>1354.836</v>
      </c>
      <c r="E468" s="181">
        <v>88.899999999999991</v>
      </c>
      <c r="F468" s="181">
        <v>0</v>
      </c>
      <c r="G468" s="181">
        <v>0</v>
      </c>
      <c r="H468" s="181">
        <v>0</v>
      </c>
      <c r="I468" s="181">
        <v>7.9375</v>
      </c>
      <c r="J468" s="181">
        <v>17.462499999999999</v>
      </c>
      <c r="K468" s="181">
        <v>0</v>
      </c>
      <c r="L468" s="181">
        <v>0</v>
      </c>
      <c r="M468" s="181">
        <v>1015604.6784639999</v>
      </c>
      <c r="N468" s="181">
        <v>28513.491359999996</v>
      </c>
      <c r="O468" s="181">
        <v>15879.065015999999</v>
      </c>
      <c r="P468" s="181">
        <v>27.431999999999999</v>
      </c>
      <c r="Q468" s="181">
        <v>1015604.6784639999</v>
      </c>
      <c r="R468" s="181">
        <v>28513.491359999996</v>
      </c>
      <c r="S468" s="181">
        <v>15879.065015999999</v>
      </c>
      <c r="T468" s="181">
        <v>27.431999999999999</v>
      </c>
      <c r="U468" s="181">
        <v>30426.517211359995</v>
      </c>
      <c r="V468" s="181">
        <v>17025173.938642085</v>
      </c>
    </row>
    <row r="469" spans="1:22">
      <c r="A469" s="2" t="s">
        <v>956</v>
      </c>
      <c r="B469" s="2" t="s">
        <v>957</v>
      </c>
      <c r="C469" s="181">
        <v>8.6164463999999992</v>
      </c>
      <c r="D469" s="181">
        <v>1096.7719999999999</v>
      </c>
      <c r="E469" s="181">
        <v>88.899999999999991</v>
      </c>
      <c r="F469" s="181">
        <v>0</v>
      </c>
      <c r="G469" s="181">
        <v>0</v>
      </c>
      <c r="H469" s="181">
        <v>0</v>
      </c>
      <c r="I469" s="181">
        <v>6.35</v>
      </c>
      <c r="J469" s="181">
        <v>15.875</v>
      </c>
      <c r="K469" s="181">
        <v>0</v>
      </c>
      <c r="L469" s="181">
        <v>0</v>
      </c>
      <c r="M469" s="181">
        <v>832462.85119999992</v>
      </c>
      <c r="N469" s="181">
        <v>23105.760239999996</v>
      </c>
      <c r="O469" s="181">
        <v>12896.619368</v>
      </c>
      <c r="P469" s="181">
        <v>27.686</v>
      </c>
      <c r="Q469" s="181">
        <v>832462.85119999992</v>
      </c>
      <c r="R469" s="181">
        <v>23105.760239999996</v>
      </c>
      <c r="S469" s="181">
        <v>12896.619368</v>
      </c>
      <c r="T469" s="181">
        <v>27.686</v>
      </c>
      <c r="U469" s="181">
        <v>16066.53302816</v>
      </c>
      <c r="V469" s="181">
        <v>8969097.9424392059</v>
      </c>
    </row>
    <row r="470" spans="1:22">
      <c r="A470" s="2" t="s">
        <v>958</v>
      </c>
      <c r="B470" s="2" t="s">
        <v>959</v>
      </c>
      <c r="C470" s="181">
        <v>15.328048000000001</v>
      </c>
      <c r="D470" s="181">
        <v>1948.3832</v>
      </c>
      <c r="E470" s="181">
        <v>88.899999999999991</v>
      </c>
      <c r="F470" s="181">
        <v>0</v>
      </c>
      <c r="G470" s="181">
        <v>0</v>
      </c>
      <c r="H470" s="181">
        <v>0</v>
      </c>
      <c r="I470" s="181">
        <v>12.7</v>
      </c>
      <c r="J470" s="181">
        <v>22.224999999999998</v>
      </c>
      <c r="K470" s="181">
        <v>0</v>
      </c>
      <c r="L470" s="181">
        <v>0</v>
      </c>
      <c r="M470" s="181">
        <v>1435998.4183199999</v>
      </c>
      <c r="N470" s="181">
        <v>42770.237039999993</v>
      </c>
      <c r="O470" s="181">
        <v>23761.242799999996</v>
      </c>
      <c r="P470" s="181">
        <v>27.178000000000001</v>
      </c>
      <c r="Q470" s="181">
        <v>965656.90739199985</v>
      </c>
      <c r="R470" s="181">
        <v>32282.516079999998</v>
      </c>
      <c r="S470" s="181">
        <v>17861.89976</v>
      </c>
      <c r="T470" s="181">
        <v>22.2758</v>
      </c>
      <c r="U470" s="181">
        <v>108220.17065599999</v>
      </c>
      <c r="V470" s="181">
        <v>51290350.509158336</v>
      </c>
    </row>
    <row r="471" spans="1:22">
      <c r="A471" s="2" t="s">
        <v>960</v>
      </c>
      <c r="B471" s="2" t="s">
        <v>961</v>
      </c>
      <c r="C471" s="181">
        <v>13.527374399999999</v>
      </c>
      <c r="D471" s="181">
        <v>1722.5771999999999</v>
      </c>
      <c r="E471" s="181">
        <v>88.899999999999991</v>
      </c>
      <c r="F471" s="181">
        <v>0</v>
      </c>
      <c r="G471" s="181">
        <v>0</v>
      </c>
      <c r="H471" s="181">
        <v>0</v>
      </c>
      <c r="I471" s="181">
        <v>11.112499999999999</v>
      </c>
      <c r="J471" s="181">
        <v>20.637499999999999</v>
      </c>
      <c r="K471" s="181">
        <v>0</v>
      </c>
      <c r="L471" s="181">
        <v>0</v>
      </c>
      <c r="M471" s="181">
        <v>1290317.4193599999</v>
      </c>
      <c r="N471" s="181">
        <v>38017.988479999993</v>
      </c>
      <c r="O471" s="181">
        <v>21139.312559999998</v>
      </c>
      <c r="P471" s="181">
        <v>27.431999999999999</v>
      </c>
      <c r="Q471" s="181">
        <v>869923.67950399988</v>
      </c>
      <c r="R471" s="181">
        <v>28677.361999999997</v>
      </c>
      <c r="S471" s="181">
        <v>15911.839143999998</v>
      </c>
      <c r="T471" s="181">
        <v>22.478999999999999</v>
      </c>
      <c r="U471" s="181">
        <v>74089.193756799985</v>
      </c>
      <c r="V471" s="181">
        <v>35446734.383292675</v>
      </c>
    </row>
    <row r="472" spans="1:22">
      <c r="A472" s="2" t="s">
        <v>962</v>
      </c>
      <c r="B472" s="2" t="s">
        <v>963</v>
      </c>
      <c r="C472" s="181">
        <v>11.7267008</v>
      </c>
      <c r="D472" s="181">
        <v>1496.7711999999999</v>
      </c>
      <c r="E472" s="181">
        <v>88.899999999999991</v>
      </c>
      <c r="F472" s="181">
        <v>0</v>
      </c>
      <c r="G472" s="181">
        <v>0</v>
      </c>
      <c r="H472" s="181">
        <v>0</v>
      </c>
      <c r="I472" s="181">
        <v>9.5249999999999986</v>
      </c>
      <c r="J472" s="181">
        <v>19.049999999999997</v>
      </c>
      <c r="K472" s="181">
        <v>0</v>
      </c>
      <c r="L472" s="181">
        <v>0</v>
      </c>
      <c r="M472" s="181">
        <v>1136311.791888</v>
      </c>
      <c r="N472" s="181">
        <v>33265.739919999993</v>
      </c>
      <c r="O472" s="181">
        <v>18353.51168</v>
      </c>
      <c r="P472" s="181">
        <v>27.686</v>
      </c>
      <c r="Q472" s="181">
        <v>765865.82310399995</v>
      </c>
      <c r="R472" s="181">
        <v>24908.33728</v>
      </c>
      <c r="S472" s="181">
        <v>13879.843207999998</v>
      </c>
      <c r="T472" s="181">
        <v>22.6568</v>
      </c>
      <c r="U472" s="181">
        <v>47450.382518399994</v>
      </c>
      <c r="V472" s="181">
        <v>23040377.349140234</v>
      </c>
    </row>
    <row r="473" spans="1:22">
      <c r="A473" s="2" t="s">
        <v>964</v>
      </c>
      <c r="B473" s="2" t="s">
        <v>965</v>
      </c>
      <c r="C473" s="181">
        <v>9.8962640000000004</v>
      </c>
      <c r="D473" s="181">
        <v>1258.0619999999999</v>
      </c>
      <c r="E473" s="181">
        <v>88.899999999999991</v>
      </c>
      <c r="F473" s="181">
        <v>0</v>
      </c>
      <c r="G473" s="181">
        <v>0</v>
      </c>
      <c r="H473" s="181">
        <v>0</v>
      </c>
      <c r="I473" s="181">
        <v>7.9375</v>
      </c>
      <c r="J473" s="181">
        <v>17.462499999999999</v>
      </c>
      <c r="K473" s="181">
        <v>0</v>
      </c>
      <c r="L473" s="181">
        <v>0</v>
      </c>
      <c r="M473" s="181">
        <v>969819.22164799995</v>
      </c>
      <c r="N473" s="181">
        <v>28185.750079999998</v>
      </c>
      <c r="O473" s="181">
        <v>15584.097863999998</v>
      </c>
      <c r="P473" s="181">
        <v>27.686</v>
      </c>
      <c r="Q473" s="181">
        <v>657645.65244799992</v>
      </c>
      <c r="R473" s="181">
        <v>20975.441919999997</v>
      </c>
      <c r="S473" s="181">
        <v>11765.911951999999</v>
      </c>
      <c r="T473" s="181">
        <v>22.86</v>
      </c>
      <c r="U473" s="181">
        <v>28303.736940799998</v>
      </c>
      <c r="V473" s="181">
        <v>13749036.366852915</v>
      </c>
    </row>
    <row r="474" spans="1:22">
      <c r="A474" s="2" t="s">
        <v>966</v>
      </c>
      <c r="B474" s="2" t="s">
        <v>967</v>
      </c>
      <c r="C474" s="181">
        <v>8.0063008</v>
      </c>
      <c r="D474" s="181">
        <v>1019.3528</v>
      </c>
      <c r="E474" s="181">
        <v>88.899999999999991</v>
      </c>
      <c r="F474" s="181">
        <v>0</v>
      </c>
      <c r="G474" s="181">
        <v>0</v>
      </c>
      <c r="H474" s="181">
        <v>0</v>
      </c>
      <c r="I474" s="181">
        <v>6.35</v>
      </c>
      <c r="J474" s="181">
        <v>15.875</v>
      </c>
      <c r="K474" s="181">
        <v>0</v>
      </c>
      <c r="L474" s="181">
        <v>0</v>
      </c>
      <c r="M474" s="181">
        <v>799164.33715199993</v>
      </c>
      <c r="N474" s="181">
        <v>22778.018959999998</v>
      </c>
      <c r="O474" s="181">
        <v>12667.200471999999</v>
      </c>
      <c r="P474" s="181">
        <v>27.94</v>
      </c>
      <c r="Q474" s="181">
        <v>541100.85327999992</v>
      </c>
      <c r="R474" s="181">
        <v>17042.546559999999</v>
      </c>
      <c r="S474" s="181">
        <v>9586.4324399999987</v>
      </c>
      <c r="T474" s="181">
        <v>23.063199999999998</v>
      </c>
      <c r="U474" s="181">
        <v>14984.331321599997</v>
      </c>
      <c r="V474" s="181">
        <v>7250468.3965825913</v>
      </c>
    </row>
    <row r="475" spans="1:22">
      <c r="A475" s="2" t="s">
        <v>968</v>
      </c>
      <c r="B475" s="2" t="s">
        <v>969</v>
      </c>
      <c r="C475" s="181">
        <v>14.003585599999999</v>
      </c>
      <c r="D475" s="181">
        <v>1780.6415999999997</v>
      </c>
      <c r="E475" s="181">
        <v>88.899999999999991</v>
      </c>
      <c r="F475" s="181">
        <v>0</v>
      </c>
      <c r="G475" s="181">
        <v>0</v>
      </c>
      <c r="H475" s="181">
        <v>0</v>
      </c>
      <c r="I475" s="181">
        <v>12.7</v>
      </c>
      <c r="J475" s="181">
        <v>22.224999999999998</v>
      </c>
      <c r="K475" s="181">
        <v>0</v>
      </c>
      <c r="L475" s="181">
        <v>0</v>
      </c>
      <c r="M475" s="181">
        <v>1348589.8189439999</v>
      </c>
      <c r="N475" s="181">
        <v>41295.401279999998</v>
      </c>
      <c r="O475" s="181">
        <v>23105.760239999996</v>
      </c>
      <c r="P475" s="181">
        <v>27.431999999999999</v>
      </c>
      <c r="Q475" s="181">
        <v>566074.73881599994</v>
      </c>
      <c r="R475" s="181">
        <v>22778.018959999998</v>
      </c>
      <c r="S475" s="181">
        <v>12388.620384</v>
      </c>
      <c r="T475" s="181">
        <v>17.805399999999999</v>
      </c>
      <c r="U475" s="181">
        <v>97398.15359039999</v>
      </c>
      <c r="V475" s="181">
        <v>42697202.779875264</v>
      </c>
    </row>
    <row r="476" spans="1:22">
      <c r="A476" s="2" t="s">
        <v>970</v>
      </c>
      <c r="B476" s="2" t="s">
        <v>971</v>
      </c>
      <c r="C476" s="181">
        <v>10.759396799999999</v>
      </c>
      <c r="D476" s="181">
        <v>1367.7392</v>
      </c>
      <c r="E476" s="181">
        <v>88.899999999999991</v>
      </c>
      <c r="F476" s="181">
        <v>0</v>
      </c>
      <c r="G476" s="181">
        <v>0</v>
      </c>
      <c r="H476" s="181">
        <v>0</v>
      </c>
      <c r="I476" s="181">
        <v>9.5249999999999986</v>
      </c>
      <c r="J476" s="181">
        <v>19.049999999999997</v>
      </c>
      <c r="K476" s="181">
        <v>0</v>
      </c>
      <c r="L476" s="181">
        <v>0</v>
      </c>
      <c r="M476" s="181">
        <v>1065552.4495359999</v>
      </c>
      <c r="N476" s="181">
        <v>32118.645439999997</v>
      </c>
      <c r="O476" s="181">
        <v>17861.89976</v>
      </c>
      <c r="P476" s="181">
        <v>27.94</v>
      </c>
      <c r="Q476" s="181">
        <v>453692.25390399998</v>
      </c>
      <c r="R476" s="181">
        <v>17534.158479999998</v>
      </c>
      <c r="S476" s="181">
        <v>9651.9806959999987</v>
      </c>
      <c r="T476" s="181">
        <v>18.186399999999999</v>
      </c>
      <c r="U476" s="181">
        <v>42871.836836799994</v>
      </c>
      <c r="V476" s="181">
        <v>19173460.870962854</v>
      </c>
    </row>
    <row r="477" spans="1:22">
      <c r="A477" s="2" t="s">
        <v>972</v>
      </c>
      <c r="B477" s="2" t="s">
        <v>973</v>
      </c>
      <c r="C477" s="181">
        <v>9.0777759999999983</v>
      </c>
      <c r="D477" s="181">
        <v>1154.8363999999999</v>
      </c>
      <c r="E477" s="181">
        <v>88.899999999999991</v>
      </c>
      <c r="F477" s="181">
        <v>0</v>
      </c>
      <c r="G477" s="181">
        <v>0</v>
      </c>
      <c r="H477" s="181">
        <v>0</v>
      </c>
      <c r="I477" s="181">
        <v>7.9375</v>
      </c>
      <c r="J477" s="181">
        <v>17.462499999999999</v>
      </c>
      <c r="K477" s="181">
        <v>0</v>
      </c>
      <c r="L477" s="181">
        <v>0</v>
      </c>
      <c r="M477" s="181">
        <v>915709.13631999993</v>
      </c>
      <c r="N477" s="181">
        <v>27366.396879999997</v>
      </c>
      <c r="O477" s="181">
        <v>15158.0342</v>
      </c>
      <c r="P477" s="181">
        <v>28.194000000000003</v>
      </c>
      <c r="Q477" s="181">
        <v>390008.84578719997</v>
      </c>
      <c r="R477" s="181">
        <v>14748.357599999999</v>
      </c>
      <c r="S477" s="181">
        <v>8209.9190639999997</v>
      </c>
      <c r="T477" s="181">
        <v>18.364199999999997</v>
      </c>
      <c r="U477" s="181">
        <v>25431.740104159999</v>
      </c>
      <c r="V477" s="181">
        <v>11439627.914608089</v>
      </c>
    </row>
    <row r="478" spans="1:22">
      <c r="A478" s="2" t="s">
        <v>974</v>
      </c>
      <c r="B478" s="2" t="s">
        <v>975</v>
      </c>
      <c r="C478" s="181">
        <v>7.3515104000000004</v>
      </c>
      <c r="D478" s="181">
        <v>935.48199999999997</v>
      </c>
      <c r="E478" s="181">
        <v>88.899999999999991</v>
      </c>
      <c r="F478" s="181">
        <v>0</v>
      </c>
      <c r="G478" s="181">
        <v>0</v>
      </c>
      <c r="H478" s="181">
        <v>0</v>
      </c>
      <c r="I478" s="181">
        <v>6.35</v>
      </c>
      <c r="J478" s="181">
        <v>15.875</v>
      </c>
      <c r="K478" s="181">
        <v>0</v>
      </c>
      <c r="L478" s="181">
        <v>0</v>
      </c>
      <c r="M478" s="181">
        <v>753378.880336</v>
      </c>
      <c r="N478" s="181">
        <v>22286.407039999998</v>
      </c>
      <c r="O478" s="181">
        <v>12339.459191999998</v>
      </c>
      <c r="P478" s="181">
        <v>28.448</v>
      </c>
      <c r="Q478" s="181">
        <v>322579.35483999999</v>
      </c>
      <c r="R478" s="181">
        <v>11929.782591999998</v>
      </c>
      <c r="S478" s="181">
        <v>6718.6962399999993</v>
      </c>
      <c r="T478" s="181">
        <v>18.567399999999999</v>
      </c>
      <c r="U478" s="181">
        <v>13402.651904319999</v>
      </c>
      <c r="V478" s="181">
        <v>6042056.997152159</v>
      </c>
    </row>
    <row r="479" spans="1:22">
      <c r="A479" s="2" t="s">
        <v>976</v>
      </c>
      <c r="B479" s="2" t="s">
        <v>977</v>
      </c>
      <c r="C479" s="181">
        <v>13.914295999999998</v>
      </c>
      <c r="D479" s="181">
        <v>1774.1899999999998</v>
      </c>
      <c r="E479" s="181">
        <v>76.199999999999989</v>
      </c>
      <c r="F479" s="181">
        <v>0</v>
      </c>
      <c r="G479" s="181">
        <v>0</v>
      </c>
      <c r="H479" s="181">
        <v>0</v>
      </c>
      <c r="I479" s="181">
        <v>12.7</v>
      </c>
      <c r="J479" s="181">
        <v>22.224999999999998</v>
      </c>
      <c r="K479" s="181">
        <v>0</v>
      </c>
      <c r="L479" s="181">
        <v>0</v>
      </c>
      <c r="M479" s="181">
        <v>915709.13631999993</v>
      </c>
      <c r="N479" s="181">
        <v>31299.292239999995</v>
      </c>
      <c r="O479" s="181">
        <v>17370.287840000001</v>
      </c>
      <c r="P479" s="181">
        <v>22.733000000000001</v>
      </c>
      <c r="Q479" s="181">
        <v>915709.13631999993</v>
      </c>
      <c r="R479" s="181">
        <v>31299.292239999995</v>
      </c>
      <c r="S479" s="181">
        <v>17370.287840000001</v>
      </c>
      <c r="T479" s="181">
        <v>22.733000000000001</v>
      </c>
      <c r="U479" s="181">
        <v>95733.227887999994</v>
      </c>
      <c r="V479" s="181">
        <v>38669164.781773821</v>
      </c>
    </row>
    <row r="480" spans="1:22">
      <c r="A480" s="2" t="s">
        <v>978</v>
      </c>
      <c r="B480" s="2" t="s">
        <v>979</v>
      </c>
      <c r="C480" s="181">
        <v>12.321964799999998</v>
      </c>
      <c r="D480" s="181">
        <v>1567.7388000000001</v>
      </c>
      <c r="E480" s="181">
        <v>76.199999999999989</v>
      </c>
      <c r="F480" s="181">
        <v>0</v>
      </c>
      <c r="G480" s="181">
        <v>0</v>
      </c>
      <c r="H480" s="181">
        <v>0</v>
      </c>
      <c r="I480" s="181">
        <v>11.112499999999999</v>
      </c>
      <c r="J480" s="181">
        <v>20.637499999999999</v>
      </c>
      <c r="K480" s="181">
        <v>0</v>
      </c>
      <c r="L480" s="181">
        <v>0</v>
      </c>
      <c r="M480" s="181">
        <v>824138.22268799995</v>
      </c>
      <c r="N480" s="181">
        <v>27858.008799999996</v>
      </c>
      <c r="O480" s="181">
        <v>15502.162543999997</v>
      </c>
      <c r="P480" s="181">
        <v>22.936199999999999</v>
      </c>
      <c r="Q480" s="181">
        <v>824138.22268799995</v>
      </c>
      <c r="R480" s="181">
        <v>27858.008799999996</v>
      </c>
      <c r="S480" s="181">
        <v>15502.162543999997</v>
      </c>
      <c r="T480" s="181">
        <v>22.936199999999999</v>
      </c>
      <c r="U480" s="181">
        <v>65348.333819199994</v>
      </c>
      <c r="V480" s="181">
        <v>26853586.654009599</v>
      </c>
    </row>
    <row r="481" spans="1:22">
      <c r="A481" s="2" t="s">
        <v>980</v>
      </c>
      <c r="B481" s="2" t="s">
        <v>981</v>
      </c>
      <c r="C481" s="181">
        <v>10.670107199999999</v>
      </c>
      <c r="D481" s="181">
        <v>1361.2875999999999</v>
      </c>
      <c r="E481" s="181">
        <v>76.199999999999989</v>
      </c>
      <c r="F481" s="181">
        <v>0</v>
      </c>
      <c r="G481" s="181">
        <v>0</v>
      </c>
      <c r="H481" s="181">
        <v>0</v>
      </c>
      <c r="I481" s="181">
        <v>9.5249999999999986</v>
      </c>
      <c r="J481" s="181">
        <v>19.049999999999997</v>
      </c>
      <c r="K481" s="181">
        <v>0</v>
      </c>
      <c r="L481" s="181">
        <v>0</v>
      </c>
      <c r="M481" s="181">
        <v>728404.99479999999</v>
      </c>
      <c r="N481" s="181">
        <v>24252.854719999996</v>
      </c>
      <c r="O481" s="181">
        <v>13519.327799999997</v>
      </c>
      <c r="P481" s="181">
        <v>23.114000000000001</v>
      </c>
      <c r="Q481" s="181">
        <v>728404.99479999999</v>
      </c>
      <c r="R481" s="181">
        <v>24252.854719999996</v>
      </c>
      <c r="S481" s="181">
        <v>13519.327799999997</v>
      </c>
      <c r="T481" s="181">
        <v>23.114000000000001</v>
      </c>
      <c r="U481" s="181">
        <v>42039.373985599996</v>
      </c>
      <c r="V481" s="181">
        <v>17508538.498414256</v>
      </c>
    </row>
    <row r="482" spans="1:22">
      <c r="A482" s="2" t="s">
        <v>982</v>
      </c>
      <c r="B482" s="2" t="s">
        <v>983</v>
      </c>
      <c r="C482" s="181">
        <v>8.9884863999999993</v>
      </c>
      <c r="D482" s="181">
        <v>1148.3848</v>
      </c>
      <c r="E482" s="181">
        <v>76.199999999999989</v>
      </c>
      <c r="F482" s="181">
        <v>0</v>
      </c>
      <c r="G482" s="181">
        <v>0</v>
      </c>
      <c r="H482" s="181">
        <v>0</v>
      </c>
      <c r="I482" s="181">
        <v>7.9375</v>
      </c>
      <c r="J482" s="181">
        <v>17.462499999999999</v>
      </c>
      <c r="K482" s="181">
        <v>0</v>
      </c>
      <c r="L482" s="181">
        <v>0</v>
      </c>
      <c r="M482" s="181">
        <v>624347.13839999994</v>
      </c>
      <c r="N482" s="181">
        <v>20647.700639999999</v>
      </c>
      <c r="O482" s="181">
        <v>11454.557735999999</v>
      </c>
      <c r="P482" s="181">
        <v>23.3172</v>
      </c>
      <c r="Q482" s="181">
        <v>624347.13839999994</v>
      </c>
      <c r="R482" s="181">
        <v>20483.829999999998</v>
      </c>
      <c r="S482" s="181">
        <v>11454.557735999999</v>
      </c>
      <c r="T482" s="181">
        <v>23.3172</v>
      </c>
      <c r="U482" s="181">
        <v>24849.01610832</v>
      </c>
      <c r="V482" s="181">
        <v>10472898.795063743</v>
      </c>
    </row>
    <row r="483" spans="1:22">
      <c r="A483" s="2" t="s">
        <v>984</v>
      </c>
      <c r="B483" s="2" t="s">
        <v>985</v>
      </c>
      <c r="C483" s="181">
        <v>7.2771023999999995</v>
      </c>
      <c r="D483" s="181">
        <v>929.03039999999987</v>
      </c>
      <c r="E483" s="181">
        <v>76.199999999999989</v>
      </c>
      <c r="F483" s="181">
        <v>0</v>
      </c>
      <c r="G483" s="181">
        <v>0</v>
      </c>
      <c r="H483" s="181">
        <v>0</v>
      </c>
      <c r="I483" s="181">
        <v>6.35</v>
      </c>
      <c r="J483" s="181">
        <v>15.875</v>
      </c>
      <c r="K483" s="181">
        <v>0</v>
      </c>
      <c r="L483" s="181">
        <v>0</v>
      </c>
      <c r="M483" s="181">
        <v>511964.65348799992</v>
      </c>
      <c r="N483" s="181">
        <v>16714.80528</v>
      </c>
      <c r="O483" s="181">
        <v>9324.2394159999985</v>
      </c>
      <c r="P483" s="181">
        <v>23.520399999999999</v>
      </c>
      <c r="Q483" s="181">
        <v>511964.65348799992</v>
      </c>
      <c r="R483" s="181">
        <v>16714.80528</v>
      </c>
      <c r="S483" s="181">
        <v>9324.2394159999985</v>
      </c>
      <c r="T483" s="181">
        <v>23.520399999999999</v>
      </c>
      <c r="U483" s="181">
        <v>13028.04362128</v>
      </c>
      <c r="V483" s="181">
        <v>5531838.8507259777</v>
      </c>
    </row>
    <row r="484" spans="1:22">
      <c r="A484" s="2" t="s">
        <v>986</v>
      </c>
      <c r="B484" s="2" t="s">
        <v>987</v>
      </c>
      <c r="C484" s="181">
        <v>5.5061920000000004</v>
      </c>
      <c r="D484" s="181">
        <v>703.22440000000006</v>
      </c>
      <c r="E484" s="181">
        <v>76.199999999999989</v>
      </c>
      <c r="F484" s="181">
        <v>0</v>
      </c>
      <c r="G484" s="181">
        <v>0</v>
      </c>
      <c r="H484" s="181">
        <v>0</v>
      </c>
      <c r="I484" s="181">
        <v>4.7624999999999993</v>
      </c>
      <c r="J484" s="181">
        <v>14.2875</v>
      </c>
      <c r="K484" s="181">
        <v>0</v>
      </c>
      <c r="L484" s="181">
        <v>0</v>
      </c>
      <c r="M484" s="181">
        <v>394587.39146879996</v>
      </c>
      <c r="N484" s="181">
        <v>12683.587535999999</v>
      </c>
      <c r="O484" s="181">
        <v>7095.5987119999991</v>
      </c>
      <c r="P484" s="181">
        <v>23.6982</v>
      </c>
      <c r="Q484" s="181">
        <v>394587.39146879996</v>
      </c>
      <c r="R484" s="181">
        <v>12683.587535999999</v>
      </c>
      <c r="S484" s="181">
        <v>7095.5987119999991</v>
      </c>
      <c r="T484" s="181">
        <v>23.6982</v>
      </c>
      <c r="U484" s="181">
        <v>5660.747388159999</v>
      </c>
      <c r="V484" s="181">
        <v>2416822.7988608638</v>
      </c>
    </row>
    <row r="485" spans="1:22">
      <c r="A485" s="2" t="s">
        <v>988</v>
      </c>
      <c r="B485" s="2" t="s">
        <v>989</v>
      </c>
      <c r="C485" s="181">
        <v>12.694004799999998</v>
      </c>
      <c r="D485" s="181">
        <v>1619.3515999999997</v>
      </c>
      <c r="E485" s="181">
        <v>76.199999999999989</v>
      </c>
      <c r="F485" s="181">
        <v>0</v>
      </c>
      <c r="G485" s="181">
        <v>0</v>
      </c>
      <c r="H485" s="181">
        <v>0</v>
      </c>
      <c r="I485" s="181">
        <v>12.7</v>
      </c>
      <c r="J485" s="181">
        <v>22.224999999999998</v>
      </c>
      <c r="K485" s="181">
        <v>0</v>
      </c>
      <c r="L485" s="181">
        <v>0</v>
      </c>
      <c r="M485" s="181">
        <v>861599.0509919998</v>
      </c>
      <c r="N485" s="181">
        <v>30479.939039999997</v>
      </c>
      <c r="O485" s="181">
        <v>16878.675919999998</v>
      </c>
      <c r="P485" s="181">
        <v>23.114000000000001</v>
      </c>
      <c r="Q485" s="181">
        <v>536938.53902399994</v>
      </c>
      <c r="R485" s="181">
        <v>21958.66576</v>
      </c>
      <c r="S485" s="181">
        <v>12060.879103999998</v>
      </c>
      <c r="T485" s="181">
        <v>18.237199999999998</v>
      </c>
      <c r="U485" s="181">
        <v>88657.293652799985</v>
      </c>
      <c r="V485" s="181">
        <v>30076017.052490752</v>
      </c>
    </row>
    <row r="486" spans="1:22">
      <c r="A486" s="2" t="s">
        <v>990</v>
      </c>
      <c r="B486" s="2" t="s">
        <v>991</v>
      </c>
      <c r="C486" s="181">
        <v>11.250489599999998</v>
      </c>
      <c r="D486" s="181">
        <v>1432.2552000000001</v>
      </c>
      <c r="E486" s="181">
        <v>76.199999999999989</v>
      </c>
      <c r="F486" s="181">
        <v>0</v>
      </c>
      <c r="G486" s="181">
        <v>0</v>
      </c>
      <c r="H486" s="181">
        <v>0</v>
      </c>
      <c r="I486" s="181">
        <v>11.112499999999999</v>
      </c>
      <c r="J486" s="181">
        <v>20.637499999999999</v>
      </c>
      <c r="K486" s="181">
        <v>0</v>
      </c>
      <c r="L486" s="181">
        <v>0</v>
      </c>
      <c r="M486" s="181">
        <v>778352.76587200002</v>
      </c>
      <c r="N486" s="181">
        <v>27202.526239999996</v>
      </c>
      <c r="O486" s="181">
        <v>15092.485944</v>
      </c>
      <c r="P486" s="181">
        <v>23.291799999999999</v>
      </c>
      <c r="Q486" s="181">
        <v>486990.76795199991</v>
      </c>
      <c r="R486" s="181">
        <v>19500.606159999996</v>
      </c>
      <c r="S486" s="181">
        <v>10749.913983999999</v>
      </c>
      <c r="T486" s="181">
        <v>18.389599999999998</v>
      </c>
      <c r="U486" s="181">
        <v>60769.788137599993</v>
      </c>
      <c r="V486" s="181">
        <v>20865236.830165461</v>
      </c>
    </row>
    <row r="487" spans="1:22">
      <c r="A487" s="2" t="s">
        <v>992</v>
      </c>
      <c r="B487" s="2" t="s">
        <v>993</v>
      </c>
      <c r="C487" s="181">
        <v>9.7623295999999993</v>
      </c>
      <c r="D487" s="181">
        <v>1245.1587999999999</v>
      </c>
      <c r="E487" s="181">
        <v>76.199999999999989</v>
      </c>
      <c r="F487" s="181">
        <v>0</v>
      </c>
      <c r="G487" s="181">
        <v>0</v>
      </c>
      <c r="H487" s="181">
        <v>0</v>
      </c>
      <c r="I487" s="181">
        <v>9.5249999999999986</v>
      </c>
      <c r="J487" s="181">
        <v>19.049999999999997</v>
      </c>
      <c r="K487" s="181">
        <v>0</v>
      </c>
      <c r="L487" s="181">
        <v>0</v>
      </c>
      <c r="M487" s="181">
        <v>686781.85223999992</v>
      </c>
      <c r="N487" s="181">
        <v>23761.242799999996</v>
      </c>
      <c r="O487" s="181">
        <v>13158.812392</v>
      </c>
      <c r="P487" s="181">
        <v>23.4696</v>
      </c>
      <c r="Q487" s="181">
        <v>428718.36836799997</v>
      </c>
      <c r="R487" s="181">
        <v>16878.675919999998</v>
      </c>
      <c r="S487" s="181">
        <v>9389.7876719999986</v>
      </c>
      <c r="T487" s="181">
        <v>18.567399999999999</v>
      </c>
      <c r="U487" s="181">
        <v>39250.623434079993</v>
      </c>
      <c r="V487" s="181">
        <v>13614768.433582867</v>
      </c>
    </row>
    <row r="488" spans="1:22">
      <c r="A488" s="2" t="s">
        <v>994</v>
      </c>
      <c r="B488" s="2" t="s">
        <v>995</v>
      </c>
      <c r="C488" s="181">
        <v>8.244406399999999</v>
      </c>
      <c r="D488" s="181">
        <v>1051.6107999999999</v>
      </c>
      <c r="E488" s="181">
        <v>76.199999999999989</v>
      </c>
      <c r="F488" s="181">
        <v>0</v>
      </c>
      <c r="G488" s="181">
        <v>0</v>
      </c>
      <c r="H488" s="181">
        <v>0</v>
      </c>
      <c r="I488" s="181">
        <v>7.9375</v>
      </c>
      <c r="J488" s="181">
        <v>17.462499999999999</v>
      </c>
      <c r="K488" s="181">
        <v>0</v>
      </c>
      <c r="L488" s="181">
        <v>0</v>
      </c>
      <c r="M488" s="181">
        <v>586886.31009599986</v>
      </c>
      <c r="N488" s="181">
        <v>20156.088719999996</v>
      </c>
      <c r="O488" s="181">
        <v>11159.590584</v>
      </c>
      <c r="P488" s="181">
        <v>23.672799999999999</v>
      </c>
      <c r="Q488" s="181">
        <v>369613.50593279995</v>
      </c>
      <c r="R488" s="181">
        <v>14305.906871999998</v>
      </c>
      <c r="S488" s="181">
        <v>7980.5001679999987</v>
      </c>
      <c r="T488" s="181">
        <v>18.770599999999998</v>
      </c>
      <c r="U488" s="181">
        <v>23308.959833599998</v>
      </c>
      <c r="V488" s="181">
        <v>8163490.3428189177</v>
      </c>
    </row>
    <row r="489" spans="1:22">
      <c r="A489" s="2" t="s">
        <v>996</v>
      </c>
      <c r="B489" s="2" t="s">
        <v>997</v>
      </c>
      <c r="C489" s="181">
        <v>6.6818384000000002</v>
      </c>
      <c r="D489" s="181">
        <v>851.61120000000005</v>
      </c>
      <c r="E489" s="181">
        <v>76.199999999999989</v>
      </c>
      <c r="F489" s="181">
        <v>0</v>
      </c>
      <c r="G489" s="181">
        <v>0</v>
      </c>
      <c r="H489" s="181">
        <v>0</v>
      </c>
      <c r="I489" s="181">
        <v>6.35</v>
      </c>
      <c r="J489" s="181">
        <v>15.875</v>
      </c>
      <c r="K489" s="181">
        <v>0</v>
      </c>
      <c r="L489" s="181">
        <v>0</v>
      </c>
      <c r="M489" s="181">
        <v>482828.45369599992</v>
      </c>
      <c r="N489" s="181">
        <v>16387.063999999998</v>
      </c>
      <c r="O489" s="181">
        <v>9094.8205199999993</v>
      </c>
      <c r="P489" s="181">
        <v>23.875999999999998</v>
      </c>
      <c r="Q489" s="181">
        <v>305513.86639039998</v>
      </c>
      <c r="R489" s="181">
        <v>11585.654247999999</v>
      </c>
      <c r="S489" s="181">
        <v>6505.6644079999996</v>
      </c>
      <c r="T489" s="181">
        <v>18.948399999999999</v>
      </c>
      <c r="U489" s="181">
        <v>12320.450197759999</v>
      </c>
      <c r="V489" s="181">
        <v>4323427.4512955453</v>
      </c>
    </row>
    <row r="490" spans="1:22">
      <c r="A490" s="2" t="s">
        <v>998</v>
      </c>
      <c r="B490" s="2" t="s">
        <v>999</v>
      </c>
      <c r="C490" s="181">
        <v>5.0746256000000001</v>
      </c>
      <c r="D490" s="181">
        <v>645.16</v>
      </c>
      <c r="E490" s="181">
        <v>76.199999999999989</v>
      </c>
      <c r="F490" s="181">
        <v>0</v>
      </c>
      <c r="G490" s="181">
        <v>0</v>
      </c>
      <c r="H490" s="181">
        <v>0</v>
      </c>
      <c r="I490" s="181">
        <v>4.7624999999999993</v>
      </c>
      <c r="J490" s="181">
        <v>14.2875</v>
      </c>
      <c r="K490" s="181">
        <v>0</v>
      </c>
      <c r="L490" s="181">
        <v>0</v>
      </c>
      <c r="M490" s="181">
        <v>374192.0516144</v>
      </c>
      <c r="N490" s="181">
        <v>12470.555703999999</v>
      </c>
      <c r="O490" s="181">
        <v>6931.728071999999</v>
      </c>
      <c r="P490" s="181">
        <v>24.053799999999999</v>
      </c>
      <c r="Q490" s="181">
        <v>236419.44974079996</v>
      </c>
      <c r="R490" s="181">
        <v>8783.4663039999996</v>
      </c>
      <c r="S490" s="181">
        <v>4965.2803919999997</v>
      </c>
      <c r="T490" s="181">
        <v>19.126200000000001</v>
      </c>
      <c r="U490" s="181">
        <v>5411.0085327999996</v>
      </c>
      <c r="V490" s="181">
        <v>1879751.065780672</v>
      </c>
    </row>
    <row r="491" spans="1:22">
      <c r="A491" s="2" t="s">
        <v>1000</v>
      </c>
      <c r="B491" s="2" t="s">
        <v>1001</v>
      </c>
      <c r="C491" s="181">
        <v>11.458831999999999</v>
      </c>
      <c r="D491" s="181">
        <v>1458.0615999999998</v>
      </c>
      <c r="E491" s="181">
        <v>76.199999999999989</v>
      </c>
      <c r="F491" s="181">
        <v>0</v>
      </c>
      <c r="G491" s="181">
        <v>0</v>
      </c>
      <c r="H491" s="181">
        <v>0</v>
      </c>
      <c r="I491" s="181">
        <v>12.7</v>
      </c>
      <c r="J491" s="181">
        <v>20.637499999999999</v>
      </c>
      <c r="K491" s="181">
        <v>0</v>
      </c>
      <c r="L491" s="181">
        <v>0</v>
      </c>
      <c r="M491" s="181">
        <v>799164.33715199993</v>
      </c>
      <c r="N491" s="181">
        <v>29168.973919999997</v>
      </c>
      <c r="O491" s="181">
        <v>16387.063999999998</v>
      </c>
      <c r="P491" s="181">
        <v>23.418800000000001</v>
      </c>
      <c r="Q491" s="181">
        <v>277626.36087520001</v>
      </c>
      <c r="R491" s="181">
        <v>14535.325767999999</v>
      </c>
      <c r="S491" s="181">
        <v>7701.920079999999</v>
      </c>
      <c r="T491" s="181">
        <v>13.792199999999999</v>
      </c>
      <c r="U491" s="181">
        <v>79916.433715199993</v>
      </c>
      <c r="V491" s="181">
        <v>24383056.681840718</v>
      </c>
    </row>
    <row r="492" spans="1:22">
      <c r="A492" s="2" t="s">
        <v>1002</v>
      </c>
      <c r="B492" s="2" t="s">
        <v>1003</v>
      </c>
      <c r="C492" s="181">
        <v>8.854552</v>
      </c>
      <c r="D492" s="181">
        <v>1129.03</v>
      </c>
      <c r="E492" s="181">
        <v>76.199999999999989</v>
      </c>
      <c r="F492" s="181">
        <v>0</v>
      </c>
      <c r="G492" s="181">
        <v>0</v>
      </c>
      <c r="H492" s="181">
        <v>0</v>
      </c>
      <c r="I492" s="181">
        <v>9.5249999999999986</v>
      </c>
      <c r="J492" s="181">
        <v>17.462499999999999</v>
      </c>
      <c r="K492" s="181">
        <v>0</v>
      </c>
      <c r="L492" s="181">
        <v>0</v>
      </c>
      <c r="M492" s="181">
        <v>640996.39542399999</v>
      </c>
      <c r="N492" s="181">
        <v>22778.018959999998</v>
      </c>
      <c r="O492" s="181">
        <v>12765.522856</v>
      </c>
      <c r="P492" s="181">
        <v>23.799800000000001</v>
      </c>
      <c r="Q492" s="181">
        <v>224348.73839839999</v>
      </c>
      <c r="R492" s="181">
        <v>11126.816456</v>
      </c>
      <c r="S492" s="181">
        <v>6030.4395519999989</v>
      </c>
      <c r="T492" s="181">
        <v>14.097000000000001</v>
      </c>
      <c r="U492" s="181">
        <v>35587.786888800001</v>
      </c>
      <c r="V492" s="181">
        <v>11090531.288105965</v>
      </c>
    </row>
    <row r="493" spans="1:22">
      <c r="A493" s="2" t="s">
        <v>1004</v>
      </c>
      <c r="B493" s="2" t="s">
        <v>1005</v>
      </c>
      <c r="C493" s="181">
        <v>7.4854447999999998</v>
      </c>
      <c r="D493" s="181">
        <v>954.83679999999993</v>
      </c>
      <c r="E493" s="181">
        <v>76.199999999999989</v>
      </c>
      <c r="F493" s="181">
        <v>0</v>
      </c>
      <c r="G493" s="181">
        <v>0</v>
      </c>
      <c r="H493" s="181">
        <v>0</v>
      </c>
      <c r="I493" s="181">
        <v>7.9375</v>
      </c>
      <c r="J493" s="181">
        <v>15.875</v>
      </c>
      <c r="K493" s="181">
        <v>0</v>
      </c>
      <c r="L493" s="181">
        <v>0</v>
      </c>
      <c r="M493" s="181">
        <v>549425.48179200001</v>
      </c>
      <c r="N493" s="181">
        <v>19500.606159999996</v>
      </c>
      <c r="O493" s="181">
        <v>10848.236368</v>
      </c>
      <c r="P493" s="181">
        <v>24.002999999999997</v>
      </c>
      <c r="Q493" s="181">
        <v>194380.0757552</v>
      </c>
      <c r="R493" s="181">
        <v>9373.4006079999981</v>
      </c>
      <c r="S493" s="181">
        <v>5145.5380959999993</v>
      </c>
      <c r="T493" s="181">
        <v>14.274800000000001</v>
      </c>
      <c r="U493" s="181">
        <v>21227.802705599996</v>
      </c>
      <c r="V493" s="181">
        <v>6659689.4901943803</v>
      </c>
    </row>
    <row r="494" spans="1:22">
      <c r="A494" s="2" t="s">
        <v>1006</v>
      </c>
      <c r="B494" s="2" t="s">
        <v>1007</v>
      </c>
      <c r="C494" s="181">
        <v>6.0865743999999991</v>
      </c>
      <c r="D494" s="181">
        <v>774.19199999999989</v>
      </c>
      <c r="E494" s="181">
        <v>76.199999999999989</v>
      </c>
      <c r="F494" s="181">
        <v>0</v>
      </c>
      <c r="G494" s="181">
        <v>0</v>
      </c>
      <c r="H494" s="181">
        <v>0</v>
      </c>
      <c r="I494" s="181">
        <v>6.35</v>
      </c>
      <c r="J494" s="181">
        <v>14.2875</v>
      </c>
      <c r="K494" s="181">
        <v>0</v>
      </c>
      <c r="L494" s="181">
        <v>0</v>
      </c>
      <c r="M494" s="181">
        <v>453692.25390399998</v>
      </c>
      <c r="N494" s="181">
        <v>15879.065015999999</v>
      </c>
      <c r="O494" s="181">
        <v>8865.4016240000001</v>
      </c>
      <c r="P494" s="181">
        <v>24.206199999999999</v>
      </c>
      <c r="Q494" s="181">
        <v>162330.25598399999</v>
      </c>
      <c r="R494" s="181">
        <v>7587.2106319999994</v>
      </c>
      <c r="S494" s="181">
        <v>4227.8625119999997</v>
      </c>
      <c r="T494" s="181">
        <v>14.452599999999999</v>
      </c>
      <c r="U494" s="181">
        <v>11238.248491199998</v>
      </c>
      <c r="V494" s="181">
        <v>3544673.4383292668</v>
      </c>
    </row>
    <row r="495" spans="1:22">
      <c r="A495" s="2" t="s">
        <v>1008</v>
      </c>
      <c r="B495" s="2" t="s">
        <v>1009</v>
      </c>
      <c r="C495" s="181">
        <v>4.6430591999999997</v>
      </c>
      <c r="D495" s="181">
        <v>591.61171999999999</v>
      </c>
      <c r="E495" s="181">
        <v>76.199999999999989</v>
      </c>
      <c r="F495" s="181">
        <v>0</v>
      </c>
      <c r="G495" s="181">
        <v>0</v>
      </c>
      <c r="H495" s="181">
        <v>0</v>
      </c>
      <c r="I495" s="181">
        <v>4.7624999999999993</v>
      </c>
      <c r="J495" s="181">
        <v>12.7</v>
      </c>
      <c r="K495" s="181">
        <v>0</v>
      </c>
      <c r="L495" s="181">
        <v>0</v>
      </c>
      <c r="M495" s="181">
        <v>352548.01748319995</v>
      </c>
      <c r="N495" s="181">
        <v>12175.588551999999</v>
      </c>
      <c r="O495" s="181">
        <v>6784.2444959999993</v>
      </c>
      <c r="P495" s="181">
        <v>24.409399999999998</v>
      </c>
      <c r="Q495" s="181">
        <v>126950.58480799999</v>
      </c>
      <c r="R495" s="181">
        <v>5751.8594639999992</v>
      </c>
      <c r="S495" s="181">
        <v>3244.638672</v>
      </c>
      <c r="T495" s="181">
        <v>14.655799999999997</v>
      </c>
      <c r="U495" s="181">
        <v>4953.1539646399997</v>
      </c>
      <c r="V495" s="181">
        <v>1557508.0259325567</v>
      </c>
    </row>
    <row r="496" spans="1:22">
      <c r="A496" s="2" t="s">
        <v>1010</v>
      </c>
      <c r="B496" s="2" t="s">
        <v>1011</v>
      </c>
      <c r="C496" s="181">
        <v>11.384423999999999</v>
      </c>
      <c r="D496" s="181">
        <v>1451.61</v>
      </c>
      <c r="E496" s="181">
        <v>63.5</v>
      </c>
      <c r="F496" s="181">
        <v>0</v>
      </c>
      <c r="G496" s="181">
        <v>0</v>
      </c>
      <c r="H496" s="181">
        <v>0</v>
      </c>
      <c r="I496" s="181">
        <v>12.7</v>
      </c>
      <c r="J496" s="181">
        <v>19.049999999999997</v>
      </c>
      <c r="K496" s="181">
        <v>0</v>
      </c>
      <c r="L496" s="181">
        <v>0</v>
      </c>
      <c r="M496" s="181">
        <v>507802.33923199994</v>
      </c>
      <c r="N496" s="181">
        <v>21139.312559999998</v>
      </c>
      <c r="O496" s="181">
        <v>11733.137823999998</v>
      </c>
      <c r="P496" s="181">
        <v>18.668999999999997</v>
      </c>
      <c r="Q496" s="181">
        <v>507802.33923199994</v>
      </c>
      <c r="R496" s="181">
        <v>21139.312559999998</v>
      </c>
      <c r="S496" s="181">
        <v>11733.137823999998</v>
      </c>
      <c r="T496" s="181">
        <v>18.668999999999997</v>
      </c>
      <c r="U496" s="181">
        <v>78251.508012799997</v>
      </c>
      <c r="V496" s="181">
        <v>21241187.043321595</v>
      </c>
    </row>
    <row r="497" spans="1:22">
      <c r="A497" s="2" t="s">
        <v>1012</v>
      </c>
      <c r="B497" s="2" t="s">
        <v>1013</v>
      </c>
      <c r="C497" s="181">
        <v>8.7801439999999999</v>
      </c>
      <c r="D497" s="181">
        <v>1116.1268</v>
      </c>
      <c r="E497" s="181">
        <v>63.5</v>
      </c>
      <c r="F497" s="181">
        <v>0</v>
      </c>
      <c r="G497" s="181">
        <v>0</v>
      </c>
      <c r="H497" s="181">
        <v>0</v>
      </c>
      <c r="I497" s="181">
        <v>9.5249999999999986</v>
      </c>
      <c r="J497" s="181">
        <v>15.875</v>
      </c>
      <c r="K497" s="181">
        <v>0</v>
      </c>
      <c r="L497" s="181">
        <v>0</v>
      </c>
      <c r="M497" s="181">
        <v>404576.94568319997</v>
      </c>
      <c r="N497" s="181">
        <v>16550.934639999999</v>
      </c>
      <c r="O497" s="181">
        <v>9143.9817120000007</v>
      </c>
      <c r="P497" s="181">
        <v>19.0246</v>
      </c>
      <c r="Q497" s="181">
        <v>404576.94568319997</v>
      </c>
      <c r="R497" s="181">
        <v>16387.063999999998</v>
      </c>
      <c r="S497" s="181">
        <v>9143.9817120000007</v>
      </c>
      <c r="T497" s="181">
        <v>19.0246</v>
      </c>
      <c r="U497" s="181">
        <v>34672.07775248</v>
      </c>
      <c r="V497" s="181">
        <v>9720998.3687514756</v>
      </c>
    </row>
    <row r="498" spans="1:22">
      <c r="A498" s="2" t="s">
        <v>1014</v>
      </c>
      <c r="B498" s="2" t="s">
        <v>1015</v>
      </c>
      <c r="C498" s="181">
        <v>7.4110368000000006</v>
      </c>
      <c r="D498" s="181">
        <v>941.93359999999996</v>
      </c>
      <c r="E498" s="181">
        <v>63.5</v>
      </c>
      <c r="F498" s="181">
        <v>0</v>
      </c>
      <c r="G498" s="181">
        <v>0</v>
      </c>
      <c r="H498" s="181">
        <v>0</v>
      </c>
      <c r="I498" s="181">
        <v>7.9375</v>
      </c>
      <c r="J498" s="181">
        <v>14.2875</v>
      </c>
      <c r="K498" s="181">
        <v>0</v>
      </c>
      <c r="L498" s="181">
        <v>0</v>
      </c>
      <c r="M498" s="181">
        <v>348385.70322719996</v>
      </c>
      <c r="N498" s="181">
        <v>13978.165591999998</v>
      </c>
      <c r="O498" s="181">
        <v>7767.468335999999</v>
      </c>
      <c r="P498" s="181">
        <v>19.202400000000001</v>
      </c>
      <c r="Q498" s="181">
        <v>348385.70322719996</v>
      </c>
      <c r="R498" s="181">
        <v>13978.165591999998</v>
      </c>
      <c r="S498" s="181">
        <v>7767.468335999999</v>
      </c>
      <c r="T498" s="181">
        <v>19.202400000000001</v>
      </c>
      <c r="U498" s="181">
        <v>20603.455567199999</v>
      </c>
      <c r="V498" s="181">
        <v>5854081.890574092</v>
      </c>
    </row>
    <row r="499" spans="1:22">
      <c r="A499" s="2" t="s">
        <v>1016</v>
      </c>
      <c r="B499" s="2" t="s">
        <v>1017</v>
      </c>
      <c r="C499" s="181">
        <v>6.0121663999999999</v>
      </c>
      <c r="D499" s="181">
        <v>767.74039999999991</v>
      </c>
      <c r="E499" s="181">
        <v>63.5</v>
      </c>
      <c r="F499" s="181">
        <v>0</v>
      </c>
      <c r="G499" s="181">
        <v>0</v>
      </c>
      <c r="H499" s="181">
        <v>0</v>
      </c>
      <c r="I499" s="181">
        <v>6.35</v>
      </c>
      <c r="J499" s="181">
        <v>12.7</v>
      </c>
      <c r="K499" s="181">
        <v>0</v>
      </c>
      <c r="L499" s="181">
        <v>0</v>
      </c>
      <c r="M499" s="181">
        <v>288032.14651519997</v>
      </c>
      <c r="N499" s="181">
        <v>11389.009479999999</v>
      </c>
      <c r="O499" s="181">
        <v>6341.7937679999995</v>
      </c>
      <c r="P499" s="181">
        <v>19.4056</v>
      </c>
      <c r="Q499" s="181">
        <v>288032.14651519997</v>
      </c>
      <c r="R499" s="181">
        <v>11372.622415999998</v>
      </c>
      <c r="S499" s="181">
        <v>6341.7937679999995</v>
      </c>
      <c r="T499" s="181">
        <v>19.4056</v>
      </c>
      <c r="U499" s="181">
        <v>10863.640208159999</v>
      </c>
      <c r="V499" s="181">
        <v>3115016.0518651134</v>
      </c>
    </row>
    <row r="500" spans="1:22">
      <c r="A500" s="2" t="s">
        <v>1018</v>
      </c>
      <c r="B500" s="2" t="s">
        <v>1019</v>
      </c>
      <c r="C500" s="181">
        <v>4.5537695999999999</v>
      </c>
      <c r="D500" s="181">
        <v>581.28916000000004</v>
      </c>
      <c r="E500" s="181">
        <v>63.5</v>
      </c>
      <c r="F500" s="181">
        <v>0</v>
      </c>
      <c r="G500" s="181">
        <v>0</v>
      </c>
      <c r="H500" s="181">
        <v>0</v>
      </c>
      <c r="I500" s="181">
        <v>4.7624999999999993</v>
      </c>
      <c r="J500" s="181">
        <v>11.112499999999999</v>
      </c>
      <c r="K500" s="181">
        <v>0</v>
      </c>
      <c r="L500" s="181">
        <v>0</v>
      </c>
      <c r="M500" s="181">
        <v>222683.81269599998</v>
      </c>
      <c r="N500" s="181">
        <v>8668.756856</v>
      </c>
      <c r="O500" s="181">
        <v>4834.1838799999996</v>
      </c>
      <c r="P500" s="181">
        <v>19.583400000000001</v>
      </c>
      <c r="Q500" s="181">
        <v>222683.81269599998</v>
      </c>
      <c r="R500" s="181">
        <v>8652.3697919999995</v>
      </c>
      <c r="S500" s="181">
        <v>4834.1838799999996</v>
      </c>
      <c r="T500" s="181">
        <v>19.583400000000001</v>
      </c>
      <c r="U500" s="181">
        <v>4745.0382518399992</v>
      </c>
      <c r="V500" s="181">
        <v>1369532.9193544895</v>
      </c>
    </row>
    <row r="501" spans="1:22">
      <c r="A501" s="2" t="s">
        <v>1020</v>
      </c>
      <c r="B501" s="2" t="s">
        <v>1021</v>
      </c>
      <c r="C501" s="181">
        <v>7.8872479999999996</v>
      </c>
      <c r="D501" s="181">
        <v>1006.4496</v>
      </c>
      <c r="E501" s="181">
        <v>63.5</v>
      </c>
      <c r="F501" s="181">
        <v>0</v>
      </c>
      <c r="G501" s="181">
        <v>0</v>
      </c>
      <c r="H501" s="181">
        <v>0</v>
      </c>
      <c r="I501" s="181">
        <v>9.5249999999999986</v>
      </c>
      <c r="J501" s="181">
        <v>15.875</v>
      </c>
      <c r="K501" s="181">
        <v>0</v>
      </c>
      <c r="L501" s="181">
        <v>0</v>
      </c>
      <c r="M501" s="181">
        <v>380435.52299839997</v>
      </c>
      <c r="N501" s="181">
        <v>16092.096847999997</v>
      </c>
      <c r="O501" s="181">
        <v>8947.3369440000006</v>
      </c>
      <c r="P501" s="181">
        <v>19.456399999999999</v>
      </c>
      <c r="Q501" s="181">
        <v>213526.72133279999</v>
      </c>
      <c r="R501" s="181">
        <v>10766.301047999999</v>
      </c>
      <c r="S501" s="181">
        <v>5915.7301039999993</v>
      </c>
      <c r="T501" s="181">
        <v>14.579599999999997</v>
      </c>
      <c r="U501" s="181">
        <v>31050.864349759995</v>
      </c>
      <c r="V501" s="181">
        <v>7196761.2232745728</v>
      </c>
    </row>
    <row r="502" spans="1:22">
      <c r="A502" s="2" t="s">
        <v>1022</v>
      </c>
      <c r="B502" s="2" t="s">
        <v>1023</v>
      </c>
      <c r="C502" s="181">
        <v>6.6818384000000002</v>
      </c>
      <c r="D502" s="181">
        <v>851.61120000000005</v>
      </c>
      <c r="E502" s="181">
        <v>63.5</v>
      </c>
      <c r="F502" s="181">
        <v>0</v>
      </c>
      <c r="G502" s="181">
        <v>0</v>
      </c>
      <c r="H502" s="181">
        <v>0</v>
      </c>
      <c r="I502" s="181">
        <v>7.9375</v>
      </c>
      <c r="J502" s="181">
        <v>14.2875</v>
      </c>
      <c r="K502" s="181">
        <v>0</v>
      </c>
      <c r="L502" s="181">
        <v>0</v>
      </c>
      <c r="M502" s="181">
        <v>328822.82622399996</v>
      </c>
      <c r="N502" s="181">
        <v>13748.746695999998</v>
      </c>
      <c r="O502" s="181">
        <v>7619.9847599999994</v>
      </c>
      <c r="P502" s="181">
        <v>19.659600000000001</v>
      </c>
      <c r="Q502" s="181">
        <v>185639.21581759999</v>
      </c>
      <c r="R502" s="181">
        <v>9127.5946480000002</v>
      </c>
      <c r="S502" s="181">
        <v>5063.6027759999997</v>
      </c>
      <c r="T502" s="181">
        <v>14.757399999999999</v>
      </c>
      <c r="U502" s="181">
        <v>18480.675296639998</v>
      </c>
      <c r="V502" s="181">
        <v>4350281.0379495546</v>
      </c>
    </row>
    <row r="503" spans="1:22">
      <c r="A503" s="2" t="s">
        <v>1024</v>
      </c>
      <c r="B503" s="2" t="s">
        <v>1025</v>
      </c>
      <c r="C503" s="181">
        <v>5.4317839999999995</v>
      </c>
      <c r="D503" s="181">
        <v>690.32119999999998</v>
      </c>
      <c r="E503" s="181">
        <v>63.5</v>
      </c>
      <c r="F503" s="181">
        <v>0</v>
      </c>
      <c r="G503" s="181">
        <v>0</v>
      </c>
      <c r="H503" s="181">
        <v>0</v>
      </c>
      <c r="I503" s="181">
        <v>6.35</v>
      </c>
      <c r="J503" s="181">
        <v>12.7</v>
      </c>
      <c r="K503" s="181">
        <v>0</v>
      </c>
      <c r="L503" s="181">
        <v>0</v>
      </c>
      <c r="M503" s="181">
        <v>273047.81519359996</v>
      </c>
      <c r="N503" s="181">
        <v>11274.300031999997</v>
      </c>
      <c r="O503" s="181">
        <v>6243.4713839999995</v>
      </c>
      <c r="P503" s="181">
        <v>19.8628</v>
      </c>
      <c r="Q503" s="181">
        <v>154838.09032319998</v>
      </c>
      <c r="R503" s="181">
        <v>7439.7270559999997</v>
      </c>
      <c r="S503" s="181">
        <v>4145.9271920000001</v>
      </c>
      <c r="T503" s="181">
        <v>14.960599999999998</v>
      </c>
      <c r="U503" s="181">
        <v>9781.4385015999997</v>
      </c>
      <c r="V503" s="181">
        <v>2336262.038898835</v>
      </c>
    </row>
    <row r="504" spans="1:22">
      <c r="A504" s="2" t="s">
        <v>1026</v>
      </c>
      <c r="B504" s="2" t="s">
        <v>1027</v>
      </c>
      <c r="C504" s="181">
        <v>4.1370847999999993</v>
      </c>
      <c r="D504" s="181">
        <v>527.74087999999995</v>
      </c>
      <c r="E504" s="181">
        <v>63.5</v>
      </c>
      <c r="F504" s="181">
        <v>0</v>
      </c>
      <c r="G504" s="181">
        <v>0</v>
      </c>
      <c r="H504" s="181">
        <v>0</v>
      </c>
      <c r="I504" s="181">
        <v>4.7624999999999993</v>
      </c>
      <c r="J504" s="181">
        <v>11.112499999999999</v>
      </c>
      <c r="K504" s="181">
        <v>0</v>
      </c>
      <c r="L504" s="181">
        <v>0</v>
      </c>
      <c r="M504" s="181">
        <v>212694.25848159997</v>
      </c>
      <c r="N504" s="181">
        <v>8668.756856</v>
      </c>
      <c r="O504" s="181">
        <v>4801.4097519999996</v>
      </c>
      <c r="P504" s="181">
        <v>20.065999999999999</v>
      </c>
      <c r="Q504" s="181">
        <v>121539.57627519999</v>
      </c>
      <c r="R504" s="181">
        <v>5686.3112079999992</v>
      </c>
      <c r="S504" s="181">
        <v>3195.47748</v>
      </c>
      <c r="T504" s="181">
        <v>15.163799999999998</v>
      </c>
      <c r="U504" s="181">
        <v>4287.1836836799994</v>
      </c>
      <c r="V504" s="181">
        <v>1020436.2928523647</v>
      </c>
    </row>
    <row r="505" spans="1:22">
      <c r="A505" s="2" t="s">
        <v>1028</v>
      </c>
      <c r="B505" s="2" t="s">
        <v>1029</v>
      </c>
      <c r="C505" s="181">
        <v>6.9199440000000001</v>
      </c>
      <c r="D505" s="181">
        <v>883.86919999999998</v>
      </c>
      <c r="E505" s="181">
        <v>50.8</v>
      </c>
      <c r="F505" s="181">
        <v>0</v>
      </c>
      <c r="G505" s="181">
        <v>0</v>
      </c>
      <c r="H505" s="181">
        <v>0</v>
      </c>
      <c r="I505" s="181">
        <v>9.5249999999999986</v>
      </c>
      <c r="J505" s="181">
        <v>15.875</v>
      </c>
      <c r="K505" s="181">
        <v>0</v>
      </c>
      <c r="L505" s="181">
        <v>0</v>
      </c>
      <c r="M505" s="181">
        <v>198126.15858559997</v>
      </c>
      <c r="N505" s="181">
        <v>10307.463255999999</v>
      </c>
      <c r="O505" s="181">
        <v>5702.6982719999987</v>
      </c>
      <c r="P505" s="181">
        <v>15.011399999999998</v>
      </c>
      <c r="Q505" s="181">
        <v>198126.15858559997</v>
      </c>
      <c r="R505" s="181">
        <v>10291.076191999999</v>
      </c>
      <c r="S505" s="181">
        <v>5702.6982719999987</v>
      </c>
      <c r="T505" s="181">
        <v>15.011399999999998</v>
      </c>
      <c r="U505" s="181">
        <v>27388.027804479996</v>
      </c>
      <c r="V505" s="181">
        <v>4672524.0777976699</v>
      </c>
    </row>
    <row r="506" spans="1:22">
      <c r="A506" s="2" t="s">
        <v>1030</v>
      </c>
      <c r="B506" s="2" t="s">
        <v>1031</v>
      </c>
      <c r="C506" s="181">
        <v>5.8633503999999999</v>
      </c>
      <c r="D506" s="181">
        <v>748.38559999999995</v>
      </c>
      <c r="E506" s="181">
        <v>50.8</v>
      </c>
      <c r="F506" s="181">
        <v>0</v>
      </c>
      <c r="G506" s="181">
        <v>0</v>
      </c>
      <c r="H506" s="181">
        <v>0</v>
      </c>
      <c r="I506" s="181">
        <v>7.9375</v>
      </c>
      <c r="J506" s="181">
        <v>14.2875</v>
      </c>
      <c r="K506" s="181">
        <v>0</v>
      </c>
      <c r="L506" s="181">
        <v>0</v>
      </c>
      <c r="M506" s="181">
        <v>172319.81019839997</v>
      </c>
      <c r="N506" s="181">
        <v>8799.853368</v>
      </c>
      <c r="O506" s="181">
        <v>4883.3450719999992</v>
      </c>
      <c r="P506" s="181">
        <v>15.189199999999998</v>
      </c>
      <c r="Q506" s="181">
        <v>172319.81019839997</v>
      </c>
      <c r="R506" s="181">
        <v>8783.4663039999996</v>
      </c>
      <c r="S506" s="181">
        <v>4883.3450719999992</v>
      </c>
      <c r="T506" s="181">
        <v>15.189199999999998</v>
      </c>
      <c r="U506" s="181">
        <v>16357.895026079999</v>
      </c>
      <c r="V506" s="181">
        <v>2846480.1853250177</v>
      </c>
    </row>
    <row r="507" spans="1:22">
      <c r="A507" s="2" t="s">
        <v>1032</v>
      </c>
      <c r="B507" s="2" t="s">
        <v>1033</v>
      </c>
      <c r="C507" s="181">
        <v>4.7769936</v>
      </c>
      <c r="D507" s="181">
        <v>609.03103999999996</v>
      </c>
      <c r="E507" s="181">
        <v>50.8</v>
      </c>
      <c r="F507" s="181">
        <v>0</v>
      </c>
      <c r="G507" s="181">
        <v>0</v>
      </c>
      <c r="H507" s="181">
        <v>0</v>
      </c>
      <c r="I507" s="181">
        <v>6.35</v>
      </c>
      <c r="J507" s="181">
        <v>12.7</v>
      </c>
      <c r="K507" s="181">
        <v>0</v>
      </c>
      <c r="L507" s="181">
        <v>0</v>
      </c>
      <c r="M507" s="181">
        <v>144016.07325759999</v>
      </c>
      <c r="N507" s="181">
        <v>7210.3081599999996</v>
      </c>
      <c r="O507" s="181">
        <v>3998.4436159999996</v>
      </c>
      <c r="P507" s="181">
        <v>15.366999999999999</v>
      </c>
      <c r="Q507" s="181">
        <v>144016.07325759999</v>
      </c>
      <c r="R507" s="181">
        <v>7210.3081599999996</v>
      </c>
      <c r="S507" s="181">
        <v>3998.4436159999996</v>
      </c>
      <c r="T507" s="181">
        <v>15.366999999999999</v>
      </c>
      <c r="U507" s="181">
        <v>8699.2367950399985</v>
      </c>
      <c r="V507" s="181">
        <v>1530654.4392785472</v>
      </c>
    </row>
    <row r="508" spans="1:22">
      <c r="A508" s="2" t="s">
        <v>1034</v>
      </c>
      <c r="B508" s="2" t="s">
        <v>1035</v>
      </c>
      <c r="C508" s="181">
        <v>3.6608735999999999</v>
      </c>
      <c r="D508" s="181">
        <v>465.80551999999994</v>
      </c>
      <c r="E508" s="181">
        <v>50.8</v>
      </c>
      <c r="F508" s="181">
        <v>0</v>
      </c>
      <c r="G508" s="181">
        <v>0</v>
      </c>
      <c r="H508" s="181">
        <v>0</v>
      </c>
      <c r="I508" s="181">
        <v>4.7624999999999993</v>
      </c>
      <c r="J508" s="181">
        <v>11.112499999999999</v>
      </c>
      <c r="K508" s="181">
        <v>0</v>
      </c>
      <c r="L508" s="181">
        <v>0</v>
      </c>
      <c r="M508" s="181">
        <v>112798.7163376</v>
      </c>
      <c r="N508" s="181">
        <v>5538.8276319999995</v>
      </c>
      <c r="O508" s="181">
        <v>3080.7680319999999</v>
      </c>
      <c r="P508" s="181">
        <v>15.544799999999999</v>
      </c>
      <c r="Q508" s="181">
        <v>112798.7163376</v>
      </c>
      <c r="R508" s="181">
        <v>5538.8276319999995</v>
      </c>
      <c r="S508" s="181">
        <v>3080.7680319999999</v>
      </c>
      <c r="T508" s="181">
        <v>15.544799999999999</v>
      </c>
      <c r="U508" s="181">
        <v>3829.3291155199995</v>
      </c>
      <c r="V508" s="181">
        <v>671339.66635024</v>
      </c>
    </row>
    <row r="509" spans="1:22">
      <c r="A509" s="2" t="s">
        <v>1036</v>
      </c>
      <c r="B509" s="2" t="s">
        <v>1037</v>
      </c>
      <c r="C509" s="181">
        <v>2.4852271999999997</v>
      </c>
      <c r="D509" s="181">
        <v>316.77355999999997</v>
      </c>
      <c r="E509" s="181">
        <v>50.8</v>
      </c>
      <c r="F509" s="181">
        <v>0</v>
      </c>
      <c r="G509" s="181">
        <v>0</v>
      </c>
      <c r="H509" s="181">
        <v>0</v>
      </c>
      <c r="I509" s="181">
        <v>3.1749999999999998</v>
      </c>
      <c r="J509" s="181">
        <v>9.5249999999999986</v>
      </c>
      <c r="K509" s="181">
        <v>0</v>
      </c>
      <c r="L509" s="181">
        <v>0</v>
      </c>
      <c r="M509" s="181">
        <v>78667.739438399993</v>
      </c>
      <c r="N509" s="181">
        <v>3769.0247199999999</v>
      </c>
      <c r="O509" s="181">
        <v>2113.9312559999998</v>
      </c>
      <c r="P509" s="181">
        <v>15.747999999999999</v>
      </c>
      <c r="Q509" s="181">
        <v>78667.739438399993</v>
      </c>
      <c r="R509" s="181">
        <v>3769.0247199999999</v>
      </c>
      <c r="S509" s="181">
        <v>2113.9312559999998</v>
      </c>
      <c r="T509" s="181">
        <v>15.747999999999999</v>
      </c>
      <c r="U509" s="181">
        <v>1207.0711342399998</v>
      </c>
      <c r="V509" s="181">
        <v>214828.6932320768</v>
      </c>
    </row>
    <row r="510" spans="1:22">
      <c r="A510" s="2" t="s">
        <v>1038</v>
      </c>
      <c r="B510" s="2" t="s">
        <v>1039</v>
      </c>
      <c r="C510" s="181">
        <v>249.26679999999999</v>
      </c>
      <c r="D510" s="181">
        <v>31677.356</v>
      </c>
      <c r="E510" s="181">
        <v>558.79999999999995</v>
      </c>
      <c r="F510" s="181">
        <v>406.4</v>
      </c>
      <c r="G510" s="181">
        <v>25.907999999999998</v>
      </c>
      <c r="H510" s="181">
        <v>44.957999999999998</v>
      </c>
      <c r="I510" s="181">
        <v>0</v>
      </c>
      <c r="J510" s="181">
        <v>21.716999999999999</v>
      </c>
      <c r="K510" s="181">
        <v>0</v>
      </c>
      <c r="L510" s="181">
        <v>19.100000000000001</v>
      </c>
      <c r="M510" s="181">
        <v>899059879.29599988</v>
      </c>
      <c r="N510" s="181">
        <v>3818185.9119999995</v>
      </c>
      <c r="O510" s="181">
        <v>2146705.3839999996</v>
      </c>
      <c r="P510" s="181">
        <v>168.40199999999999</v>
      </c>
      <c r="Q510" s="181">
        <v>249738855.35999998</v>
      </c>
      <c r="R510" s="181">
        <v>1933673.5519999999</v>
      </c>
      <c r="S510" s="181">
        <v>1233945.9191999999</v>
      </c>
      <c r="T510" s="181">
        <v>88.899999999999991</v>
      </c>
      <c r="U510" s="181">
        <v>15442185.889759999</v>
      </c>
      <c r="V510" s="181">
        <v>116544566078.40166</v>
      </c>
    </row>
    <row r="511" spans="1:22">
      <c r="A511" s="2" t="s">
        <v>1040</v>
      </c>
      <c r="B511" s="2" t="s">
        <v>1041</v>
      </c>
      <c r="C511" s="181">
        <v>215.78319999999999</v>
      </c>
      <c r="D511" s="181">
        <v>27677.363999999998</v>
      </c>
      <c r="E511" s="181">
        <v>553.72</v>
      </c>
      <c r="F511" s="181">
        <v>401.32</v>
      </c>
      <c r="G511" s="181">
        <v>22.097999999999999</v>
      </c>
      <c r="H511" s="181">
        <v>40.131999999999998</v>
      </c>
      <c r="I511" s="181">
        <v>0</v>
      </c>
      <c r="J511" s="181">
        <v>21.780499999999996</v>
      </c>
      <c r="K511" s="181">
        <v>0</v>
      </c>
      <c r="L511" s="181">
        <v>22.3</v>
      </c>
      <c r="M511" s="181">
        <v>765865823.10399997</v>
      </c>
      <c r="N511" s="181">
        <v>3228251.6079999995</v>
      </c>
      <c r="O511" s="181">
        <v>1818964.1039999998</v>
      </c>
      <c r="P511" s="181">
        <v>166.36999999999998</v>
      </c>
      <c r="Q511" s="181">
        <v>217689035.58879998</v>
      </c>
      <c r="R511" s="181">
        <v>1687867.5919999999</v>
      </c>
      <c r="S511" s="181">
        <v>1083184.9303999997</v>
      </c>
      <c r="T511" s="181">
        <v>88.646000000000001</v>
      </c>
      <c r="U511" s="181">
        <v>10697147.637919998</v>
      </c>
      <c r="V511" s="181">
        <v>74921506764.686783</v>
      </c>
    </row>
    <row r="512" spans="1:22">
      <c r="A512" s="2" t="s">
        <v>1042</v>
      </c>
      <c r="B512" s="2" t="s">
        <v>1043</v>
      </c>
      <c r="C512" s="181">
        <v>194.94896</v>
      </c>
      <c r="D512" s="181">
        <v>24903.175999999999</v>
      </c>
      <c r="E512" s="181">
        <v>551.17999999999995</v>
      </c>
      <c r="F512" s="181">
        <v>401.32</v>
      </c>
      <c r="G512" s="181">
        <v>20.065999999999999</v>
      </c>
      <c r="H512" s="181">
        <v>36.067999999999998</v>
      </c>
      <c r="I512" s="181">
        <v>0</v>
      </c>
      <c r="J512" s="181">
        <v>21.082000000000001</v>
      </c>
      <c r="K512" s="181">
        <v>0</v>
      </c>
      <c r="L512" s="181">
        <v>24.6</v>
      </c>
      <c r="M512" s="181">
        <v>686781852.23999989</v>
      </c>
      <c r="N512" s="181">
        <v>2900510.3279999997</v>
      </c>
      <c r="O512" s="181">
        <v>1638706.4</v>
      </c>
      <c r="P512" s="181">
        <v>165.86199999999999</v>
      </c>
      <c r="Q512" s="181">
        <v>192715150.05279997</v>
      </c>
      <c r="R512" s="181">
        <v>1496138.9431999999</v>
      </c>
      <c r="S512" s="181">
        <v>963559.36319999991</v>
      </c>
      <c r="T512" s="181">
        <v>87.884</v>
      </c>
      <c r="U512" s="181">
        <v>7825150.8012799993</v>
      </c>
      <c r="V512" s="181">
        <v>54781316774.179581</v>
      </c>
    </row>
    <row r="513" spans="1:22">
      <c r="A513" s="2" t="s">
        <v>1044</v>
      </c>
      <c r="B513" s="2" t="s">
        <v>1045</v>
      </c>
      <c r="C513" s="181">
        <v>171.13839999999999</v>
      </c>
      <c r="D513" s="181">
        <v>21806.407999999996</v>
      </c>
      <c r="E513" s="181">
        <v>546.1</v>
      </c>
      <c r="F513" s="181">
        <v>401.32</v>
      </c>
      <c r="G513" s="181">
        <v>18.033999999999999</v>
      </c>
      <c r="H513" s="181">
        <v>30.987999999999996</v>
      </c>
      <c r="I513" s="181">
        <v>0</v>
      </c>
      <c r="J513" s="181">
        <v>21.3995</v>
      </c>
      <c r="K513" s="181">
        <v>0</v>
      </c>
      <c r="L513" s="181">
        <v>27.4</v>
      </c>
      <c r="M513" s="181">
        <v>599373252.86399996</v>
      </c>
      <c r="N513" s="181">
        <v>2572769.048</v>
      </c>
      <c r="O513" s="181">
        <v>1451893.8703999997</v>
      </c>
      <c r="P513" s="181">
        <v>165.86199999999999</v>
      </c>
      <c r="Q513" s="181">
        <v>165660107.3888</v>
      </c>
      <c r="R513" s="181">
        <v>1283107.1111999999</v>
      </c>
      <c r="S513" s="181">
        <v>827546.73199999996</v>
      </c>
      <c r="T513" s="181">
        <v>87.122</v>
      </c>
      <c r="U513" s="181">
        <v>5161269.6774399998</v>
      </c>
      <c r="V513" s="181">
        <v>37326485449.073341</v>
      </c>
    </row>
    <row r="514" spans="1:22">
      <c r="A514" s="2" t="s">
        <v>1046</v>
      </c>
      <c r="B514" s="2" t="s">
        <v>1047</v>
      </c>
      <c r="C514" s="181">
        <v>441.23944</v>
      </c>
      <c r="D514" s="181">
        <v>56257.951999999997</v>
      </c>
      <c r="E514" s="181">
        <v>546.1</v>
      </c>
      <c r="F514" s="181">
        <v>424.17999999999995</v>
      </c>
      <c r="G514" s="181">
        <v>45.466000000000001</v>
      </c>
      <c r="H514" s="181">
        <v>82.042000000000002</v>
      </c>
      <c r="I514" s="181">
        <v>0</v>
      </c>
      <c r="J514" s="181">
        <v>32.257999999999996</v>
      </c>
      <c r="K514" s="181">
        <v>0</v>
      </c>
      <c r="L514" s="181">
        <v>9.5399999999999991</v>
      </c>
      <c r="M514" s="181">
        <v>1377726018.7359998</v>
      </c>
      <c r="N514" s="181">
        <v>6210697.2559999991</v>
      </c>
      <c r="O514" s="181">
        <v>3424896.3759999997</v>
      </c>
      <c r="P514" s="181">
        <v>156.464</v>
      </c>
      <c r="Q514" s="181">
        <v>524451596.25599992</v>
      </c>
      <c r="R514" s="181">
        <v>3932895.3599999994</v>
      </c>
      <c r="S514" s="181">
        <v>2474446.6639999999</v>
      </c>
      <c r="T514" s="181">
        <v>96.52</v>
      </c>
      <c r="U514" s="181">
        <v>91987145.057599992</v>
      </c>
      <c r="V514" s="181">
        <v>628373927703.82458</v>
      </c>
    </row>
    <row r="515" spans="1:22">
      <c r="A515" s="2" t="s">
        <v>1048</v>
      </c>
      <c r="B515" s="2" t="s">
        <v>1049</v>
      </c>
      <c r="C515" s="181">
        <v>374.27223999999995</v>
      </c>
      <c r="D515" s="181">
        <v>47741.84</v>
      </c>
      <c r="E515" s="181">
        <v>533.4</v>
      </c>
      <c r="F515" s="181">
        <v>416.55999999999995</v>
      </c>
      <c r="G515" s="181">
        <v>39.116</v>
      </c>
      <c r="H515" s="181">
        <v>70.103999999999985</v>
      </c>
      <c r="I515" s="181">
        <v>0</v>
      </c>
      <c r="J515" s="181">
        <v>31.496000000000009</v>
      </c>
      <c r="K515" s="181">
        <v>0</v>
      </c>
      <c r="L515" s="181">
        <v>11.1</v>
      </c>
      <c r="M515" s="181">
        <v>1136311791.8879998</v>
      </c>
      <c r="N515" s="181">
        <v>5161925.1599999992</v>
      </c>
      <c r="O515" s="181">
        <v>2867736.1999999997</v>
      </c>
      <c r="P515" s="181">
        <v>154.178</v>
      </c>
      <c r="Q515" s="181">
        <v>424556054.11199993</v>
      </c>
      <c r="R515" s="181">
        <v>3228251.6079999995</v>
      </c>
      <c r="S515" s="181">
        <v>2048382.9999999998</v>
      </c>
      <c r="T515" s="181">
        <v>94.488</v>
      </c>
      <c r="U515" s="181">
        <v>57856168.158399992</v>
      </c>
      <c r="V515" s="181">
        <v>381320930486.93628</v>
      </c>
    </row>
    <row r="516" spans="1:22">
      <c r="A516" s="2" t="s">
        <v>1050</v>
      </c>
      <c r="B516" s="2" t="s">
        <v>1051</v>
      </c>
      <c r="C516" s="181">
        <v>320.69847999999996</v>
      </c>
      <c r="D516" s="181">
        <v>40903.144</v>
      </c>
      <c r="E516" s="181">
        <v>523.24</v>
      </c>
      <c r="F516" s="181">
        <v>411.47999999999996</v>
      </c>
      <c r="G516" s="181">
        <v>34.036000000000001</v>
      </c>
      <c r="H516" s="181">
        <v>59.943999999999996</v>
      </c>
      <c r="I516" s="181">
        <v>0</v>
      </c>
      <c r="J516" s="181">
        <v>32.130999999999993</v>
      </c>
      <c r="K516" s="181">
        <v>0</v>
      </c>
      <c r="L516" s="181">
        <v>12.8</v>
      </c>
      <c r="M516" s="181">
        <v>953169964.62399995</v>
      </c>
      <c r="N516" s="181">
        <v>4358959.0239999993</v>
      </c>
      <c r="O516" s="181">
        <v>2425285.4719999996</v>
      </c>
      <c r="P516" s="181">
        <v>152.654</v>
      </c>
      <c r="Q516" s="181">
        <v>350883091.78079998</v>
      </c>
      <c r="R516" s="181">
        <v>2687478.4959999998</v>
      </c>
      <c r="S516" s="181">
        <v>1704254.656</v>
      </c>
      <c r="T516" s="181">
        <v>92.71</v>
      </c>
      <c r="U516" s="181">
        <v>36711611.737920001</v>
      </c>
      <c r="V516" s="181">
        <v>236580098421.82455</v>
      </c>
    </row>
    <row r="517" spans="1:22">
      <c r="A517" s="2" t="s">
        <v>1052</v>
      </c>
      <c r="B517" s="2" t="s">
        <v>1053</v>
      </c>
      <c r="C517" s="181">
        <v>295.39975999999996</v>
      </c>
      <c r="D517" s="181">
        <v>37677.343999999997</v>
      </c>
      <c r="E517" s="181">
        <v>520.69999999999993</v>
      </c>
      <c r="F517" s="181">
        <v>408.94</v>
      </c>
      <c r="G517" s="181">
        <v>30.987999999999996</v>
      </c>
      <c r="H517" s="181">
        <v>55.88</v>
      </c>
      <c r="I517" s="181">
        <v>0</v>
      </c>
      <c r="J517" s="181">
        <v>33.019999999999989</v>
      </c>
      <c r="K517" s="181">
        <v>0</v>
      </c>
      <c r="L517" s="181">
        <v>14</v>
      </c>
      <c r="M517" s="181">
        <v>861599050.99199986</v>
      </c>
      <c r="N517" s="181">
        <v>3932895.3599999994</v>
      </c>
      <c r="O517" s="181">
        <v>2195866.5759999999</v>
      </c>
      <c r="P517" s="181">
        <v>151.38399999999999</v>
      </c>
      <c r="Q517" s="181">
        <v>320914429.13759995</v>
      </c>
      <c r="R517" s="181">
        <v>2458059.5999999996</v>
      </c>
      <c r="S517" s="181">
        <v>1568242.0248</v>
      </c>
      <c r="T517" s="181">
        <v>92.201999999999998</v>
      </c>
      <c r="U517" s="181">
        <v>29385938.647359993</v>
      </c>
      <c r="V517" s="181">
        <v>181798781647.64499</v>
      </c>
    </row>
    <row r="518" spans="1:22">
      <c r="A518" s="2" t="s">
        <v>1054</v>
      </c>
      <c r="B518" s="2" t="s">
        <v>1055</v>
      </c>
      <c r="C518" s="181">
        <v>276.79775999999998</v>
      </c>
      <c r="D518" s="181">
        <v>35290.252</v>
      </c>
      <c r="E518" s="181">
        <v>515.62</v>
      </c>
      <c r="F518" s="181">
        <v>408.94</v>
      </c>
      <c r="G518" s="181">
        <v>29.463999999999995</v>
      </c>
      <c r="H518" s="181">
        <v>52.069999999999993</v>
      </c>
      <c r="I518" s="181">
        <v>0</v>
      </c>
      <c r="J518" s="181">
        <v>32.067499999999995</v>
      </c>
      <c r="K518" s="181">
        <v>0</v>
      </c>
      <c r="L518" s="181">
        <v>14.7</v>
      </c>
      <c r="M518" s="181">
        <v>803326651.40799987</v>
      </c>
      <c r="N518" s="181">
        <v>3687089.3999999994</v>
      </c>
      <c r="O518" s="181">
        <v>2064770.0639999998</v>
      </c>
      <c r="P518" s="181">
        <v>151.13</v>
      </c>
      <c r="Q518" s="181">
        <v>295524312.176</v>
      </c>
      <c r="R518" s="181">
        <v>2277801.8959999997</v>
      </c>
      <c r="S518" s="181">
        <v>1448616.4575999998</v>
      </c>
      <c r="T518" s="181">
        <v>91.44</v>
      </c>
      <c r="U518" s="181">
        <v>24141422.684799999</v>
      </c>
      <c r="V518" s="181">
        <v>150111549395.91367</v>
      </c>
    </row>
    <row r="519" spans="1:22">
      <c r="A519" s="2" t="s">
        <v>1056</v>
      </c>
      <c r="B519" s="2" t="s">
        <v>1057</v>
      </c>
      <c r="C519" s="181">
        <v>269.35696000000002</v>
      </c>
      <c r="D519" s="181">
        <v>34387.027999999998</v>
      </c>
      <c r="E519" s="181">
        <v>515.62</v>
      </c>
      <c r="F519" s="181">
        <v>406.4</v>
      </c>
      <c r="G519" s="181">
        <v>28.448</v>
      </c>
      <c r="H519" s="181">
        <v>51.053999999999995</v>
      </c>
      <c r="I519" s="181">
        <v>0</v>
      </c>
      <c r="J519" s="181">
        <v>31.496000000000002</v>
      </c>
      <c r="K519" s="181">
        <v>0</v>
      </c>
      <c r="L519" s="181">
        <v>15.3</v>
      </c>
      <c r="M519" s="181">
        <v>778352765.87199998</v>
      </c>
      <c r="N519" s="181">
        <v>3555992.8879999998</v>
      </c>
      <c r="O519" s="181">
        <v>1999221.8079999997</v>
      </c>
      <c r="P519" s="181">
        <v>150.36799999999999</v>
      </c>
      <c r="Q519" s="181">
        <v>287615915.08959997</v>
      </c>
      <c r="R519" s="181">
        <v>2212253.6399999997</v>
      </c>
      <c r="S519" s="181">
        <v>1414203.6231999998</v>
      </c>
      <c r="T519" s="181">
        <v>91.44</v>
      </c>
      <c r="U519" s="181">
        <v>22559743.267519999</v>
      </c>
      <c r="V519" s="181">
        <v>137221827801.98904</v>
      </c>
    </row>
    <row r="520" spans="1:22">
      <c r="A520" s="2" t="s">
        <v>1058</v>
      </c>
      <c r="B520" s="2" t="s">
        <v>1059</v>
      </c>
      <c r="C520" s="181">
        <v>241.08192</v>
      </c>
      <c r="D520" s="181">
        <v>30774.132000000001</v>
      </c>
      <c r="E520" s="181">
        <v>510.54</v>
      </c>
      <c r="F520" s="181">
        <v>403.86</v>
      </c>
      <c r="G520" s="181">
        <v>25.4</v>
      </c>
      <c r="H520" s="181">
        <v>45.973999999999997</v>
      </c>
      <c r="I520" s="181">
        <v>0</v>
      </c>
      <c r="J520" s="181">
        <v>31.813499999999998</v>
      </c>
      <c r="K520" s="181">
        <v>0</v>
      </c>
      <c r="L520" s="181">
        <v>17.100000000000001</v>
      </c>
      <c r="M520" s="181">
        <v>686781852.23999989</v>
      </c>
      <c r="N520" s="181">
        <v>3146316.2879999997</v>
      </c>
      <c r="O520" s="181">
        <v>1769802.9119999998</v>
      </c>
      <c r="P520" s="181">
        <v>149.35199999999998</v>
      </c>
      <c r="Q520" s="181">
        <v>253484938.19039997</v>
      </c>
      <c r="R520" s="181">
        <v>1950060.6159999999</v>
      </c>
      <c r="S520" s="181">
        <v>1255249.1023999997</v>
      </c>
      <c r="T520" s="181">
        <v>90.677999999999997</v>
      </c>
      <c r="U520" s="181">
        <v>16482764.453759998</v>
      </c>
      <c r="V520" s="181">
        <v>97209983687.51474</v>
      </c>
    </row>
    <row r="521" spans="1:22">
      <c r="A521" s="2" t="s">
        <v>1060</v>
      </c>
      <c r="B521" s="2" t="s">
        <v>1061</v>
      </c>
      <c r="C521" s="181">
        <v>220.99176</v>
      </c>
      <c r="D521" s="181">
        <v>28193.492000000002</v>
      </c>
      <c r="E521" s="181">
        <v>505.45999999999992</v>
      </c>
      <c r="F521" s="181">
        <v>401.32</v>
      </c>
      <c r="G521" s="181">
        <v>23.622</v>
      </c>
      <c r="H521" s="181">
        <v>41.91</v>
      </c>
      <c r="I521" s="181">
        <v>0</v>
      </c>
      <c r="J521" s="181">
        <v>32.702500000000001</v>
      </c>
      <c r="K521" s="181">
        <v>0</v>
      </c>
      <c r="L521" s="181">
        <v>18.399999999999999</v>
      </c>
      <c r="M521" s="181">
        <v>624347138.39999998</v>
      </c>
      <c r="N521" s="181">
        <v>2884123.2639999995</v>
      </c>
      <c r="O521" s="181">
        <v>1620680.6295999999</v>
      </c>
      <c r="P521" s="181">
        <v>149.09799999999998</v>
      </c>
      <c r="Q521" s="181">
        <v>227262358.37759998</v>
      </c>
      <c r="R521" s="181">
        <v>1753415.8479999998</v>
      </c>
      <c r="S521" s="181">
        <v>1130707.416</v>
      </c>
      <c r="T521" s="181">
        <v>89.915999999999997</v>
      </c>
      <c r="U521" s="181">
        <v>12695058.480799999</v>
      </c>
      <c r="V521" s="181">
        <v>74921506764.686783</v>
      </c>
    </row>
    <row r="522" spans="1:22">
      <c r="A522" s="2" t="s">
        <v>1062</v>
      </c>
      <c r="B522" s="2" t="s">
        <v>1063</v>
      </c>
      <c r="C522" s="181">
        <v>206.11015999999998</v>
      </c>
      <c r="D522" s="181">
        <v>26258.011999999999</v>
      </c>
      <c r="E522" s="181">
        <v>502.92</v>
      </c>
      <c r="F522" s="181">
        <v>401.32</v>
      </c>
      <c r="G522" s="181">
        <v>21.081999999999997</v>
      </c>
      <c r="H522" s="181">
        <v>40.131999999999998</v>
      </c>
      <c r="I522" s="181">
        <v>0</v>
      </c>
      <c r="J522" s="181">
        <v>32.892999999999994</v>
      </c>
      <c r="K522" s="181">
        <v>0</v>
      </c>
      <c r="L522" s="181">
        <v>20.6</v>
      </c>
      <c r="M522" s="181">
        <v>566074738.81599998</v>
      </c>
      <c r="N522" s="181">
        <v>2572769.048</v>
      </c>
      <c r="O522" s="181">
        <v>1451893.8703999997</v>
      </c>
      <c r="P522" s="181">
        <v>146.81200000000001</v>
      </c>
      <c r="Q522" s="181">
        <v>217272804.16319999</v>
      </c>
      <c r="R522" s="181">
        <v>1671480.5279999999</v>
      </c>
      <c r="S522" s="181">
        <v>1079907.5175999999</v>
      </c>
      <c r="T522" s="181">
        <v>90.932000000000002</v>
      </c>
      <c r="U522" s="181">
        <v>10697147.637919998</v>
      </c>
      <c r="V522" s="181">
        <v>58540818905.740921</v>
      </c>
    </row>
    <row r="523" spans="1:22">
      <c r="A523" s="2" t="s">
        <v>1064</v>
      </c>
      <c r="B523" s="2" t="s">
        <v>1065</v>
      </c>
      <c r="C523" s="181">
        <v>185.27591999999999</v>
      </c>
      <c r="D523" s="181">
        <v>23677.371999999999</v>
      </c>
      <c r="E523" s="181">
        <v>500.37999999999994</v>
      </c>
      <c r="F523" s="181">
        <v>401.32</v>
      </c>
      <c r="G523" s="181">
        <v>19.049999999999997</v>
      </c>
      <c r="H523" s="181">
        <v>36.067999999999998</v>
      </c>
      <c r="I523" s="181">
        <v>0</v>
      </c>
      <c r="J523" s="181">
        <v>32.194500000000005</v>
      </c>
      <c r="K523" s="181">
        <v>0</v>
      </c>
      <c r="L523" s="181">
        <v>22.8</v>
      </c>
      <c r="M523" s="181">
        <v>503640024.97599995</v>
      </c>
      <c r="N523" s="181">
        <v>2294188.96</v>
      </c>
      <c r="O523" s="181">
        <v>1301132.8816</v>
      </c>
      <c r="P523" s="181">
        <v>146.04999999999998</v>
      </c>
      <c r="Q523" s="181">
        <v>192715150.05279997</v>
      </c>
      <c r="R523" s="181">
        <v>1487945.4111999997</v>
      </c>
      <c r="S523" s="181">
        <v>963559.36319999991</v>
      </c>
      <c r="T523" s="181">
        <v>90.169999999999987</v>
      </c>
      <c r="U523" s="181">
        <v>7908397.0863999994</v>
      </c>
      <c r="V523" s="181">
        <v>42428666913.335167</v>
      </c>
    </row>
    <row r="524" spans="1:22">
      <c r="A524" s="2" t="s">
        <v>1066</v>
      </c>
      <c r="B524" s="2" t="s">
        <v>1067</v>
      </c>
      <c r="C524" s="181">
        <v>159.97719999999998</v>
      </c>
      <c r="D524" s="181">
        <v>20451.572</v>
      </c>
      <c r="E524" s="181">
        <v>495.29999999999995</v>
      </c>
      <c r="F524" s="181">
        <v>401.32</v>
      </c>
      <c r="G524" s="181">
        <v>16.509999999999998</v>
      </c>
      <c r="H524" s="181">
        <v>30.987999999999996</v>
      </c>
      <c r="I524" s="181">
        <v>0</v>
      </c>
      <c r="J524" s="181">
        <v>32.512</v>
      </c>
      <c r="K524" s="181">
        <v>0</v>
      </c>
      <c r="L524" s="181">
        <v>26.3</v>
      </c>
      <c r="M524" s="181">
        <v>428718368.36799997</v>
      </c>
      <c r="N524" s="181">
        <v>1966447.6799999997</v>
      </c>
      <c r="O524" s="181">
        <v>1114320.352</v>
      </c>
      <c r="P524" s="181">
        <v>145.03399999999999</v>
      </c>
      <c r="Q524" s="181">
        <v>165660107.3888</v>
      </c>
      <c r="R524" s="181">
        <v>1274913.5791999998</v>
      </c>
      <c r="S524" s="181">
        <v>827546.73199999996</v>
      </c>
      <c r="T524" s="181">
        <v>89.915999999999997</v>
      </c>
      <c r="U524" s="181">
        <v>5161269.6774399998</v>
      </c>
      <c r="V524" s="181">
        <v>27122122520.549694</v>
      </c>
    </row>
    <row r="525" spans="1:22">
      <c r="A525" s="2" t="s">
        <v>1068</v>
      </c>
      <c r="B525" s="2" t="s">
        <v>1069</v>
      </c>
      <c r="C525" s="181">
        <v>148.07192000000001</v>
      </c>
      <c r="D525" s="181">
        <v>18838.671999999999</v>
      </c>
      <c r="E525" s="181">
        <v>490.21999999999997</v>
      </c>
      <c r="F525" s="181">
        <v>401.32</v>
      </c>
      <c r="G525" s="181">
        <v>16.509999999999998</v>
      </c>
      <c r="H525" s="181">
        <v>27.178000000000001</v>
      </c>
      <c r="I525" s="181">
        <v>0</v>
      </c>
      <c r="J525" s="181">
        <v>31.559499999999996</v>
      </c>
      <c r="K525" s="181">
        <v>0</v>
      </c>
      <c r="L525" s="181">
        <v>26.3</v>
      </c>
      <c r="M525" s="181">
        <v>411236648.49279994</v>
      </c>
      <c r="N525" s="181">
        <v>1917286.4879999999</v>
      </c>
      <c r="O525" s="181">
        <v>1089739.7559999998</v>
      </c>
      <c r="P525" s="181">
        <v>147.57399999999998</v>
      </c>
      <c r="Q525" s="181">
        <v>144432304.68319997</v>
      </c>
      <c r="R525" s="181">
        <v>1117597.7648</v>
      </c>
      <c r="S525" s="181">
        <v>722669.5223999999</v>
      </c>
      <c r="T525" s="181">
        <v>87.63</v>
      </c>
      <c r="U525" s="181">
        <v>3796030.6014719992</v>
      </c>
      <c r="V525" s="181">
        <v>22422744856.098015</v>
      </c>
    </row>
    <row r="526" spans="1:22">
      <c r="A526" s="2" t="s">
        <v>1070</v>
      </c>
      <c r="B526" s="2" t="s">
        <v>1071</v>
      </c>
      <c r="C526" s="181">
        <v>291.67935999999997</v>
      </c>
      <c r="D526" s="181">
        <v>37225.732000000004</v>
      </c>
      <c r="E526" s="181">
        <v>528.31999999999994</v>
      </c>
      <c r="F526" s="181">
        <v>314.95999999999998</v>
      </c>
      <c r="G526" s="181">
        <v>36.067999999999998</v>
      </c>
      <c r="H526" s="181">
        <v>64.007999999999996</v>
      </c>
      <c r="I526" s="181">
        <v>0</v>
      </c>
      <c r="J526" s="181">
        <v>32.829499999999996</v>
      </c>
      <c r="K526" s="181">
        <v>0</v>
      </c>
      <c r="L526" s="181">
        <v>12</v>
      </c>
      <c r="M526" s="181">
        <v>944845336.11199987</v>
      </c>
      <c r="N526" s="181">
        <v>4522829.6639999999</v>
      </c>
      <c r="O526" s="181">
        <v>2507220.7919999999</v>
      </c>
      <c r="P526" s="181">
        <v>159.512</v>
      </c>
      <c r="Q526" s="181">
        <v>166908801.66559997</v>
      </c>
      <c r="R526" s="181">
        <v>1737028.7839999998</v>
      </c>
      <c r="S526" s="181">
        <v>1063520.4535999999</v>
      </c>
      <c r="T526" s="181">
        <v>67.055999999999997</v>
      </c>
      <c r="U526" s="181">
        <v>35629410.031359993</v>
      </c>
      <c r="V526" s="181">
        <v>215365764965.15698</v>
      </c>
    </row>
    <row r="527" spans="1:22">
      <c r="A527" s="2" t="s">
        <v>1072</v>
      </c>
      <c r="B527" s="2" t="s">
        <v>1073</v>
      </c>
      <c r="C527" s="181">
        <v>246.29047999999997</v>
      </c>
      <c r="D527" s="181">
        <v>31419.292000000001</v>
      </c>
      <c r="E527" s="181">
        <v>518.16</v>
      </c>
      <c r="F527" s="181">
        <v>309.87999999999994</v>
      </c>
      <c r="G527" s="181">
        <v>30.987999999999996</v>
      </c>
      <c r="H527" s="181">
        <v>54.101999999999997</v>
      </c>
      <c r="I527" s="181">
        <v>0</v>
      </c>
      <c r="J527" s="181">
        <v>31.622999999999998</v>
      </c>
      <c r="K527" s="181">
        <v>0</v>
      </c>
      <c r="L527" s="181">
        <v>14</v>
      </c>
      <c r="M527" s="181">
        <v>782515080.1279999</v>
      </c>
      <c r="N527" s="181">
        <v>3785411.7839999995</v>
      </c>
      <c r="O527" s="181">
        <v>2097544.1919999998</v>
      </c>
      <c r="P527" s="181">
        <v>157.73399999999998</v>
      </c>
      <c r="Q527" s="181">
        <v>134026519.04319999</v>
      </c>
      <c r="R527" s="181">
        <v>1404371.3847999999</v>
      </c>
      <c r="S527" s="181">
        <v>866875.68559999985</v>
      </c>
      <c r="T527" s="181">
        <v>65.277999999999992</v>
      </c>
      <c r="U527" s="181">
        <v>21893772.986559998</v>
      </c>
      <c r="V527" s="181">
        <v>130239895271.94655</v>
      </c>
    </row>
    <row r="528" spans="1:22">
      <c r="A528" s="2" t="s">
        <v>1074</v>
      </c>
      <c r="B528" s="2" t="s">
        <v>1075</v>
      </c>
      <c r="C528" s="181">
        <v>243.31415999999999</v>
      </c>
      <c r="D528" s="181">
        <v>30967.68</v>
      </c>
      <c r="E528" s="181">
        <v>518.16</v>
      </c>
      <c r="F528" s="181">
        <v>307.33999999999997</v>
      </c>
      <c r="G528" s="181">
        <v>29.971999999999998</v>
      </c>
      <c r="H528" s="181">
        <v>54.101999999999997</v>
      </c>
      <c r="I528" s="181">
        <v>0</v>
      </c>
      <c r="J528" s="181">
        <v>31.622999999999998</v>
      </c>
      <c r="K528" s="181">
        <v>0</v>
      </c>
      <c r="L528" s="181">
        <v>14.5</v>
      </c>
      <c r="M528" s="181">
        <v>765865823.10399997</v>
      </c>
      <c r="N528" s="181">
        <v>3670702.3359999997</v>
      </c>
      <c r="O528" s="181">
        <v>2048382.9999999998</v>
      </c>
      <c r="P528" s="181">
        <v>157.226</v>
      </c>
      <c r="Q528" s="181">
        <v>133194056.19199999</v>
      </c>
      <c r="R528" s="181">
        <v>1392900.44</v>
      </c>
      <c r="S528" s="181">
        <v>863598.27279999992</v>
      </c>
      <c r="T528" s="181">
        <v>65.531999999999996</v>
      </c>
      <c r="U528" s="181">
        <v>21394295.275839996</v>
      </c>
      <c r="V528" s="181">
        <v>120572604076.5031</v>
      </c>
    </row>
    <row r="529" spans="1:22">
      <c r="A529" s="2" t="s">
        <v>1076</v>
      </c>
      <c r="B529" s="2" t="s">
        <v>1077</v>
      </c>
      <c r="C529" s="181">
        <v>206.85423999999998</v>
      </c>
      <c r="D529" s="181">
        <v>26387.043999999998</v>
      </c>
      <c r="E529" s="181">
        <v>510.54</v>
      </c>
      <c r="F529" s="181">
        <v>304.79999999999995</v>
      </c>
      <c r="G529" s="181">
        <v>25.907999999999998</v>
      </c>
      <c r="H529" s="181">
        <v>45.973999999999997</v>
      </c>
      <c r="I529" s="181">
        <v>0</v>
      </c>
      <c r="J529" s="181">
        <v>31.813499999999998</v>
      </c>
      <c r="K529" s="181">
        <v>0</v>
      </c>
      <c r="L529" s="181">
        <v>16.8</v>
      </c>
      <c r="M529" s="181">
        <v>640996395.42399991</v>
      </c>
      <c r="N529" s="181">
        <v>3113542.1599999997</v>
      </c>
      <c r="O529" s="181">
        <v>1737028.7839999998</v>
      </c>
      <c r="P529" s="181">
        <v>155.95599999999999</v>
      </c>
      <c r="Q529" s="181">
        <v>108220170.65599999</v>
      </c>
      <c r="R529" s="181">
        <v>1143817.0671999999</v>
      </c>
      <c r="S529" s="181">
        <v>712837.28399999999</v>
      </c>
      <c r="T529" s="181">
        <v>64.007999999999996</v>
      </c>
      <c r="U529" s="181">
        <v>13402651.90432</v>
      </c>
      <c r="V529" s="181">
        <v>74652970898.146683</v>
      </c>
    </row>
    <row r="530" spans="1:22">
      <c r="A530" s="2" t="s">
        <v>1078</v>
      </c>
      <c r="B530" s="2" t="s">
        <v>1079</v>
      </c>
      <c r="C530" s="181">
        <v>196.43711999999999</v>
      </c>
      <c r="D530" s="181">
        <v>25032.207999999999</v>
      </c>
      <c r="E530" s="181">
        <v>508</v>
      </c>
      <c r="F530" s="181">
        <v>302.26</v>
      </c>
      <c r="G530" s="181">
        <v>24.383999999999997</v>
      </c>
      <c r="H530" s="181">
        <v>43.942</v>
      </c>
      <c r="I530" s="181">
        <v>0</v>
      </c>
      <c r="J530" s="181">
        <v>32.257999999999988</v>
      </c>
      <c r="K530" s="181">
        <v>0</v>
      </c>
      <c r="L530" s="181">
        <v>17.8</v>
      </c>
      <c r="M530" s="181">
        <v>603535567.11999989</v>
      </c>
      <c r="N530" s="181">
        <v>2916897.3919999995</v>
      </c>
      <c r="O530" s="181">
        <v>1625596.7487999999</v>
      </c>
      <c r="P530" s="181">
        <v>155.19399999999999</v>
      </c>
      <c r="Q530" s="181">
        <v>102392930.69759999</v>
      </c>
      <c r="R530" s="181">
        <v>1081546.2239999999</v>
      </c>
      <c r="S530" s="181">
        <v>676785.74319999991</v>
      </c>
      <c r="T530" s="181">
        <v>64.007999999999996</v>
      </c>
      <c r="U530" s="181">
        <v>11612856.774239998</v>
      </c>
      <c r="V530" s="181">
        <v>62568856903.842361</v>
      </c>
    </row>
    <row r="531" spans="1:22">
      <c r="A531" s="2" t="s">
        <v>1080</v>
      </c>
      <c r="B531" s="2" t="s">
        <v>1081</v>
      </c>
      <c r="C531" s="181">
        <v>174.8588</v>
      </c>
      <c r="D531" s="181">
        <v>22258.02</v>
      </c>
      <c r="E531" s="181">
        <v>502.92</v>
      </c>
      <c r="F531" s="181">
        <v>302.26</v>
      </c>
      <c r="G531" s="181">
        <v>21.081999999999997</v>
      </c>
      <c r="H531" s="181">
        <v>40.131999999999998</v>
      </c>
      <c r="I531" s="181">
        <v>0</v>
      </c>
      <c r="J531" s="181">
        <v>32.892999999999994</v>
      </c>
      <c r="K531" s="181">
        <v>0</v>
      </c>
      <c r="L531" s="181">
        <v>20.6</v>
      </c>
      <c r="M531" s="181">
        <v>524451596.25599992</v>
      </c>
      <c r="N531" s="181">
        <v>2507220.7919999999</v>
      </c>
      <c r="O531" s="181">
        <v>1404371.3847999999</v>
      </c>
      <c r="P531" s="181">
        <v>153.416</v>
      </c>
      <c r="Q531" s="181">
        <v>92403376.483199984</v>
      </c>
      <c r="R531" s="181">
        <v>966836.77599999995</v>
      </c>
      <c r="S531" s="181">
        <v>611237.48719999986</v>
      </c>
      <c r="T531" s="181">
        <v>64.515999999999991</v>
      </c>
      <c r="U531" s="181">
        <v>8574367.3673599996</v>
      </c>
      <c r="V531" s="181">
        <v>41891595180.254974</v>
      </c>
    </row>
    <row r="532" spans="1:22">
      <c r="A532" s="2" t="s">
        <v>1082</v>
      </c>
      <c r="B532" s="2" t="s">
        <v>1083</v>
      </c>
      <c r="C532" s="181">
        <v>157.00088</v>
      </c>
      <c r="D532" s="181">
        <v>19999.96</v>
      </c>
      <c r="E532" s="181">
        <v>500.37999999999994</v>
      </c>
      <c r="F532" s="181">
        <v>299.72000000000003</v>
      </c>
      <c r="G532" s="181">
        <v>19.049999999999997</v>
      </c>
      <c r="H532" s="181">
        <v>36.067999999999998</v>
      </c>
      <c r="I532" s="181">
        <v>0</v>
      </c>
      <c r="J532" s="181">
        <v>32.194500000000005</v>
      </c>
      <c r="K532" s="181">
        <v>0</v>
      </c>
      <c r="L532" s="181">
        <v>22.8</v>
      </c>
      <c r="M532" s="181">
        <v>466179196.67199993</v>
      </c>
      <c r="N532" s="181">
        <v>2245027.7679999997</v>
      </c>
      <c r="O532" s="181">
        <v>1256887.8088</v>
      </c>
      <c r="P532" s="181">
        <v>152.654</v>
      </c>
      <c r="Q532" s="181">
        <v>81165127.991999999</v>
      </c>
      <c r="R532" s="181">
        <v>853766.03439999989</v>
      </c>
      <c r="S532" s="181">
        <v>540773.11199999996</v>
      </c>
      <c r="T532" s="181">
        <v>63.753999999999991</v>
      </c>
      <c r="U532" s="181">
        <v>6326717.6691199988</v>
      </c>
      <c r="V532" s="181">
        <v>30344552919.030846</v>
      </c>
    </row>
    <row r="533" spans="1:22">
      <c r="A533" s="2" t="s">
        <v>1084</v>
      </c>
      <c r="B533" s="2" t="s">
        <v>1085</v>
      </c>
      <c r="C533" s="181">
        <v>136.16664</v>
      </c>
      <c r="D533" s="181">
        <v>17354.803999999996</v>
      </c>
      <c r="E533" s="181">
        <v>495.29999999999995</v>
      </c>
      <c r="F533" s="181">
        <v>299.72000000000003</v>
      </c>
      <c r="G533" s="181">
        <v>16.509999999999998</v>
      </c>
      <c r="H533" s="181">
        <v>30.987999999999996</v>
      </c>
      <c r="I533" s="181">
        <v>0</v>
      </c>
      <c r="J533" s="181">
        <v>32.512</v>
      </c>
      <c r="K533" s="181">
        <v>0</v>
      </c>
      <c r="L533" s="181">
        <v>26.3</v>
      </c>
      <c r="M533" s="181">
        <v>398749705.72479993</v>
      </c>
      <c r="N533" s="181">
        <v>1917286.4879999999</v>
      </c>
      <c r="O533" s="181">
        <v>1078268.8111999999</v>
      </c>
      <c r="P533" s="181">
        <v>151.63799999999998</v>
      </c>
      <c r="Q533" s="181">
        <v>69926879.500799999</v>
      </c>
      <c r="R533" s="181">
        <v>730863.05439999991</v>
      </c>
      <c r="S533" s="181">
        <v>467031.32399999996</v>
      </c>
      <c r="T533" s="181">
        <v>63.5</v>
      </c>
      <c r="U533" s="181">
        <v>4162314.2559999996</v>
      </c>
      <c r="V533" s="181">
        <v>19361435977.54092</v>
      </c>
    </row>
    <row r="534" spans="1:22">
      <c r="A534" s="2" t="s">
        <v>1086</v>
      </c>
      <c r="B534" s="2" t="s">
        <v>1087</v>
      </c>
      <c r="C534" s="181">
        <v>124.26136</v>
      </c>
      <c r="D534" s="181">
        <v>15870.936</v>
      </c>
      <c r="E534" s="181">
        <v>490.21999999999997</v>
      </c>
      <c r="F534" s="181">
        <v>299.72000000000003</v>
      </c>
      <c r="G534" s="181">
        <v>16.509999999999998</v>
      </c>
      <c r="H534" s="181">
        <v>25.907999999999998</v>
      </c>
      <c r="I534" s="181">
        <v>0</v>
      </c>
      <c r="J534" s="181">
        <v>32.829499999999996</v>
      </c>
      <c r="K534" s="181">
        <v>0</v>
      </c>
      <c r="L534" s="181">
        <v>26.3</v>
      </c>
      <c r="M534" s="181">
        <v>374192051.61439997</v>
      </c>
      <c r="N534" s="181">
        <v>1884512.3599999999</v>
      </c>
      <c r="O534" s="181">
        <v>1043855.9767999999</v>
      </c>
      <c r="P534" s="181">
        <v>153.66999999999999</v>
      </c>
      <c r="Q534" s="181">
        <v>58688631.009599991</v>
      </c>
      <c r="R534" s="181">
        <v>619431.01919999986</v>
      </c>
      <c r="S534" s="181">
        <v>391650.82959999994</v>
      </c>
      <c r="T534" s="181">
        <v>60.959999999999994</v>
      </c>
      <c r="U534" s="181">
        <v>2909457.6649439996</v>
      </c>
      <c r="V534" s="181">
        <v>16890906005.372038</v>
      </c>
    </row>
    <row r="535" spans="1:22">
      <c r="A535" s="2" t="s">
        <v>1088</v>
      </c>
      <c r="B535" s="2" t="s">
        <v>1089</v>
      </c>
      <c r="C535" s="181">
        <v>110.86792</v>
      </c>
      <c r="D535" s="181">
        <v>14129.003999999999</v>
      </c>
      <c r="E535" s="181">
        <v>485.14</v>
      </c>
      <c r="F535" s="181">
        <v>299.72000000000003</v>
      </c>
      <c r="G535" s="181">
        <v>16.001999999999999</v>
      </c>
      <c r="H535" s="181">
        <v>21.081999999999997</v>
      </c>
      <c r="I535" s="181">
        <v>0</v>
      </c>
      <c r="J535" s="181">
        <v>32.893000000000001</v>
      </c>
      <c r="K535" s="181">
        <v>0</v>
      </c>
      <c r="L535" s="181">
        <v>27.1</v>
      </c>
      <c r="M535" s="181">
        <v>339228611.86399996</v>
      </c>
      <c r="N535" s="181">
        <v>1769802.9119999998</v>
      </c>
      <c r="O535" s="181">
        <v>978307.72080000001</v>
      </c>
      <c r="P535" s="181">
        <v>154.93999999999997</v>
      </c>
      <c r="Q535" s="181">
        <v>47450382.518399999</v>
      </c>
      <c r="R535" s="181">
        <v>506360.27759999991</v>
      </c>
      <c r="S535" s="181">
        <v>317909.04159999994</v>
      </c>
      <c r="T535" s="181">
        <v>58.165999999999997</v>
      </c>
      <c r="U535" s="181">
        <v>1939638.4432959999</v>
      </c>
      <c r="V535" s="181">
        <v>13937011473.430981</v>
      </c>
    </row>
    <row r="536" spans="1:22">
      <c r="A536" s="2" t="s">
        <v>1090</v>
      </c>
      <c r="B536" s="2" t="s">
        <v>1091</v>
      </c>
      <c r="C536" s="181">
        <v>593.77584000000002</v>
      </c>
      <c r="D536" s="181">
        <v>75483.72</v>
      </c>
      <c r="E536" s="181">
        <v>533.4</v>
      </c>
      <c r="F536" s="181">
        <v>457.2</v>
      </c>
      <c r="G536" s="181">
        <v>60.451999999999991</v>
      </c>
      <c r="H536" s="181">
        <v>108.96599999999999</v>
      </c>
      <c r="I536" s="181">
        <v>0</v>
      </c>
      <c r="J536" s="181">
        <v>32.3215</v>
      </c>
      <c r="K536" s="181">
        <v>0</v>
      </c>
      <c r="L536" s="181">
        <v>6.62</v>
      </c>
      <c r="M536" s="181">
        <v>1635789502.6079998</v>
      </c>
      <c r="N536" s="181">
        <v>7833016.5919999992</v>
      </c>
      <c r="O536" s="181">
        <v>4211475.4479999999</v>
      </c>
      <c r="P536" s="181">
        <v>147.066</v>
      </c>
      <c r="Q536" s="181">
        <v>874085993.75999987</v>
      </c>
      <c r="R536" s="181">
        <v>6079600.743999999</v>
      </c>
      <c r="S536" s="181">
        <v>3834572.9759999998</v>
      </c>
      <c r="T536" s="181">
        <v>107.44200000000001</v>
      </c>
      <c r="U536" s="181">
        <v>217689035.58879998</v>
      </c>
      <c r="V536" s="181">
        <v>1530654439278.5471</v>
      </c>
    </row>
    <row r="537" spans="1:22">
      <c r="A537" s="2" t="s">
        <v>1092</v>
      </c>
      <c r="B537" s="2" t="s">
        <v>1093</v>
      </c>
      <c r="C537" s="181">
        <v>483.65199999999999</v>
      </c>
      <c r="D537" s="181">
        <v>61612.78</v>
      </c>
      <c r="E537" s="181">
        <v>513.07999999999993</v>
      </c>
      <c r="F537" s="181">
        <v>447.04</v>
      </c>
      <c r="G537" s="181">
        <v>50.037999999999997</v>
      </c>
      <c r="H537" s="181">
        <v>89.915999999999997</v>
      </c>
      <c r="I537" s="181">
        <v>0</v>
      </c>
      <c r="J537" s="181">
        <v>32.3215</v>
      </c>
      <c r="K537" s="181">
        <v>0</v>
      </c>
      <c r="L537" s="181">
        <v>7.99</v>
      </c>
      <c r="M537" s="181">
        <v>1261181219.5679998</v>
      </c>
      <c r="N537" s="181">
        <v>6112374.8719999995</v>
      </c>
      <c r="O537" s="181">
        <v>3326573.9919999996</v>
      </c>
      <c r="P537" s="181">
        <v>143.25599999999997</v>
      </c>
      <c r="Q537" s="181">
        <v>670132595.21599996</v>
      </c>
      <c r="R537" s="181">
        <v>4752248.5599999996</v>
      </c>
      <c r="S537" s="181">
        <v>2998832.7119999998</v>
      </c>
      <c r="T537" s="181">
        <v>104.39400000000001</v>
      </c>
      <c r="U537" s="181">
        <v>122372039.12639999</v>
      </c>
      <c r="V537" s="181">
        <v>808292958285.68896</v>
      </c>
    </row>
    <row r="538" spans="1:22">
      <c r="A538" s="2" t="s">
        <v>1094</v>
      </c>
      <c r="B538" s="2" t="s">
        <v>1095</v>
      </c>
      <c r="C538" s="181">
        <v>392.13015999999999</v>
      </c>
      <c r="D538" s="181">
        <v>49935.383999999998</v>
      </c>
      <c r="E538" s="181">
        <v>497.84000000000003</v>
      </c>
      <c r="F538" s="181">
        <v>436.87999999999994</v>
      </c>
      <c r="G538" s="181">
        <v>40.893999999999998</v>
      </c>
      <c r="H538" s="181">
        <v>73.914000000000001</v>
      </c>
      <c r="I538" s="181">
        <v>0</v>
      </c>
      <c r="J538" s="181">
        <v>32.448499999999996</v>
      </c>
      <c r="K538" s="181">
        <v>0</v>
      </c>
      <c r="L538" s="181">
        <v>9.7799999999999994</v>
      </c>
      <c r="M538" s="181">
        <v>973981535.90399992</v>
      </c>
      <c r="N538" s="181">
        <v>4752248.5599999996</v>
      </c>
      <c r="O538" s="181">
        <v>2605543.176</v>
      </c>
      <c r="P538" s="181">
        <v>139.69999999999999</v>
      </c>
      <c r="Q538" s="181">
        <v>516126967.74399996</v>
      </c>
      <c r="R538" s="181">
        <v>3719863.5279999995</v>
      </c>
      <c r="S538" s="181">
        <v>2376124.2799999998</v>
      </c>
      <c r="T538" s="181">
        <v>101.85399999999998</v>
      </c>
      <c r="U538" s="181">
        <v>67845722.372799993</v>
      </c>
      <c r="V538" s="181">
        <v>421601310467.95068</v>
      </c>
    </row>
    <row r="539" spans="1:22">
      <c r="A539" s="2" t="s">
        <v>1096</v>
      </c>
      <c r="B539" s="2" t="s">
        <v>1097</v>
      </c>
      <c r="C539" s="181">
        <v>326.65111999999999</v>
      </c>
      <c r="D539" s="181">
        <v>41612.82</v>
      </c>
      <c r="E539" s="181">
        <v>485.14</v>
      </c>
      <c r="F539" s="181">
        <v>431.79999999999995</v>
      </c>
      <c r="G539" s="181">
        <v>34.544000000000004</v>
      </c>
      <c r="H539" s="181">
        <v>61.975999999999992</v>
      </c>
      <c r="I539" s="181">
        <v>0</v>
      </c>
      <c r="J539" s="181">
        <v>31.686500000000002</v>
      </c>
      <c r="K539" s="181">
        <v>0</v>
      </c>
      <c r="L539" s="181">
        <v>11.6</v>
      </c>
      <c r="M539" s="181">
        <v>786677394.38399994</v>
      </c>
      <c r="N539" s="181">
        <v>3850960.0399999996</v>
      </c>
      <c r="O539" s="181">
        <v>2130318.3199999998</v>
      </c>
      <c r="P539" s="181">
        <v>137.41399999999999</v>
      </c>
      <c r="Q539" s="181">
        <v>414566499.89759994</v>
      </c>
      <c r="R539" s="181">
        <v>2998832.7119999998</v>
      </c>
      <c r="S539" s="181">
        <v>1917286.4879999999</v>
      </c>
      <c r="T539" s="181">
        <v>99.822000000000003</v>
      </c>
      <c r="U539" s="181">
        <v>40083086.285279997</v>
      </c>
      <c r="V539" s="181">
        <v>240071064686.84583</v>
      </c>
    </row>
    <row r="540" spans="1:22">
      <c r="A540" s="2" t="s">
        <v>1098</v>
      </c>
      <c r="B540" s="2" t="s">
        <v>1099</v>
      </c>
      <c r="C540" s="181">
        <v>292.42343999999997</v>
      </c>
      <c r="D540" s="181">
        <v>37290.248</v>
      </c>
      <c r="E540" s="181">
        <v>480.05999999999995</v>
      </c>
      <c r="F540" s="181">
        <v>426.71999999999997</v>
      </c>
      <c r="G540" s="181">
        <v>30.987999999999996</v>
      </c>
      <c r="H540" s="181">
        <v>55.88</v>
      </c>
      <c r="I540" s="181">
        <v>0</v>
      </c>
      <c r="J540" s="181">
        <v>31.432499999999997</v>
      </c>
      <c r="K540" s="181">
        <v>0</v>
      </c>
      <c r="L540" s="181">
        <v>12.9</v>
      </c>
      <c r="M540" s="181">
        <v>690944166.49599993</v>
      </c>
      <c r="N540" s="181">
        <v>3392122.2479999997</v>
      </c>
      <c r="O540" s="181">
        <v>1884512.3599999999</v>
      </c>
      <c r="P540" s="181">
        <v>136.398</v>
      </c>
      <c r="Q540" s="181">
        <v>365034960.25119996</v>
      </c>
      <c r="R540" s="181">
        <v>2654704.3679999998</v>
      </c>
      <c r="S540" s="181">
        <v>1704254.656</v>
      </c>
      <c r="T540" s="181">
        <v>98.805999999999997</v>
      </c>
      <c r="U540" s="181">
        <v>29344315.504799996</v>
      </c>
      <c r="V540" s="181">
        <v>171057346986.04114</v>
      </c>
    </row>
    <row r="541" spans="1:22">
      <c r="A541" s="2" t="s">
        <v>1100</v>
      </c>
      <c r="B541" s="2" t="s">
        <v>1101</v>
      </c>
      <c r="C541" s="181">
        <v>267.12471999999997</v>
      </c>
      <c r="D541" s="181">
        <v>33999.932000000001</v>
      </c>
      <c r="E541" s="181">
        <v>474.97999999999996</v>
      </c>
      <c r="F541" s="181">
        <v>424.17999999999995</v>
      </c>
      <c r="G541" s="181">
        <v>28.448</v>
      </c>
      <c r="H541" s="181">
        <v>51.053999999999995</v>
      </c>
      <c r="I541" s="181">
        <v>0</v>
      </c>
      <c r="J541" s="181">
        <v>31.496000000000002</v>
      </c>
      <c r="K541" s="181">
        <v>0</v>
      </c>
      <c r="L541" s="181">
        <v>14.1</v>
      </c>
      <c r="M541" s="181">
        <v>624347138.39999998</v>
      </c>
      <c r="N541" s="181">
        <v>3064380.9679999999</v>
      </c>
      <c r="O541" s="181">
        <v>1704254.656</v>
      </c>
      <c r="P541" s="181">
        <v>135.38200000000001</v>
      </c>
      <c r="Q541" s="181">
        <v>327157900.52159995</v>
      </c>
      <c r="R541" s="181">
        <v>2392511.3439999996</v>
      </c>
      <c r="S541" s="181">
        <v>1540384.0159999998</v>
      </c>
      <c r="T541" s="181">
        <v>98.043999999999997</v>
      </c>
      <c r="U541" s="181">
        <v>22476496.982399996</v>
      </c>
      <c r="V541" s="181">
        <v>128897215939.24608</v>
      </c>
    </row>
    <row r="542" spans="1:22">
      <c r="A542" s="2" t="s">
        <v>1102</v>
      </c>
      <c r="B542" s="2" t="s">
        <v>1103</v>
      </c>
      <c r="C542" s="181">
        <v>244.05823999999998</v>
      </c>
      <c r="D542" s="181">
        <v>31096.712</v>
      </c>
      <c r="E542" s="181">
        <v>469.9</v>
      </c>
      <c r="F542" s="181">
        <v>421.64</v>
      </c>
      <c r="G542" s="181">
        <v>25.907999999999998</v>
      </c>
      <c r="H542" s="181">
        <v>46.99</v>
      </c>
      <c r="I542" s="181">
        <v>0</v>
      </c>
      <c r="J542" s="181">
        <v>32.384999999999998</v>
      </c>
      <c r="K542" s="181">
        <v>0</v>
      </c>
      <c r="L542" s="181">
        <v>15.4</v>
      </c>
      <c r="M542" s="181">
        <v>561912424.55999994</v>
      </c>
      <c r="N542" s="181">
        <v>2753026.7519999999</v>
      </c>
      <c r="O542" s="181">
        <v>1542022.7223999999</v>
      </c>
      <c r="P542" s="181">
        <v>134.36599999999999</v>
      </c>
      <c r="Q542" s="181">
        <v>295940543.60159999</v>
      </c>
      <c r="R542" s="181">
        <v>2163092.4479999999</v>
      </c>
      <c r="S542" s="181">
        <v>1401093.9719999998</v>
      </c>
      <c r="T542" s="181">
        <v>97.535999999999987</v>
      </c>
      <c r="U542" s="181">
        <v>17440096.732639998</v>
      </c>
      <c r="V542" s="181">
        <v>97478519554.05484</v>
      </c>
    </row>
    <row r="543" spans="1:22">
      <c r="A543" s="2" t="s">
        <v>1104</v>
      </c>
      <c r="B543" s="2" t="s">
        <v>1105</v>
      </c>
      <c r="C543" s="181">
        <v>223.22399999999999</v>
      </c>
      <c r="D543" s="181">
        <v>28451.556</v>
      </c>
      <c r="E543" s="181">
        <v>467.35999999999996</v>
      </c>
      <c r="F543" s="181">
        <v>424.17999999999995</v>
      </c>
      <c r="G543" s="181">
        <v>24.002999999999997</v>
      </c>
      <c r="H543" s="181">
        <v>42.671999999999997</v>
      </c>
      <c r="I543" s="181">
        <v>0</v>
      </c>
      <c r="J543" s="181">
        <v>31.9405</v>
      </c>
      <c r="K543" s="181">
        <v>0</v>
      </c>
      <c r="L543" s="181">
        <v>16.7</v>
      </c>
      <c r="M543" s="181">
        <v>511964653.48799998</v>
      </c>
      <c r="N543" s="181">
        <v>2507220.7919999999</v>
      </c>
      <c r="O543" s="181">
        <v>1410926.2103999997</v>
      </c>
      <c r="P543" s="181">
        <v>133.85799999999998</v>
      </c>
      <c r="Q543" s="181">
        <v>269717963.7888</v>
      </c>
      <c r="R543" s="181">
        <v>1966447.6799999997</v>
      </c>
      <c r="S543" s="181">
        <v>1274913.5791999998</v>
      </c>
      <c r="T543" s="181">
        <v>97.281999999999996</v>
      </c>
      <c r="U543" s="181">
        <v>13319405.619199999</v>
      </c>
      <c r="V543" s="181">
        <v>74652970898.146683</v>
      </c>
    </row>
    <row r="544" spans="1:22">
      <c r="A544" s="2" t="s">
        <v>1106</v>
      </c>
      <c r="B544" s="2" t="s">
        <v>1107</v>
      </c>
      <c r="C544" s="181">
        <v>208.3424</v>
      </c>
      <c r="D544" s="181">
        <v>26580.592000000001</v>
      </c>
      <c r="E544" s="181">
        <v>464.82</v>
      </c>
      <c r="F544" s="181">
        <v>421.64</v>
      </c>
      <c r="G544" s="181">
        <v>22.478999999999999</v>
      </c>
      <c r="H544" s="181">
        <v>39.878</v>
      </c>
      <c r="I544" s="181">
        <v>0</v>
      </c>
      <c r="J544" s="181">
        <v>31.5595</v>
      </c>
      <c r="K544" s="181">
        <v>0</v>
      </c>
      <c r="L544" s="181">
        <v>17.8</v>
      </c>
      <c r="M544" s="181">
        <v>474503825.18399996</v>
      </c>
      <c r="N544" s="181">
        <v>2326963.088</v>
      </c>
      <c r="O544" s="181">
        <v>1310965.1199999999</v>
      </c>
      <c r="P544" s="181">
        <v>133.35</v>
      </c>
      <c r="Q544" s="181">
        <v>249322623.93439996</v>
      </c>
      <c r="R544" s="181">
        <v>1818964.1039999998</v>
      </c>
      <c r="S544" s="181">
        <v>1183146.0207999998</v>
      </c>
      <c r="T544" s="181">
        <v>96.774000000000001</v>
      </c>
      <c r="U544" s="181">
        <v>10905263.35072</v>
      </c>
      <c r="V544" s="181">
        <v>60689105838.061691</v>
      </c>
    </row>
    <row r="545" spans="1:22">
      <c r="A545" s="2" t="s">
        <v>1108</v>
      </c>
      <c r="B545" s="2" t="s">
        <v>1109</v>
      </c>
      <c r="C545" s="181">
        <v>193.46079999999998</v>
      </c>
      <c r="D545" s="181">
        <v>24645.112000000001</v>
      </c>
      <c r="E545" s="181">
        <v>459.74</v>
      </c>
      <c r="F545" s="181">
        <v>421.64</v>
      </c>
      <c r="G545" s="181">
        <v>21.335999999999999</v>
      </c>
      <c r="H545" s="181">
        <v>36.575999999999993</v>
      </c>
      <c r="I545" s="181">
        <v>0</v>
      </c>
      <c r="J545" s="181">
        <v>31.686500000000009</v>
      </c>
      <c r="K545" s="181">
        <v>0</v>
      </c>
      <c r="L545" s="181">
        <v>18.7</v>
      </c>
      <c r="M545" s="181">
        <v>441205311.13599998</v>
      </c>
      <c r="N545" s="181">
        <v>2179479.5119999996</v>
      </c>
      <c r="O545" s="181">
        <v>1230668.5063999998</v>
      </c>
      <c r="P545" s="181">
        <v>133.60399999999998</v>
      </c>
      <c r="Q545" s="181">
        <v>226846126.95199999</v>
      </c>
      <c r="R545" s="181">
        <v>1671480.5279999999</v>
      </c>
      <c r="S545" s="181">
        <v>1078268.8111999999</v>
      </c>
      <c r="T545" s="181">
        <v>95.757999999999996</v>
      </c>
      <c r="U545" s="181">
        <v>8615990.5099199992</v>
      </c>
      <c r="V545" s="181">
        <v>48604991843.75737</v>
      </c>
    </row>
    <row r="546" spans="1:22">
      <c r="A546" s="2" t="s">
        <v>1110</v>
      </c>
      <c r="B546" s="2" t="s">
        <v>1111</v>
      </c>
      <c r="C546" s="181">
        <v>182.2996</v>
      </c>
      <c r="D546" s="181">
        <v>23225.759999999998</v>
      </c>
      <c r="E546" s="181">
        <v>457.2</v>
      </c>
      <c r="F546" s="181">
        <v>419.09999999999997</v>
      </c>
      <c r="G546" s="181">
        <v>20.32</v>
      </c>
      <c r="H546" s="181">
        <v>34.29</v>
      </c>
      <c r="I546" s="181">
        <v>0</v>
      </c>
      <c r="J546" s="181">
        <v>32.384999999999998</v>
      </c>
      <c r="K546" s="181">
        <v>0</v>
      </c>
      <c r="L546" s="181">
        <v>19.7</v>
      </c>
      <c r="M546" s="181">
        <v>414150268.47199994</v>
      </c>
      <c r="N546" s="181">
        <v>2048382.9999999998</v>
      </c>
      <c r="O546" s="181">
        <v>1163481.544</v>
      </c>
      <c r="P546" s="181">
        <v>133.60399999999998</v>
      </c>
      <c r="Q546" s="181">
        <v>211029332.77919999</v>
      </c>
      <c r="R546" s="181">
        <v>1553493.6671999998</v>
      </c>
      <c r="S546" s="181">
        <v>1006165.7295999998</v>
      </c>
      <c r="T546" s="181">
        <v>95.25</v>
      </c>
      <c r="U546" s="181">
        <v>7200803.6628799997</v>
      </c>
      <c r="V546" s="181">
        <v>40548915847.554497</v>
      </c>
    </row>
    <row r="547" spans="1:22">
      <c r="A547" s="2" t="s">
        <v>1112</v>
      </c>
      <c r="B547" s="2" t="s">
        <v>1113</v>
      </c>
      <c r="C547" s="181">
        <v>171.13839999999999</v>
      </c>
      <c r="D547" s="181">
        <v>21806.407999999996</v>
      </c>
      <c r="E547" s="181">
        <v>457.2</v>
      </c>
      <c r="F547" s="181">
        <v>419.09999999999997</v>
      </c>
      <c r="G547" s="181">
        <v>19.303999999999998</v>
      </c>
      <c r="H547" s="181">
        <v>32.003999999999998</v>
      </c>
      <c r="I547" s="181">
        <v>0</v>
      </c>
      <c r="J547" s="181">
        <v>31.496000000000002</v>
      </c>
      <c r="K547" s="181">
        <v>0</v>
      </c>
      <c r="L547" s="181">
        <v>20.7</v>
      </c>
      <c r="M547" s="181">
        <v>388760151.51039994</v>
      </c>
      <c r="N547" s="181">
        <v>1933673.5519999999</v>
      </c>
      <c r="O547" s="181">
        <v>1097933.2879999999</v>
      </c>
      <c r="P547" s="181">
        <v>133.35</v>
      </c>
      <c r="Q547" s="181">
        <v>195628770.03199998</v>
      </c>
      <c r="R547" s="181">
        <v>1442061.6319999998</v>
      </c>
      <c r="S547" s="181">
        <v>934062.64799999993</v>
      </c>
      <c r="T547" s="181">
        <v>94.74199999999999</v>
      </c>
      <c r="U547" s="181">
        <v>5952109.3860799996</v>
      </c>
      <c r="V547" s="181">
        <v>33566983317.511997</v>
      </c>
    </row>
    <row r="548" spans="1:22">
      <c r="A548" s="2" t="s">
        <v>1114</v>
      </c>
      <c r="B548" s="2" t="s">
        <v>1115</v>
      </c>
      <c r="C548" s="181">
        <v>190.48447999999999</v>
      </c>
      <c r="D548" s="181">
        <v>24322.531999999999</v>
      </c>
      <c r="E548" s="181">
        <v>474.97999999999996</v>
      </c>
      <c r="F548" s="181">
        <v>309.87999999999994</v>
      </c>
      <c r="G548" s="181">
        <v>24.383999999999997</v>
      </c>
      <c r="H548" s="181">
        <v>43.942</v>
      </c>
      <c r="I548" s="181">
        <v>0</v>
      </c>
      <c r="J548" s="181">
        <v>22.732999999999997</v>
      </c>
      <c r="K548" s="181">
        <v>0</v>
      </c>
      <c r="L548" s="181">
        <v>16.899999999999999</v>
      </c>
      <c r="M548" s="181">
        <v>503640024.97599995</v>
      </c>
      <c r="N548" s="181">
        <v>2556381.9839999997</v>
      </c>
      <c r="O548" s="181">
        <v>1432229.3936000001</v>
      </c>
      <c r="P548" s="181">
        <v>143.76399999999998</v>
      </c>
      <c r="Q548" s="181">
        <v>109885096.35839999</v>
      </c>
      <c r="R548" s="181">
        <v>1122513.8839999998</v>
      </c>
      <c r="S548" s="181">
        <v>707921.16480000003</v>
      </c>
      <c r="T548" s="181">
        <v>67.309999999999988</v>
      </c>
      <c r="U548" s="181">
        <v>10988509.635839999</v>
      </c>
      <c r="V548" s="181">
        <v>55049852640.719673</v>
      </c>
    </row>
    <row r="549" spans="1:22">
      <c r="A549" s="2" t="s">
        <v>1116</v>
      </c>
      <c r="B549" s="2" t="s">
        <v>1117</v>
      </c>
      <c r="C549" s="181">
        <v>172.62655999999998</v>
      </c>
      <c r="D549" s="181">
        <v>21999.955999999998</v>
      </c>
      <c r="E549" s="181">
        <v>472.44</v>
      </c>
      <c r="F549" s="181">
        <v>307.33999999999997</v>
      </c>
      <c r="G549" s="181">
        <v>22.097999999999999</v>
      </c>
      <c r="H549" s="181">
        <v>39.878</v>
      </c>
      <c r="I549" s="181">
        <v>0</v>
      </c>
      <c r="J549" s="181">
        <v>22.034499999999994</v>
      </c>
      <c r="K549" s="181">
        <v>0</v>
      </c>
      <c r="L549" s="181">
        <v>18.7</v>
      </c>
      <c r="M549" s="181">
        <v>449529939.64799994</v>
      </c>
      <c r="N549" s="181">
        <v>2294188.96</v>
      </c>
      <c r="O549" s="181">
        <v>1286384.524</v>
      </c>
      <c r="P549" s="181">
        <v>143.00199999999998</v>
      </c>
      <c r="Q549" s="181">
        <v>97398153.590399995</v>
      </c>
      <c r="R549" s="181">
        <v>997972.19759999984</v>
      </c>
      <c r="S549" s="181">
        <v>632540.67039999994</v>
      </c>
      <c r="T549" s="181">
        <v>66.548000000000002</v>
      </c>
      <c r="U549" s="181">
        <v>8199759.0843199985</v>
      </c>
      <c r="V549" s="181">
        <v>40548915847.554497</v>
      </c>
    </row>
    <row r="550" spans="1:22">
      <c r="A550" s="2" t="s">
        <v>1118</v>
      </c>
      <c r="B550" s="2" t="s">
        <v>1119</v>
      </c>
      <c r="C550" s="181">
        <v>156.2568</v>
      </c>
      <c r="D550" s="181">
        <v>19935.444</v>
      </c>
      <c r="E550" s="181">
        <v>464.82</v>
      </c>
      <c r="F550" s="181">
        <v>309.87999999999994</v>
      </c>
      <c r="G550" s="181">
        <v>21.081999999999997</v>
      </c>
      <c r="H550" s="181">
        <v>34.544000000000004</v>
      </c>
      <c r="I550" s="181">
        <v>0</v>
      </c>
      <c r="J550" s="181">
        <v>24.193499999999993</v>
      </c>
      <c r="K550" s="181">
        <v>0</v>
      </c>
      <c r="L550" s="181">
        <v>19.600000000000001</v>
      </c>
      <c r="M550" s="181">
        <v>409987954.21599996</v>
      </c>
      <c r="N550" s="181">
        <v>2146705.3839999996</v>
      </c>
      <c r="O550" s="181">
        <v>1197894.3783999998</v>
      </c>
      <c r="P550" s="181">
        <v>143.51</v>
      </c>
      <c r="Q550" s="181">
        <v>85743673.673599988</v>
      </c>
      <c r="R550" s="181">
        <v>875069.21759999986</v>
      </c>
      <c r="S550" s="181">
        <v>553882.76319999993</v>
      </c>
      <c r="T550" s="181">
        <v>65.531999999999996</v>
      </c>
      <c r="U550" s="181">
        <v>5785616.8158399994</v>
      </c>
      <c r="V550" s="181">
        <v>31955768118.271423</v>
      </c>
    </row>
    <row r="551" spans="1:22">
      <c r="A551" s="2" t="s">
        <v>1120</v>
      </c>
      <c r="B551" s="2" t="s">
        <v>1121</v>
      </c>
      <c r="C551" s="181">
        <v>144.35151999999999</v>
      </c>
      <c r="D551" s="181">
        <v>18387.059999999998</v>
      </c>
      <c r="E551" s="181">
        <v>462.28</v>
      </c>
      <c r="F551" s="181">
        <v>307.33999999999997</v>
      </c>
      <c r="G551" s="181">
        <v>19.431000000000001</v>
      </c>
      <c r="H551" s="181">
        <v>32.003999999999998</v>
      </c>
      <c r="I551" s="181">
        <v>0</v>
      </c>
      <c r="J551" s="181">
        <v>23.558500000000002</v>
      </c>
      <c r="K551" s="181">
        <v>0</v>
      </c>
      <c r="L551" s="181">
        <v>21.2</v>
      </c>
      <c r="M551" s="181">
        <v>375024514.46559995</v>
      </c>
      <c r="N551" s="181">
        <v>1966447.6799999997</v>
      </c>
      <c r="O551" s="181">
        <v>1097933.2879999999</v>
      </c>
      <c r="P551" s="181">
        <v>142.74799999999999</v>
      </c>
      <c r="Q551" s="181">
        <v>77835276.587199986</v>
      </c>
      <c r="R551" s="181">
        <v>799688.72319999989</v>
      </c>
      <c r="S551" s="181">
        <v>506360.27759999991</v>
      </c>
      <c r="T551" s="181">
        <v>65.024000000000001</v>
      </c>
      <c r="U551" s="181">
        <v>4620168.8241599994</v>
      </c>
      <c r="V551" s="181">
        <v>24893274828.266899</v>
      </c>
    </row>
    <row r="552" spans="1:22">
      <c r="A552" s="2" t="s">
        <v>1122</v>
      </c>
      <c r="B552" s="2" t="s">
        <v>1123</v>
      </c>
      <c r="C552" s="181">
        <v>135.42256</v>
      </c>
      <c r="D552" s="181">
        <v>17290.288</v>
      </c>
      <c r="E552" s="181">
        <v>462.28</v>
      </c>
      <c r="F552" s="181">
        <v>307.33999999999997</v>
      </c>
      <c r="G552" s="181">
        <v>18.414999999999999</v>
      </c>
      <c r="H552" s="181">
        <v>29.971999999999998</v>
      </c>
      <c r="I552" s="181">
        <v>0</v>
      </c>
      <c r="J552" s="181">
        <v>24.002999999999997</v>
      </c>
      <c r="K552" s="181">
        <v>0</v>
      </c>
      <c r="L552" s="181">
        <v>22.4</v>
      </c>
      <c r="M552" s="181">
        <v>351715554.63199997</v>
      </c>
      <c r="N552" s="181">
        <v>1851738.2319999998</v>
      </c>
      <c r="O552" s="181">
        <v>1034023.7383999999</v>
      </c>
      <c r="P552" s="181">
        <v>142.74799999999999</v>
      </c>
      <c r="Q552" s="181">
        <v>72424268.054399997</v>
      </c>
      <c r="R552" s="181">
        <v>742333.99919999985</v>
      </c>
      <c r="S552" s="181">
        <v>471947.44319999998</v>
      </c>
      <c r="T552" s="181">
        <v>64.77</v>
      </c>
      <c r="U552" s="181">
        <v>3829329.1155199995</v>
      </c>
      <c r="V552" s="181">
        <v>20838383243.511448</v>
      </c>
    </row>
    <row r="553" spans="1:22">
      <c r="A553" s="2" t="s">
        <v>1124</v>
      </c>
      <c r="B553" s="2" t="s">
        <v>1125</v>
      </c>
      <c r="C553" s="181">
        <v>126.4936</v>
      </c>
      <c r="D553" s="181">
        <v>16129</v>
      </c>
      <c r="E553" s="181">
        <v>459.74</v>
      </c>
      <c r="F553" s="181">
        <v>304.79999999999995</v>
      </c>
      <c r="G553" s="181">
        <v>17.272000000000002</v>
      </c>
      <c r="H553" s="181">
        <v>27.94</v>
      </c>
      <c r="I553" s="181">
        <v>0</v>
      </c>
      <c r="J553" s="181">
        <v>22.859999999999996</v>
      </c>
      <c r="K553" s="181">
        <v>0</v>
      </c>
      <c r="L553" s="181">
        <v>23.9</v>
      </c>
      <c r="M553" s="181">
        <v>327157900.52159995</v>
      </c>
      <c r="N553" s="181">
        <v>1720641.7199999997</v>
      </c>
      <c r="O553" s="181">
        <v>965198.06959999993</v>
      </c>
      <c r="P553" s="181">
        <v>142.494</v>
      </c>
      <c r="Q553" s="181">
        <v>66597028.095999993</v>
      </c>
      <c r="R553" s="181">
        <v>684979.27519999992</v>
      </c>
      <c r="S553" s="181">
        <v>435895.90239999996</v>
      </c>
      <c r="T553" s="181">
        <v>64.261999999999986</v>
      </c>
      <c r="U553" s="181">
        <v>3125898.0062559997</v>
      </c>
      <c r="V553" s="181">
        <v>16971466765.334066</v>
      </c>
    </row>
    <row r="554" spans="1:22">
      <c r="A554" s="2" t="s">
        <v>1126</v>
      </c>
      <c r="B554" s="2" t="s">
        <v>1127</v>
      </c>
      <c r="C554" s="181">
        <v>119.05279999999999</v>
      </c>
      <c r="D554" s="181">
        <v>15161.259999999998</v>
      </c>
      <c r="E554" s="181">
        <v>457.2</v>
      </c>
      <c r="F554" s="181">
        <v>304.79999999999995</v>
      </c>
      <c r="G554" s="181">
        <v>16.509999999999998</v>
      </c>
      <c r="H554" s="181">
        <v>25.907999999999998</v>
      </c>
      <c r="I554" s="181">
        <v>0</v>
      </c>
      <c r="J554" s="181">
        <v>23.304500000000001</v>
      </c>
      <c r="K554" s="181">
        <v>0</v>
      </c>
      <c r="L554" s="181">
        <v>25</v>
      </c>
      <c r="M554" s="181">
        <v>308011254.94399995</v>
      </c>
      <c r="N554" s="181">
        <v>1638706.4</v>
      </c>
      <c r="O554" s="181">
        <v>914398.17119999987</v>
      </c>
      <c r="P554" s="181">
        <v>142.494</v>
      </c>
      <c r="Q554" s="181">
        <v>61186019.563199997</v>
      </c>
      <c r="R554" s="181">
        <v>632540.67039999994</v>
      </c>
      <c r="S554" s="181">
        <v>403121.77439999999</v>
      </c>
      <c r="T554" s="181">
        <v>63.5</v>
      </c>
      <c r="U554" s="181">
        <v>2568147.8959519998</v>
      </c>
      <c r="V554" s="181">
        <v>14393522446.549145</v>
      </c>
    </row>
    <row r="555" spans="1:22">
      <c r="A555" s="2" t="s">
        <v>1128</v>
      </c>
      <c r="B555" s="2" t="s">
        <v>1129</v>
      </c>
      <c r="C555" s="181">
        <v>111.61199999999999</v>
      </c>
      <c r="D555" s="181">
        <v>14258.036</v>
      </c>
      <c r="E555" s="181">
        <v>454.65999999999991</v>
      </c>
      <c r="F555" s="181">
        <v>304.79999999999995</v>
      </c>
      <c r="G555" s="181">
        <v>15.875</v>
      </c>
      <c r="H555" s="181">
        <v>23.875999999999998</v>
      </c>
      <c r="I555" s="181">
        <v>0</v>
      </c>
      <c r="J555" s="181">
        <v>23.749000000000002</v>
      </c>
      <c r="K555" s="181">
        <v>0</v>
      </c>
      <c r="L555" s="181">
        <v>26</v>
      </c>
      <c r="M555" s="181">
        <v>290529535.06879997</v>
      </c>
      <c r="N555" s="181">
        <v>1564964.612</v>
      </c>
      <c r="O555" s="181">
        <v>870153.0983999999</v>
      </c>
      <c r="P555" s="181">
        <v>142.74799999999999</v>
      </c>
      <c r="Q555" s="181">
        <v>56191242.455999993</v>
      </c>
      <c r="R555" s="181">
        <v>580102.06559999997</v>
      </c>
      <c r="S555" s="181">
        <v>368708.93999999994</v>
      </c>
      <c r="T555" s="181">
        <v>62.738</v>
      </c>
      <c r="U555" s="181">
        <v>2097806.385024</v>
      </c>
      <c r="V555" s="181">
        <v>12352649860.844416</v>
      </c>
    </row>
    <row r="556" spans="1:22">
      <c r="A556" s="2" t="s">
        <v>1130</v>
      </c>
      <c r="B556" s="2" t="s">
        <v>1131</v>
      </c>
      <c r="C556" s="181">
        <v>100.4508</v>
      </c>
      <c r="D556" s="181">
        <v>12838.683999999999</v>
      </c>
      <c r="E556" s="181">
        <v>452.12</v>
      </c>
      <c r="F556" s="181">
        <v>304.79999999999995</v>
      </c>
      <c r="G556" s="181">
        <v>15.239999999999998</v>
      </c>
      <c r="H556" s="181">
        <v>20.065999999999999</v>
      </c>
      <c r="I556" s="181">
        <v>0</v>
      </c>
      <c r="J556" s="181">
        <v>22.796499999999998</v>
      </c>
      <c r="K556" s="181">
        <v>0</v>
      </c>
      <c r="L556" s="181">
        <v>27.1</v>
      </c>
      <c r="M556" s="181">
        <v>265139418.10719997</v>
      </c>
      <c r="N556" s="181">
        <v>1476474.4663999998</v>
      </c>
      <c r="O556" s="181">
        <v>814437.0808</v>
      </c>
      <c r="P556" s="181">
        <v>143.76399999999998</v>
      </c>
      <c r="Q556" s="181">
        <v>47034151.092799999</v>
      </c>
      <c r="R556" s="181">
        <v>488334.50719999999</v>
      </c>
      <c r="S556" s="181">
        <v>309715.50959999993</v>
      </c>
      <c r="T556" s="181">
        <v>60.451999999999991</v>
      </c>
      <c r="U556" s="181">
        <v>1448485.3610879998</v>
      </c>
      <c r="V556" s="181">
        <v>10016387821.94558</v>
      </c>
    </row>
    <row r="557" spans="1:22">
      <c r="A557" s="2" t="s">
        <v>1132</v>
      </c>
      <c r="B557" s="2" t="s">
        <v>1133</v>
      </c>
      <c r="C557" s="181">
        <v>287.95895999999999</v>
      </c>
      <c r="D557" s="181">
        <v>36774.119999999995</v>
      </c>
      <c r="E557" s="181">
        <v>457.2</v>
      </c>
      <c r="F557" s="181">
        <v>411.47999999999996</v>
      </c>
      <c r="G557" s="181">
        <v>32.003999999999998</v>
      </c>
      <c r="H557" s="181">
        <v>57.911999999999992</v>
      </c>
      <c r="I557" s="181">
        <v>0</v>
      </c>
      <c r="J557" s="181">
        <v>23.0505</v>
      </c>
      <c r="K557" s="181">
        <v>0</v>
      </c>
      <c r="L557" s="181">
        <v>11.8</v>
      </c>
      <c r="M557" s="181">
        <v>607697881.37599993</v>
      </c>
      <c r="N557" s="181">
        <v>3162703.3519999995</v>
      </c>
      <c r="O557" s="181">
        <v>1753415.8479999998</v>
      </c>
      <c r="P557" s="181">
        <v>128.77799999999999</v>
      </c>
      <c r="Q557" s="181">
        <v>337147454.73599994</v>
      </c>
      <c r="R557" s="181">
        <v>2556381.9839999997</v>
      </c>
      <c r="S557" s="181">
        <v>1638706.4</v>
      </c>
      <c r="T557" s="181">
        <v>95.757999999999996</v>
      </c>
      <c r="U557" s="181">
        <v>30759502.351840001</v>
      </c>
      <c r="V557" s="181">
        <v>165149557922.15903</v>
      </c>
    </row>
    <row r="558" spans="1:22">
      <c r="A558" s="2" t="s">
        <v>1134</v>
      </c>
      <c r="B558" s="2" t="s">
        <v>1135</v>
      </c>
      <c r="C558" s="181">
        <v>263.40431999999998</v>
      </c>
      <c r="D558" s="181">
        <v>33612.835999999996</v>
      </c>
      <c r="E558" s="181">
        <v>452.12</v>
      </c>
      <c r="F558" s="181">
        <v>408.94</v>
      </c>
      <c r="G558" s="181">
        <v>29.463999999999995</v>
      </c>
      <c r="H558" s="181">
        <v>53.085999999999991</v>
      </c>
      <c r="I558" s="181">
        <v>0</v>
      </c>
      <c r="J558" s="181">
        <v>21.526500000000006</v>
      </c>
      <c r="K558" s="181">
        <v>0</v>
      </c>
      <c r="L558" s="181">
        <v>12.8</v>
      </c>
      <c r="M558" s="181">
        <v>549425481.79199994</v>
      </c>
      <c r="N558" s="181">
        <v>2851349.1359999999</v>
      </c>
      <c r="O558" s="181">
        <v>1586267.7951999998</v>
      </c>
      <c r="P558" s="181">
        <v>127.762</v>
      </c>
      <c r="Q558" s="181">
        <v>303432709.26239997</v>
      </c>
      <c r="R558" s="181">
        <v>2310576.0239999997</v>
      </c>
      <c r="S558" s="181">
        <v>1484667.9983999997</v>
      </c>
      <c r="T558" s="181">
        <v>94.995999999999995</v>
      </c>
      <c r="U558" s="181">
        <v>23766814.401759997</v>
      </c>
      <c r="V558" s="181">
        <v>125674785540.76492</v>
      </c>
    </row>
    <row r="559" spans="1:22">
      <c r="A559" s="2" t="s">
        <v>1136</v>
      </c>
      <c r="B559" s="2" t="s">
        <v>1137</v>
      </c>
      <c r="C559" s="181">
        <v>236.61743999999999</v>
      </c>
      <c r="D559" s="181">
        <v>30193.487999999998</v>
      </c>
      <c r="E559" s="181">
        <v>447.04</v>
      </c>
      <c r="F559" s="181">
        <v>406.4</v>
      </c>
      <c r="G559" s="181">
        <v>26.416</v>
      </c>
      <c r="H559" s="181">
        <v>48.005999999999993</v>
      </c>
      <c r="I559" s="181">
        <v>0</v>
      </c>
      <c r="J559" s="181">
        <v>21.844000000000001</v>
      </c>
      <c r="K559" s="181">
        <v>0</v>
      </c>
      <c r="L559" s="181">
        <v>14.3</v>
      </c>
      <c r="M559" s="181">
        <v>482828453.69599998</v>
      </c>
      <c r="N559" s="181">
        <v>2523607.8559999997</v>
      </c>
      <c r="O559" s="181">
        <v>1406010.0911999999</v>
      </c>
      <c r="P559" s="181">
        <v>126.746</v>
      </c>
      <c r="Q559" s="181">
        <v>268469269.51199996</v>
      </c>
      <c r="R559" s="181">
        <v>2048382.9999999998</v>
      </c>
      <c r="S559" s="181">
        <v>1322436.0647999998</v>
      </c>
      <c r="T559" s="181">
        <v>94.233999999999995</v>
      </c>
      <c r="U559" s="181">
        <v>17523343.017759997</v>
      </c>
      <c r="V559" s="181">
        <v>89959515290.932159</v>
      </c>
    </row>
    <row r="560" spans="1:22">
      <c r="A560" s="2" t="s">
        <v>1138</v>
      </c>
      <c r="B560" s="2" t="s">
        <v>1139</v>
      </c>
      <c r="C560" s="181">
        <v>216.52727999999999</v>
      </c>
      <c r="D560" s="181">
        <v>27612.847999999998</v>
      </c>
      <c r="E560" s="181">
        <v>441.95999999999992</v>
      </c>
      <c r="F560" s="181">
        <v>403.86</v>
      </c>
      <c r="G560" s="181">
        <v>24.383999999999997</v>
      </c>
      <c r="H560" s="181">
        <v>43.942</v>
      </c>
      <c r="I560" s="181">
        <v>0</v>
      </c>
      <c r="J560" s="181">
        <v>22.732999999999997</v>
      </c>
      <c r="K560" s="181">
        <v>0</v>
      </c>
      <c r="L560" s="181">
        <v>15.5</v>
      </c>
      <c r="M560" s="181">
        <v>441205311.13599998</v>
      </c>
      <c r="N560" s="181">
        <v>2294188.96</v>
      </c>
      <c r="O560" s="181">
        <v>1283107.1111999999</v>
      </c>
      <c r="P560" s="181">
        <v>125.98399999999999</v>
      </c>
      <c r="Q560" s="181">
        <v>241830458.27359998</v>
      </c>
      <c r="R560" s="181">
        <v>1851738.2319999998</v>
      </c>
      <c r="S560" s="181">
        <v>1197894.3783999998</v>
      </c>
      <c r="T560" s="181">
        <v>93.471999999999994</v>
      </c>
      <c r="U560" s="181">
        <v>13527521.331999999</v>
      </c>
      <c r="V560" s="181">
        <v>68745181834.264572</v>
      </c>
    </row>
    <row r="561" spans="1:22">
      <c r="A561" s="2" t="s">
        <v>1140</v>
      </c>
      <c r="B561" s="2" t="s">
        <v>1141</v>
      </c>
      <c r="C561" s="181">
        <v>195.69304</v>
      </c>
      <c r="D561" s="181">
        <v>24967.691999999999</v>
      </c>
      <c r="E561" s="181">
        <v>439.42</v>
      </c>
      <c r="F561" s="181">
        <v>401.32</v>
      </c>
      <c r="G561" s="181">
        <v>22.097999999999999</v>
      </c>
      <c r="H561" s="181">
        <v>39.878</v>
      </c>
      <c r="I561" s="181">
        <v>0</v>
      </c>
      <c r="J561" s="181">
        <v>22.034499999999994</v>
      </c>
      <c r="K561" s="181">
        <v>0</v>
      </c>
      <c r="L561" s="181">
        <v>17.100000000000001</v>
      </c>
      <c r="M561" s="181">
        <v>392506234.34079999</v>
      </c>
      <c r="N561" s="181">
        <v>2048382.9999999998</v>
      </c>
      <c r="O561" s="181">
        <v>1150371.8928</v>
      </c>
      <c r="P561" s="181">
        <v>125.22199999999998</v>
      </c>
      <c r="Q561" s="181">
        <v>215191647.03519997</v>
      </c>
      <c r="R561" s="181">
        <v>1655093.4639999999</v>
      </c>
      <c r="S561" s="181">
        <v>1073352.6919999998</v>
      </c>
      <c r="T561" s="181">
        <v>92.71</v>
      </c>
      <c r="U561" s="181">
        <v>10114423.64208</v>
      </c>
      <c r="V561" s="181">
        <v>50484742909.538048</v>
      </c>
    </row>
    <row r="562" spans="1:22">
      <c r="A562" s="2" t="s">
        <v>1142</v>
      </c>
      <c r="B562" s="2" t="s">
        <v>1143</v>
      </c>
      <c r="C562" s="181">
        <v>179.32327999999998</v>
      </c>
      <c r="D562" s="181">
        <v>22903.18</v>
      </c>
      <c r="E562" s="181">
        <v>434.34000000000003</v>
      </c>
      <c r="F562" s="181">
        <v>403.86</v>
      </c>
      <c r="G562" s="181">
        <v>21.081999999999997</v>
      </c>
      <c r="H562" s="181">
        <v>35.559999999999995</v>
      </c>
      <c r="I562" s="181">
        <v>0</v>
      </c>
      <c r="J562" s="181">
        <v>21.590000000000003</v>
      </c>
      <c r="K562" s="181">
        <v>0</v>
      </c>
      <c r="L562" s="181">
        <v>18</v>
      </c>
      <c r="M562" s="181">
        <v>362953803.12319994</v>
      </c>
      <c r="N562" s="181">
        <v>1900899.4239999999</v>
      </c>
      <c r="O562" s="181">
        <v>1078268.8111999999</v>
      </c>
      <c r="P562" s="181">
        <v>125.98399999999999</v>
      </c>
      <c r="Q562" s="181">
        <v>193963844.32959998</v>
      </c>
      <c r="R562" s="181">
        <v>1487945.4111999997</v>
      </c>
      <c r="S562" s="181">
        <v>963559.36319999991</v>
      </c>
      <c r="T562" s="181">
        <v>91.947999999999993</v>
      </c>
      <c r="U562" s="181">
        <v>7492165.6607999988</v>
      </c>
      <c r="V562" s="181">
        <v>39206236514.854012</v>
      </c>
    </row>
    <row r="563" spans="1:22">
      <c r="A563" s="2" t="s">
        <v>1144</v>
      </c>
      <c r="B563" s="2" t="s">
        <v>1145</v>
      </c>
      <c r="C563" s="181">
        <v>164.44167999999999</v>
      </c>
      <c r="D563" s="181">
        <v>21032.216</v>
      </c>
      <c r="E563" s="181">
        <v>431.79999999999995</v>
      </c>
      <c r="F563" s="181">
        <v>401.32</v>
      </c>
      <c r="G563" s="181">
        <v>19.684999999999999</v>
      </c>
      <c r="H563" s="181">
        <v>32.257999999999996</v>
      </c>
      <c r="I563" s="181">
        <v>0</v>
      </c>
      <c r="J563" s="181">
        <v>21.716999999999999</v>
      </c>
      <c r="K563" s="181">
        <v>0</v>
      </c>
      <c r="L563" s="181">
        <v>19.2</v>
      </c>
      <c r="M563" s="181">
        <v>332568909.05439997</v>
      </c>
      <c r="N563" s="181">
        <v>1753415.8479999998</v>
      </c>
      <c r="O563" s="181">
        <v>996333.49119999981</v>
      </c>
      <c r="P563" s="181">
        <v>125.73</v>
      </c>
      <c r="Q563" s="181">
        <v>174817198.75199997</v>
      </c>
      <c r="R563" s="181">
        <v>1345377.9543999997</v>
      </c>
      <c r="S563" s="181">
        <v>871791.80479999993</v>
      </c>
      <c r="T563" s="181">
        <v>91.185999999999993</v>
      </c>
      <c r="U563" s="181">
        <v>5785616.8158399994</v>
      </c>
      <c r="V563" s="181">
        <v>30344552919.030846</v>
      </c>
    </row>
    <row r="564" spans="1:22">
      <c r="A564" s="2" t="s">
        <v>1146</v>
      </c>
      <c r="B564" s="2" t="s">
        <v>1147</v>
      </c>
      <c r="C564" s="181">
        <v>149.56008</v>
      </c>
      <c r="D564" s="181">
        <v>19096.736000000001</v>
      </c>
      <c r="E564" s="181">
        <v>426.71999999999997</v>
      </c>
      <c r="F564" s="181">
        <v>398.78</v>
      </c>
      <c r="G564" s="181">
        <v>18.160999999999998</v>
      </c>
      <c r="H564" s="181">
        <v>29.209999999999997</v>
      </c>
      <c r="I564" s="181">
        <v>0</v>
      </c>
      <c r="J564" s="181">
        <v>21.59</v>
      </c>
      <c r="K564" s="181">
        <v>0</v>
      </c>
      <c r="L564" s="181">
        <v>20.8</v>
      </c>
      <c r="M564" s="181">
        <v>301767783.55999994</v>
      </c>
      <c r="N564" s="181">
        <v>1602654.8591999998</v>
      </c>
      <c r="O564" s="181">
        <v>909482.05199999991</v>
      </c>
      <c r="P564" s="181">
        <v>125.73</v>
      </c>
      <c r="Q564" s="181">
        <v>156086784.59999999</v>
      </c>
      <c r="R564" s="181">
        <v>1201171.7911999999</v>
      </c>
      <c r="S564" s="181">
        <v>780024.24639999995</v>
      </c>
      <c r="T564" s="181">
        <v>90.423999999999992</v>
      </c>
      <c r="U564" s="181">
        <v>4328806.8262399994</v>
      </c>
      <c r="V564" s="181">
        <v>22798695069.25415</v>
      </c>
    </row>
    <row r="565" spans="1:22">
      <c r="A565" s="2" t="s">
        <v>1148</v>
      </c>
      <c r="B565" s="2" t="s">
        <v>1149</v>
      </c>
      <c r="C565" s="181">
        <v>125.74951999999999</v>
      </c>
      <c r="D565" s="181">
        <v>15999.967999999999</v>
      </c>
      <c r="E565" s="181">
        <v>429.25999999999993</v>
      </c>
      <c r="F565" s="181">
        <v>292.09999999999997</v>
      </c>
      <c r="G565" s="181">
        <v>17.018000000000001</v>
      </c>
      <c r="H565" s="181">
        <v>30.987999999999996</v>
      </c>
      <c r="I565" s="181">
        <v>0</v>
      </c>
      <c r="J565" s="181">
        <v>22.986999999999998</v>
      </c>
      <c r="K565" s="181">
        <v>0</v>
      </c>
      <c r="L565" s="181">
        <v>22.4</v>
      </c>
      <c r="M565" s="181">
        <v>270134195.21439999</v>
      </c>
      <c r="N565" s="181">
        <v>1487945.4111999997</v>
      </c>
      <c r="O565" s="181">
        <v>837378.97039999999</v>
      </c>
      <c r="P565" s="181">
        <v>130.048</v>
      </c>
      <c r="Q565" s="181">
        <v>64515870.967999995</v>
      </c>
      <c r="R565" s="181">
        <v>689895.39439999999</v>
      </c>
      <c r="S565" s="181">
        <v>442450.72799999994</v>
      </c>
      <c r="T565" s="181">
        <v>63.5</v>
      </c>
      <c r="U565" s="181">
        <v>3666998.8595360001</v>
      </c>
      <c r="V565" s="181">
        <v>14876887006.321318</v>
      </c>
    </row>
    <row r="566" spans="1:22">
      <c r="A566" s="2" t="s">
        <v>1150</v>
      </c>
      <c r="B566" s="2" t="s">
        <v>1151</v>
      </c>
      <c r="C566" s="181">
        <v>113.10015999999999</v>
      </c>
      <c r="D566" s="181">
        <v>14451.583999999999</v>
      </c>
      <c r="E566" s="181">
        <v>424.17999999999995</v>
      </c>
      <c r="F566" s="181">
        <v>294.64</v>
      </c>
      <c r="G566" s="181">
        <v>16.128999999999998</v>
      </c>
      <c r="H566" s="181">
        <v>26.923999999999999</v>
      </c>
      <c r="I566" s="181">
        <v>0</v>
      </c>
      <c r="J566" s="181">
        <v>22.288499999999999</v>
      </c>
      <c r="K566" s="181">
        <v>0</v>
      </c>
      <c r="L566" s="181">
        <v>23.6</v>
      </c>
      <c r="M566" s="181">
        <v>246409003.95519999</v>
      </c>
      <c r="N566" s="181">
        <v>1384706.9079999998</v>
      </c>
      <c r="O566" s="181">
        <v>776746.8335999999</v>
      </c>
      <c r="P566" s="181">
        <v>130.55599999999998</v>
      </c>
      <c r="Q566" s="181">
        <v>56607473.881599993</v>
      </c>
      <c r="R566" s="181">
        <v>604682.66159999988</v>
      </c>
      <c r="S566" s="181">
        <v>386734.71039999998</v>
      </c>
      <c r="T566" s="181">
        <v>62.738</v>
      </c>
      <c r="U566" s="181">
        <v>2563985.581696</v>
      </c>
      <c r="V566" s="181">
        <v>11547042261.224127</v>
      </c>
    </row>
    <row r="567" spans="1:22">
      <c r="A567" s="2" t="s">
        <v>1152</v>
      </c>
      <c r="B567" s="2" t="s">
        <v>1153</v>
      </c>
      <c r="C567" s="181">
        <v>104.91528</v>
      </c>
      <c r="D567" s="181">
        <v>13419.328</v>
      </c>
      <c r="E567" s="181">
        <v>424.17999999999995</v>
      </c>
      <c r="F567" s="181">
        <v>292.09999999999997</v>
      </c>
      <c r="G567" s="181">
        <v>15.366999999999999</v>
      </c>
      <c r="H567" s="181">
        <v>24.383999999999997</v>
      </c>
      <c r="I567" s="181">
        <v>0</v>
      </c>
      <c r="J567" s="181">
        <v>21.653499999999998</v>
      </c>
      <c r="K567" s="181">
        <v>0</v>
      </c>
      <c r="L567" s="181">
        <v>24.8</v>
      </c>
      <c r="M567" s="181">
        <v>229759746.93119997</v>
      </c>
      <c r="N567" s="181">
        <v>1307687.7071999998</v>
      </c>
      <c r="O567" s="181">
        <v>732501.76079999993</v>
      </c>
      <c r="P567" s="181">
        <v>130.81</v>
      </c>
      <c r="Q567" s="181">
        <v>51196465.348799996</v>
      </c>
      <c r="R567" s="181">
        <v>547327.93759999995</v>
      </c>
      <c r="S567" s="181">
        <v>349044.4632</v>
      </c>
      <c r="T567" s="181">
        <v>61.722000000000001</v>
      </c>
      <c r="U567" s="181">
        <v>2014560.0999039998</v>
      </c>
      <c r="V567" s="181">
        <v>9506169675.5193977</v>
      </c>
    </row>
    <row r="568" spans="1:22">
      <c r="A568" s="2" t="s">
        <v>1154</v>
      </c>
      <c r="B568" s="2" t="s">
        <v>1155</v>
      </c>
      <c r="C568" s="181">
        <v>96.730399999999989</v>
      </c>
      <c r="D568" s="181">
        <v>12387.071999999998</v>
      </c>
      <c r="E568" s="181">
        <v>419.09999999999997</v>
      </c>
      <c r="F568" s="181">
        <v>292.09999999999997</v>
      </c>
      <c r="G568" s="181">
        <v>14.731999999999998</v>
      </c>
      <c r="H568" s="181">
        <v>21.716999999999999</v>
      </c>
      <c r="I568" s="181">
        <v>0</v>
      </c>
      <c r="J568" s="181">
        <v>22.732999999999997</v>
      </c>
      <c r="K568" s="181">
        <v>0</v>
      </c>
      <c r="L568" s="181">
        <v>25.8</v>
      </c>
      <c r="M568" s="181">
        <v>213526721.33279997</v>
      </c>
      <c r="N568" s="181">
        <v>1238862.0383999997</v>
      </c>
      <c r="O568" s="181">
        <v>689895.39439999999</v>
      </c>
      <c r="P568" s="181">
        <v>131.57199999999997</v>
      </c>
      <c r="Q568" s="181">
        <v>45369225.390399992</v>
      </c>
      <c r="R568" s="181">
        <v>486695.80079999997</v>
      </c>
      <c r="S568" s="181">
        <v>309715.50959999993</v>
      </c>
      <c r="T568" s="181">
        <v>60.451999999999991</v>
      </c>
      <c r="U568" s="181">
        <v>1527569.3319519998</v>
      </c>
      <c r="V568" s="181">
        <v>7868100889.6248121</v>
      </c>
    </row>
    <row r="569" spans="1:22">
      <c r="A569" s="2" t="s">
        <v>1156</v>
      </c>
      <c r="B569" s="2" t="s">
        <v>1157</v>
      </c>
      <c r="C569" s="181">
        <v>87.801439999999999</v>
      </c>
      <c r="D569" s="181">
        <v>11161.268</v>
      </c>
      <c r="E569" s="181">
        <v>416.55999999999995</v>
      </c>
      <c r="F569" s="181">
        <v>292.09999999999997</v>
      </c>
      <c r="G569" s="181">
        <v>13.97</v>
      </c>
      <c r="H569" s="181">
        <v>18.795999999999999</v>
      </c>
      <c r="I569" s="181">
        <v>0</v>
      </c>
      <c r="J569" s="181">
        <v>22.478999999999999</v>
      </c>
      <c r="K569" s="181">
        <v>0</v>
      </c>
      <c r="L569" s="181">
        <v>27.3</v>
      </c>
      <c r="M569" s="181">
        <v>195212538.60639998</v>
      </c>
      <c r="N569" s="181">
        <v>1160204.1311999999</v>
      </c>
      <c r="O569" s="181">
        <v>642372.90879999998</v>
      </c>
      <c r="P569" s="181">
        <v>132.07999999999998</v>
      </c>
      <c r="Q569" s="181">
        <v>38917638.293599993</v>
      </c>
      <c r="R569" s="181">
        <v>419508.83840000001</v>
      </c>
      <c r="S569" s="181">
        <v>267109.14319999999</v>
      </c>
      <c r="T569" s="181">
        <v>58.92799999999999</v>
      </c>
      <c r="U569" s="181">
        <v>1098850.963584</v>
      </c>
      <c r="V569" s="181">
        <v>6283739277.0382452</v>
      </c>
    </row>
    <row r="570" spans="1:22">
      <c r="A570" s="2" t="s">
        <v>1158</v>
      </c>
      <c r="B570" s="2" t="s">
        <v>1159</v>
      </c>
      <c r="C570" s="181">
        <v>290.93527999999998</v>
      </c>
      <c r="D570" s="181">
        <v>37161.216</v>
      </c>
      <c r="E570" s="181">
        <v>421.64</v>
      </c>
      <c r="F570" s="181">
        <v>396.23999999999995</v>
      </c>
      <c r="G570" s="181">
        <v>34.544000000000004</v>
      </c>
      <c r="H570" s="181">
        <v>61.975999999999992</v>
      </c>
      <c r="I570" s="181">
        <v>0</v>
      </c>
      <c r="J570" s="181">
        <v>23.749000000000002</v>
      </c>
      <c r="K570" s="181">
        <v>0</v>
      </c>
      <c r="L570" s="181">
        <v>9.83</v>
      </c>
      <c r="M570" s="181">
        <v>507802339.23199993</v>
      </c>
      <c r="N570" s="181">
        <v>2900510.3279999997</v>
      </c>
      <c r="O570" s="181">
        <v>1587906.5015999998</v>
      </c>
      <c r="P570" s="181">
        <v>117.09400000000001</v>
      </c>
      <c r="Q570" s="181">
        <v>322163123.41439998</v>
      </c>
      <c r="R570" s="181">
        <v>2539994.92</v>
      </c>
      <c r="S570" s="181">
        <v>1625596.7487999999</v>
      </c>
      <c r="T570" s="181">
        <v>93.217999999999989</v>
      </c>
      <c r="U570" s="181">
        <v>35920772.029279992</v>
      </c>
      <c r="V570" s="181">
        <v>170788811119.50104</v>
      </c>
    </row>
    <row r="571" spans="1:22">
      <c r="A571" s="2" t="s">
        <v>1160</v>
      </c>
      <c r="B571" s="2" t="s">
        <v>1161</v>
      </c>
      <c r="C571" s="181">
        <v>265.63655999999997</v>
      </c>
      <c r="D571" s="181">
        <v>33870.9</v>
      </c>
      <c r="E571" s="181">
        <v>416.55999999999995</v>
      </c>
      <c r="F571" s="181">
        <v>393.7</v>
      </c>
      <c r="G571" s="181">
        <v>31.495999999999999</v>
      </c>
      <c r="H571" s="181">
        <v>56.896000000000001</v>
      </c>
      <c r="I571" s="181">
        <v>0</v>
      </c>
      <c r="J571" s="181">
        <v>22.478999999999999</v>
      </c>
      <c r="K571" s="181">
        <v>0</v>
      </c>
      <c r="L571" s="181">
        <v>10.8</v>
      </c>
      <c r="M571" s="181">
        <v>453692253.90399998</v>
      </c>
      <c r="N571" s="181">
        <v>2605543.176</v>
      </c>
      <c r="O571" s="181">
        <v>1428951.9808</v>
      </c>
      <c r="P571" s="181">
        <v>115.82399999999998</v>
      </c>
      <c r="Q571" s="181">
        <v>288448377.94079995</v>
      </c>
      <c r="R571" s="181">
        <v>2294188.96</v>
      </c>
      <c r="S571" s="181">
        <v>1468280.9343999997</v>
      </c>
      <c r="T571" s="181">
        <v>92.456000000000003</v>
      </c>
      <c r="U571" s="181">
        <v>27721012.944959994</v>
      </c>
      <c r="V571" s="181">
        <v>128360144206.16588</v>
      </c>
    </row>
    <row r="572" spans="1:22">
      <c r="A572" s="2" t="s">
        <v>1162</v>
      </c>
      <c r="B572" s="2" t="s">
        <v>1163</v>
      </c>
      <c r="C572" s="181">
        <v>242.57007999999999</v>
      </c>
      <c r="D572" s="181">
        <v>30903.163999999997</v>
      </c>
      <c r="E572" s="181">
        <v>411.47999999999996</v>
      </c>
      <c r="F572" s="181">
        <v>391.15999999999997</v>
      </c>
      <c r="G572" s="181">
        <v>28.955999999999996</v>
      </c>
      <c r="H572" s="181">
        <v>52.069999999999993</v>
      </c>
      <c r="I572" s="181">
        <v>0</v>
      </c>
      <c r="J572" s="181">
        <v>22.542500000000004</v>
      </c>
      <c r="K572" s="181">
        <v>0</v>
      </c>
      <c r="L572" s="181">
        <v>11.7</v>
      </c>
      <c r="M572" s="181">
        <v>408323028.51359993</v>
      </c>
      <c r="N572" s="181">
        <v>2343350.1519999998</v>
      </c>
      <c r="O572" s="181">
        <v>1291300.6431999998</v>
      </c>
      <c r="P572" s="181">
        <v>114.80799999999998</v>
      </c>
      <c r="Q572" s="181">
        <v>258895946.72319996</v>
      </c>
      <c r="R572" s="181">
        <v>2064770.0639999998</v>
      </c>
      <c r="S572" s="181">
        <v>1327352.1839999999</v>
      </c>
      <c r="T572" s="181">
        <v>91.44</v>
      </c>
      <c r="U572" s="181">
        <v>21311048.99072</v>
      </c>
      <c r="V572" s="181">
        <v>96941447820.974655</v>
      </c>
    </row>
    <row r="573" spans="1:22">
      <c r="A573" s="2" t="s">
        <v>1164</v>
      </c>
      <c r="B573" s="2" t="s">
        <v>1165</v>
      </c>
      <c r="C573" s="181">
        <v>217.27135999999999</v>
      </c>
      <c r="D573" s="181">
        <v>27677.363999999998</v>
      </c>
      <c r="E573" s="181">
        <v>406.4</v>
      </c>
      <c r="F573" s="181">
        <v>388.62</v>
      </c>
      <c r="G573" s="181">
        <v>25.907999999999998</v>
      </c>
      <c r="H573" s="181">
        <v>46.99</v>
      </c>
      <c r="I573" s="181">
        <v>0</v>
      </c>
      <c r="J573" s="181">
        <v>22.859999999999992</v>
      </c>
      <c r="K573" s="181">
        <v>0</v>
      </c>
      <c r="L573" s="181">
        <v>13.1</v>
      </c>
      <c r="M573" s="181">
        <v>358375257.44159997</v>
      </c>
      <c r="N573" s="181">
        <v>2048382.9999999998</v>
      </c>
      <c r="O573" s="181">
        <v>1140539.6543999999</v>
      </c>
      <c r="P573" s="181">
        <v>113.792</v>
      </c>
      <c r="Q573" s="181">
        <v>228511052.65439999</v>
      </c>
      <c r="R573" s="181">
        <v>1818964.1039999998</v>
      </c>
      <c r="S573" s="181">
        <v>1178229.9016</v>
      </c>
      <c r="T573" s="181">
        <v>90.932000000000002</v>
      </c>
      <c r="U573" s="181">
        <v>15608678.459999999</v>
      </c>
      <c r="V573" s="181">
        <v>69013717700.804672</v>
      </c>
    </row>
    <row r="574" spans="1:22">
      <c r="A574" s="2" t="s">
        <v>1166</v>
      </c>
      <c r="B574" s="2" t="s">
        <v>1167</v>
      </c>
      <c r="C574" s="181">
        <v>194.20488</v>
      </c>
      <c r="D574" s="181">
        <v>24774.143999999997</v>
      </c>
      <c r="E574" s="181">
        <v>401.32</v>
      </c>
      <c r="F574" s="181">
        <v>386.08</v>
      </c>
      <c r="G574" s="181">
        <v>23.622</v>
      </c>
      <c r="H574" s="181">
        <v>41.91</v>
      </c>
      <c r="I574" s="181">
        <v>0</v>
      </c>
      <c r="J574" s="181">
        <v>23.177499999999995</v>
      </c>
      <c r="K574" s="181">
        <v>0</v>
      </c>
      <c r="L574" s="181">
        <v>14.4</v>
      </c>
      <c r="M574" s="181">
        <v>318417040.58399999</v>
      </c>
      <c r="N574" s="181">
        <v>1835351.1679999998</v>
      </c>
      <c r="O574" s="181">
        <v>1022552.7935999999</v>
      </c>
      <c r="P574" s="181">
        <v>113.28399999999999</v>
      </c>
      <c r="Q574" s="181">
        <v>199791084.28799999</v>
      </c>
      <c r="R574" s="181">
        <v>1604293.5655999999</v>
      </c>
      <c r="S574" s="181">
        <v>1037301.1511999998</v>
      </c>
      <c r="T574" s="181">
        <v>89.661999999999992</v>
      </c>
      <c r="U574" s="181">
        <v>11196625.348639999</v>
      </c>
      <c r="V574" s="181">
        <v>49410599443.377663</v>
      </c>
    </row>
    <row r="575" spans="1:22">
      <c r="A575" s="2" t="s">
        <v>1168</v>
      </c>
      <c r="B575" s="2" t="s">
        <v>1169</v>
      </c>
      <c r="C575" s="181">
        <v>174.8588</v>
      </c>
      <c r="D575" s="181">
        <v>22322.536</v>
      </c>
      <c r="E575" s="181">
        <v>398.78</v>
      </c>
      <c r="F575" s="181">
        <v>383.53999999999996</v>
      </c>
      <c r="G575" s="181">
        <v>21.081999999999997</v>
      </c>
      <c r="H575" s="181">
        <v>38.099999999999994</v>
      </c>
      <c r="I575" s="181">
        <v>0</v>
      </c>
      <c r="J575" s="181">
        <v>22.225000000000001</v>
      </c>
      <c r="K575" s="181">
        <v>0</v>
      </c>
      <c r="L575" s="181">
        <v>16.100000000000001</v>
      </c>
      <c r="M575" s="181">
        <v>280539980.85439998</v>
      </c>
      <c r="N575" s="181">
        <v>1609209.6847999999</v>
      </c>
      <c r="O575" s="181">
        <v>902927.22639999993</v>
      </c>
      <c r="P575" s="181">
        <v>112.014</v>
      </c>
      <c r="Q575" s="181">
        <v>177730818.73119998</v>
      </c>
      <c r="R575" s="181">
        <v>1433868.0999999999</v>
      </c>
      <c r="S575" s="181">
        <v>930785.23519999988</v>
      </c>
      <c r="T575" s="181">
        <v>89.153999999999996</v>
      </c>
      <c r="U575" s="181">
        <v>8366251.6545599997</v>
      </c>
      <c r="V575" s="181">
        <v>35715270249.832764</v>
      </c>
    </row>
    <row r="576" spans="1:22">
      <c r="A576" s="2" t="s">
        <v>1170</v>
      </c>
      <c r="B576" s="2" t="s">
        <v>1171</v>
      </c>
      <c r="C576" s="181">
        <v>157.00088</v>
      </c>
      <c r="D576" s="181">
        <v>20064.475999999999</v>
      </c>
      <c r="E576" s="181">
        <v>393.7</v>
      </c>
      <c r="F576" s="181">
        <v>383.53999999999996</v>
      </c>
      <c r="G576" s="181">
        <v>19.684999999999999</v>
      </c>
      <c r="H576" s="181">
        <v>33.527999999999999</v>
      </c>
      <c r="I576" s="181">
        <v>0</v>
      </c>
      <c r="J576" s="181">
        <v>23.622</v>
      </c>
      <c r="K576" s="181">
        <v>0</v>
      </c>
      <c r="L576" s="181">
        <v>17.2</v>
      </c>
      <c r="M576" s="181">
        <v>253901169.61599997</v>
      </c>
      <c r="N576" s="181">
        <v>1466642.2279999999</v>
      </c>
      <c r="O576" s="181">
        <v>827546.73199999996</v>
      </c>
      <c r="P576" s="181">
        <v>112.52199999999999</v>
      </c>
      <c r="Q576" s="181">
        <v>157335478.87679997</v>
      </c>
      <c r="R576" s="181">
        <v>1265081.3407999999</v>
      </c>
      <c r="S576" s="181">
        <v>820991.90639999998</v>
      </c>
      <c r="T576" s="181">
        <v>88.646000000000001</v>
      </c>
      <c r="U576" s="181">
        <v>5868863.1009599995</v>
      </c>
      <c r="V576" s="181">
        <v>25886857534.465256</v>
      </c>
    </row>
    <row r="577" spans="1:22">
      <c r="A577" s="2" t="s">
        <v>1172</v>
      </c>
      <c r="B577" s="2" t="s">
        <v>1173</v>
      </c>
      <c r="C577" s="181">
        <v>142.11928</v>
      </c>
      <c r="D577" s="181">
        <v>18128.995999999999</v>
      </c>
      <c r="E577" s="181">
        <v>388.62</v>
      </c>
      <c r="F577" s="181">
        <v>381</v>
      </c>
      <c r="G577" s="181">
        <v>18.033999999999999</v>
      </c>
      <c r="H577" s="181">
        <v>30.225999999999996</v>
      </c>
      <c r="I577" s="181">
        <v>0</v>
      </c>
      <c r="J577" s="181">
        <v>22.1615</v>
      </c>
      <c r="K577" s="181">
        <v>0</v>
      </c>
      <c r="L577" s="181">
        <v>18.8</v>
      </c>
      <c r="M577" s="181">
        <v>228511052.65439999</v>
      </c>
      <c r="N577" s="181">
        <v>1324074.7711999998</v>
      </c>
      <c r="O577" s="181">
        <v>748888.82479999994</v>
      </c>
      <c r="P577" s="181">
        <v>112.26799999999999</v>
      </c>
      <c r="Q577" s="181">
        <v>139853759.0016</v>
      </c>
      <c r="R577" s="181">
        <v>1129068.7095999999</v>
      </c>
      <c r="S577" s="181">
        <v>732501.76079999993</v>
      </c>
      <c r="T577" s="181">
        <v>87.884</v>
      </c>
      <c r="U577" s="181">
        <v>4370429.9687999999</v>
      </c>
      <c r="V577" s="181">
        <v>19119753697.654835</v>
      </c>
    </row>
    <row r="578" spans="1:22">
      <c r="A578" s="2" t="s">
        <v>1174</v>
      </c>
      <c r="B578" s="2" t="s">
        <v>1175</v>
      </c>
      <c r="C578" s="181">
        <v>128.72584000000001</v>
      </c>
      <c r="D578" s="181">
        <v>16451.579999999998</v>
      </c>
      <c r="E578" s="181">
        <v>386.08</v>
      </c>
      <c r="F578" s="181">
        <v>381</v>
      </c>
      <c r="G578" s="181">
        <v>16.637</v>
      </c>
      <c r="H578" s="181">
        <v>27.178000000000001</v>
      </c>
      <c r="I578" s="181">
        <v>0</v>
      </c>
      <c r="J578" s="181">
        <v>23.621999999999996</v>
      </c>
      <c r="K578" s="181">
        <v>0</v>
      </c>
      <c r="L578" s="181">
        <v>20.399999999999999</v>
      </c>
      <c r="M578" s="181">
        <v>206867018.52319998</v>
      </c>
      <c r="N578" s="181">
        <v>1204449.2039999999</v>
      </c>
      <c r="O578" s="181">
        <v>683340.56880000001</v>
      </c>
      <c r="P578" s="181">
        <v>112.26799999999999</v>
      </c>
      <c r="Q578" s="181">
        <v>124453196.25439999</v>
      </c>
      <c r="R578" s="181">
        <v>1006165.7295999998</v>
      </c>
      <c r="S578" s="181">
        <v>653843.85359999991</v>
      </c>
      <c r="T578" s="181">
        <v>86.867999999999995</v>
      </c>
      <c r="U578" s="181">
        <v>3238280.4911679998</v>
      </c>
      <c r="V578" s="181">
        <v>14232400926.625088</v>
      </c>
    </row>
    <row r="579" spans="1:22">
      <c r="A579" s="2" t="s">
        <v>1176</v>
      </c>
      <c r="B579" s="2" t="s">
        <v>1177</v>
      </c>
      <c r="C579" s="181">
        <v>110.12384</v>
      </c>
      <c r="D579" s="181">
        <v>13999.972</v>
      </c>
      <c r="E579" s="181">
        <v>388.62</v>
      </c>
      <c r="F579" s="181">
        <v>266.7</v>
      </c>
      <c r="G579" s="181">
        <v>16.509999999999998</v>
      </c>
      <c r="H579" s="181">
        <v>29.971999999999998</v>
      </c>
      <c r="I579" s="181">
        <v>0</v>
      </c>
      <c r="J579" s="181">
        <v>22.415499999999998</v>
      </c>
      <c r="K579" s="181">
        <v>0</v>
      </c>
      <c r="L579" s="181">
        <v>20.8</v>
      </c>
      <c r="M579" s="181">
        <v>193963844.32959998</v>
      </c>
      <c r="N579" s="181">
        <v>1183146.0207999998</v>
      </c>
      <c r="O579" s="181">
        <v>665314.79839999997</v>
      </c>
      <c r="P579" s="181">
        <v>117.60199999999999</v>
      </c>
      <c r="Q579" s="181">
        <v>47450382.518399999</v>
      </c>
      <c r="R579" s="181">
        <v>555521.46959999995</v>
      </c>
      <c r="S579" s="181">
        <v>355599.28879999998</v>
      </c>
      <c r="T579" s="181">
        <v>57.911999999999992</v>
      </c>
      <c r="U579" s="181">
        <v>3013515.521344</v>
      </c>
      <c r="V579" s="181">
        <v>10096948581.90761</v>
      </c>
    </row>
    <row r="580" spans="1:22">
      <c r="A580" s="2" t="s">
        <v>1178</v>
      </c>
      <c r="B580" s="2" t="s">
        <v>1179</v>
      </c>
      <c r="C580" s="181">
        <v>98.218559999999997</v>
      </c>
      <c r="D580" s="181">
        <v>12516.103999999999</v>
      </c>
      <c r="E580" s="181">
        <v>386.08</v>
      </c>
      <c r="F580" s="181">
        <v>266.7</v>
      </c>
      <c r="G580" s="181">
        <v>15.620999999999999</v>
      </c>
      <c r="H580" s="181">
        <v>25.4</v>
      </c>
      <c r="I580" s="181">
        <v>0</v>
      </c>
      <c r="J580" s="181">
        <v>22.225000000000001</v>
      </c>
      <c r="K580" s="181">
        <v>0</v>
      </c>
      <c r="L580" s="181">
        <v>22</v>
      </c>
      <c r="M580" s="181">
        <v>175233430.1776</v>
      </c>
      <c r="N580" s="181">
        <v>1094655.8751999999</v>
      </c>
      <c r="O580" s="181">
        <v>612876.19359999988</v>
      </c>
      <c r="P580" s="181">
        <v>118.36399999999999</v>
      </c>
      <c r="Q580" s="181">
        <v>40790679.708799995</v>
      </c>
      <c r="R580" s="181">
        <v>478502.26879999996</v>
      </c>
      <c r="S580" s="181">
        <v>304799.39039999997</v>
      </c>
      <c r="T580" s="181">
        <v>57.15</v>
      </c>
      <c r="U580" s="181">
        <v>2018722.4141599997</v>
      </c>
      <c r="V580" s="181">
        <v>7653272196.3927355</v>
      </c>
    </row>
    <row r="581" spans="1:22">
      <c r="A581" s="2" t="s">
        <v>1180</v>
      </c>
      <c r="B581" s="2" t="s">
        <v>1181</v>
      </c>
      <c r="C581" s="181">
        <v>92.265919999999994</v>
      </c>
      <c r="D581" s="181">
        <v>11741.911999999998</v>
      </c>
      <c r="E581" s="181">
        <v>383.53999999999996</v>
      </c>
      <c r="F581" s="181">
        <v>266.7</v>
      </c>
      <c r="G581" s="181">
        <v>14.858999999999998</v>
      </c>
      <c r="H581" s="181">
        <v>23.622</v>
      </c>
      <c r="I581" s="181">
        <v>0</v>
      </c>
      <c r="J581" s="181">
        <v>22.415499999999994</v>
      </c>
      <c r="K581" s="181">
        <v>0</v>
      </c>
      <c r="L581" s="181">
        <v>23.1</v>
      </c>
      <c r="M581" s="181">
        <v>164827644.53759998</v>
      </c>
      <c r="N581" s="181">
        <v>1034023.7383999999</v>
      </c>
      <c r="O581" s="181">
        <v>578463.35919999995</v>
      </c>
      <c r="P581" s="181">
        <v>118.36399999999999</v>
      </c>
      <c r="Q581" s="181">
        <v>37627320.874239996</v>
      </c>
      <c r="R581" s="181">
        <v>442450.72799999994</v>
      </c>
      <c r="S581" s="181">
        <v>281857.50079999998</v>
      </c>
      <c r="T581" s="181">
        <v>56.641999999999996</v>
      </c>
      <c r="U581" s="181">
        <v>1656601.0738879999</v>
      </c>
      <c r="V581" s="181">
        <v>6418007210.3082933</v>
      </c>
    </row>
    <row r="582" spans="1:22">
      <c r="A582" s="2" t="s">
        <v>1182</v>
      </c>
      <c r="B582" s="2" t="s">
        <v>1183</v>
      </c>
      <c r="C582" s="181">
        <v>86.313279999999992</v>
      </c>
      <c r="D582" s="181">
        <v>11032.236000000001</v>
      </c>
      <c r="E582" s="181">
        <v>381</v>
      </c>
      <c r="F582" s="181">
        <v>266.7</v>
      </c>
      <c r="G582" s="181">
        <v>14.350999999999997</v>
      </c>
      <c r="H582" s="181">
        <v>21.59</v>
      </c>
      <c r="I582" s="181">
        <v>0</v>
      </c>
      <c r="J582" s="181">
        <v>22.859999999999996</v>
      </c>
      <c r="K582" s="181">
        <v>0</v>
      </c>
      <c r="L582" s="181">
        <v>23.9</v>
      </c>
      <c r="M582" s="181">
        <v>155254321.74879998</v>
      </c>
      <c r="N582" s="181">
        <v>989778.66559999983</v>
      </c>
      <c r="O582" s="181">
        <v>552244.05680000002</v>
      </c>
      <c r="P582" s="181">
        <v>118.61799999999999</v>
      </c>
      <c r="Q582" s="181">
        <v>34172600.041759998</v>
      </c>
      <c r="R582" s="181">
        <v>403121.77439999999</v>
      </c>
      <c r="S582" s="181">
        <v>255638.19839999996</v>
      </c>
      <c r="T582" s="181">
        <v>55.625999999999998</v>
      </c>
      <c r="U582" s="181">
        <v>1336102.8761759999</v>
      </c>
      <c r="V582" s="181">
        <v>5504985264.0719681</v>
      </c>
    </row>
    <row r="583" spans="1:22">
      <c r="A583" s="2" t="s">
        <v>1184</v>
      </c>
      <c r="B583" s="2" t="s">
        <v>1185</v>
      </c>
      <c r="C583" s="181">
        <v>80.360639999999989</v>
      </c>
      <c r="D583" s="181">
        <v>10258.044</v>
      </c>
      <c r="E583" s="181">
        <v>378.46</v>
      </c>
      <c r="F583" s="181">
        <v>266.7</v>
      </c>
      <c r="G583" s="181">
        <v>13.843</v>
      </c>
      <c r="H583" s="181">
        <v>19.303999999999998</v>
      </c>
      <c r="I583" s="181">
        <v>0</v>
      </c>
      <c r="J583" s="181">
        <v>23.558499999999999</v>
      </c>
      <c r="K583" s="181">
        <v>0</v>
      </c>
      <c r="L583" s="181">
        <v>24.8</v>
      </c>
      <c r="M583" s="181">
        <v>145264767.53439999</v>
      </c>
      <c r="N583" s="181">
        <v>945533.59279999998</v>
      </c>
      <c r="O583" s="181">
        <v>524386.04799999995</v>
      </c>
      <c r="P583" s="181">
        <v>119.126</v>
      </c>
      <c r="Q583" s="181">
        <v>30384894.068799999</v>
      </c>
      <c r="R583" s="181">
        <v>358876.70159999997</v>
      </c>
      <c r="S583" s="181">
        <v>227780.18959999998</v>
      </c>
      <c r="T583" s="181">
        <v>54.609999999999992</v>
      </c>
      <c r="U583" s="181">
        <v>1036416.249744</v>
      </c>
      <c r="V583" s="181">
        <v>4645670491.1436605</v>
      </c>
    </row>
    <row r="584" spans="1:22">
      <c r="A584" s="2" t="s">
        <v>1186</v>
      </c>
      <c r="B584" s="2" t="s">
        <v>1187</v>
      </c>
      <c r="C584" s="181">
        <v>73.66391999999999</v>
      </c>
      <c r="D584" s="181">
        <v>9354.82</v>
      </c>
      <c r="E584" s="181">
        <v>375.92</v>
      </c>
      <c r="F584" s="181">
        <v>266.7</v>
      </c>
      <c r="G584" s="181">
        <v>13.208</v>
      </c>
      <c r="H584" s="181">
        <v>17.018000000000001</v>
      </c>
      <c r="I584" s="181">
        <v>0</v>
      </c>
      <c r="J584" s="181">
        <v>22.669499999999999</v>
      </c>
      <c r="K584" s="181">
        <v>0</v>
      </c>
      <c r="L584" s="181">
        <v>26</v>
      </c>
      <c r="M584" s="181">
        <v>134026519.04319999</v>
      </c>
      <c r="N584" s="181">
        <v>891456.28159999987</v>
      </c>
      <c r="O584" s="181">
        <v>491611.91999999993</v>
      </c>
      <c r="P584" s="181">
        <v>119.63399999999999</v>
      </c>
      <c r="Q584" s="181">
        <v>26597188.095839996</v>
      </c>
      <c r="R584" s="181">
        <v>316270.33519999997</v>
      </c>
      <c r="S584" s="181">
        <v>199922.18079999997</v>
      </c>
      <c r="T584" s="181">
        <v>53.339999999999996</v>
      </c>
      <c r="U584" s="181">
        <v>782515.08012799989</v>
      </c>
      <c r="V584" s="181">
        <v>3840062891.5233727</v>
      </c>
    </row>
    <row r="585" spans="1:22">
      <c r="A585" s="2" t="s">
        <v>1188</v>
      </c>
      <c r="B585" s="2" t="s">
        <v>1189</v>
      </c>
      <c r="C585" s="181">
        <v>66.967199999999991</v>
      </c>
      <c r="D585" s="181">
        <v>8516.1119999999992</v>
      </c>
      <c r="E585" s="181">
        <v>375.92</v>
      </c>
      <c r="F585" s="181">
        <v>264.15999999999997</v>
      </c>
      <c r="G585" s="181">
        <v>11.937999999999999</v>
      </c>
      <c r="H585" s="181">
        <v>15.493999999999998</v>
      </c>
      <c r="I585" s="181">
        <v>0</v>
      </c>
      <c r="J585" s="181">
        <v>22.605999999999995</v>
      </c>
      <c r="K585" s="181">
        <v>0</v>
      </c>
      <c r="L585" s="181">
        <v>28.7</v>
      </c>
      <c r="M585" s="181">
        <v>120707113.42399999</v>
      </c>
      <c r="N585" s="181">
        <v>802966.13599999994</v>
      </c>
      <c r="O585" s="181">
        <v>444089.43439999997</v>
      </c>
      <c r="P585" s="181">
        <v>119.126</v>
      </c>
      <c r="Q585" s="181">
        <v>23850060.686879996</v>
      </c>
      <c r="R585" s="181">
        <v>283496.2072</v>
      </c>
      <c r="S585" s="181">
        <v>180257.70399999997</v>
      </c>
      <c r="T585" s="181">
        <v>53.085999999999991</v>
      </c>
      <c r="U585" s="181">
        <v>586886.31009599986</v>
      </c>
      <c r="V585" s="181">
        <v>2819626598.6710076</v>
      </c>
    </row>
    <row r="586" spans="1:22">
      <c r="A586" s="2" t="s">
        <v>1190</v>
      </c>
      <c r="B586" s="2" t="s">
        <v>1191</v>
      </c>
      <c r="C586" s="181">
        <v>401.05912000000001</v>
      </c>
      <c r="D586" s="181">
        <v>51161.187999999995</v>
      </c>
      <c r="E586" s="181">
        <v>414.02</v>
      </c>
      <c r="F586" s="181">
        <v>388.62</v>
      </c>
      <c r="G586" s="181">
        <v>50.037999999999997</v>
      </c>
      <c r="H586" s="181">
        <v>89.915999999999997</v>
      </c>
      <c r="I586" s="181">
        <v>0</v>
      </c>
      <c r="J586" s="181">
        <v>22.796499999999995</v>
      </c>
      <c r="K586" s="181">
        <v>0</v>
      </c>
      <c r="L586" s="181">
        <v>6.06</v>
      </c>
      <c r="M586" s="181">
        <v>636834081.16799998</v>
      </c>
      <c r="N586" s="181">
        <v>3965669.4879999994</v>
      </c>
      <c r="O586" s="181">
        <v>2097544.1919999998</v>
      </c>
      <c r="P586" s="181">
        <v>111.50599999999999</v>
      </c>
      <c r="Q586" s="181">
        <v>441205311.13599998</v>
      </c>
      <c r="R586" s="181">
        <v>3572379.9519999996</v>
      </c>
      <c r="S586" s="181">
        <v>2261414.8319999999</v>
      </c>
      <c r="T586" s="181">
        <v>92.71</v>
      </c>
      <c r="U586" s="181">
        <v>102809162.12319998</v>
      </c>
      <c r="V586" s="181">
        <v>467252407779.76703</v>
      </c>
    </row>
    <row r="587" spans="1:22">
      <c r="A587" s="2" t="s">
        <v>1192</v>
      </c>
      <c r="B587" s="2" t="s">
        <v>1193</v>
      </c>
      <c r="C587" s="181">
        <v>273.82144</v>
      </c>
      <c r="D587" s="181">
        <v>34967.671999999999</v>
      </c>
      <c r="E587" s="181">
        <v>386.08</v>
      </c>
      <c r="F587" s="181">
        <v>373.37999999999994</v>
      </c>
      <c r="G587" s="181">
        <v>35.051999999999992</v>
      </c>
      <c r="H587" s="181">
        <v>62.991999999999997</v>
      </c>
      <c r="I587" s="181">
        <v>0</v>
      </c>
      <c r="J587" s="181">
        <v>22.732999999999997</v>
      </c>
      <c r="K587" s="181">
        <v>0</v>
      </c>
      <c r="L587" s="181">
        <v>8.64</v>
      </c>
      <c r="M587" s="181">
        <v>390841308.63839996</v>
      </c>
      <c r="N587" s="181">
        <v>2474446.6639999999</v>
      </c>
      <c r="O587" s="181">
        <v>1338823.1287999998</v>
      </c>
      <c r="P587" s="181">
        <v>105.664</v>
      </c>
      <c r="Q587" s="181">
        <v>272631583.76799995</v>
      </c>
      <c r="R587" s="181">
        <v>2294188.96</v>
      </c>
      <c r="S587" s="181">
        <v>1463364.8151999998</v>
      </c>
      <c r="T587" s="181">
        <v>88.391999999999996</v>
      </c>
      <c r="U587" s="181">
        <v>35171555.463199995</v>
      </c>
      <c r="V587" s="181">
        <v>142861080999.33105</v>
      </c>
    </row>
    <row r="588" spans="1:22">
      <c r="A588" s="2" t="s">
        <v>1194</v>
      </c>
      <c r="B588" s="2" t="s">
        <v>1195</v>
      </c>
      <c r="C588" s="181">
        <v>250.01087999999999</v>
      </c>
      <c r="D588" s="181">
        <v>31935.42</v>
      </c>
      <c r="E588" s="181">
        <v>381</v>
      </c>
      <c r="F588" s="181">
        <v>370.84</v>
      </c>
      <c r="G588" s="181">
        <v>32.003999999999998</v>
      </c>
      <c r="H588" s="181">
        <v>57.911999999999992</v>
      </c>
      <c r="I588" s="181">
        <v>0</v>
      </c>
      <c r="J588" s="181">
        <v>23.0505</v>
      </c>
      <c r="K588" s="181">
        <v>0</v>
      </c>
      <c r="L588" s="181">
        <v>9.4700000000000006</v>
      </c>
      <c r="M588" s="181">
        <v>349218166.07839996</v>
      </c>
      <c r="N588" s="181">
        <v>2212253.6399999997</v>
      </c>
      <c r="O588" s="181">
        <v>1202810.4975999999</v>
      </c>
      <c r="P588" s="181">
        <v>104.648</v>
      </c>
      <c r="Q588" s="181">
        <v>244327846.82719997</v>
      </c>
      <c r="R588" s="181">
        <v>2064770.0639999998</v>
      </c>
      <c r="S588" s="181">
        <v>1324074.7711999998</v>
      </c>
      <c r="T588" s="181">
        <v>87.63</v>
      </c>
      <c r="U588" s="181">
        <v>27221535.234239999</v>
      </c>
      <c r="V588" s="181">
        <v>107682882482.57849</v>
      </c>
    </row>
    <row r="589" spans="1:22">
      <c r="A589" s="2" t="s">
        <v>1196</v>
      </c>
      <c r="B589" s="2" t="s">
        <v>1197</v>
      </c>
      <c r="C589" s="181">
        <v>228.43256</v>
      </c>
      <c r="D589" s="181">
        <v>29161.232</v>
      </c>
      <c r="E589" s="181">
        <v>375.92</v>
      </c>
      <c r="F589" s="181">
        <v>365.76</v>
      </c>
      <c r="G589" s="181">
        <v>29.463999999999995</v>
      </c>
      <c r="H589" s="181">
        <v>53.085999999999991</v>
      </c>
      <c r="I589" s="181">
        <v>0</v>
      </c>
      <c r="J589" s="181">
        <v>23.113999999999997</v>
      </c>
      <c r="K589" s="181">
        <v>0</v>
      </c>
      <c r="L589" s="181">
        <v>10.3</v>
      </c>
      <c r="M589" s="181">
        <v>313422263.47679996</v>
      </c>
      <c r="N589" s="181">
        <v>1982834.7439999997</v>
      </c>
      <c r="O589" s="181">
        <v>1088101.0496</v>
      </c>
      <c r="P589" s="181">
        <v>103.63199999999999</v>
      </c>
      <c r="Q589" s="181">
        <v>219353961.29119998</v>
      </c>
      <c r="R589" s="181">
        <v>1851738.2319999998</v>
      </c>
      <c r="S589" s="181">
        <v>1194616.9656</v>
      </c>
      <c r="T589" s="181">
        <v>86.614000000000004</v>
      </c>
      <c r="U589" s="181">
        <v>21019686.992799997</v>
      </c>
      <c r="V589" s="181">
        <v>81634903428.189178</v>
      </c>
    </row>
    <row r="590" spans="1:22">
      <c r="A590" s="2" t="s">
        <v>1198</v>
      </c>
      <c r="B590" s="2" t="s">
        <v>1199</v>
      </c>
      <c r="C590" s="181">
        <v>209.08647999999999</v>
      </c>
      <c r="D590" s="181">
        <v>26709.623999999996</v>
      </c>
      <c r="E590" s="181">
        <v>370.84</v>
      </c>
      <c r="F590" s="181">
        <v>365.76</v>
      </c>
      <c r="G590" s="181">
        <v>26.923999999999999</v>
      </c>
      <c r="H590" s="181">
        <v>49.021999999999998</v>
      </c>
      <c r="I590" s="181">
        <v>0</v>
      </c>
      <c r="J590" s="181">
        <v>22.415500000000002</v>
      </c>
      <c r="K590" s="181">
        <v>0</v>
      </c>
      <c r="L590" s="181">
        <v>11.3</v>
      </c>
      <c r="M590" s="181">
        <v>281788675.13119996</v>
      </c>
      <c r="N590" s="181">
        <v>1786189.9759999998</v>
      </c>
      <c r="O590" s="181">
        <v>981585.13359999994</v>
      </c>
      <c r="P590" s="181">
        <v>102.616</v>
      </c>
      <c r="Q590" s="181">
        <v>198542390.01119998</v>
      </c>
      <c r="R590" s="181">
        <v>1687867.5919999999</v>
      </c>
      <c r="S590" s="181">
        <v>1088101.0496</v>
      </c>
      <c r="T590" s="181">
        <v>86.105999999999995</v>
      </c>
      <c r="U590" s="181">
        <v>16482764.453759998</v>
      </c>
      <c r="V590" s="181">
        <v>62300321037.302269</v>
      </c>
    </row>
    <row r="591" spans="1:22">
      <c r="A591" s="2" t="s">
        <v>1200</v>
      </c>
      <c r="B591" s="2" t="s">
        <v>1201</v>
      </c>
      <c r="C591" s="181">
        <v>191.97263999999998</v>
      </c>
      <c r="D591" s="181">
        <v>24516.079999999998</v>
      </c>
      <c r="E591" s="181">
        <v>368.29999999999995</v>
      </c>
      <c r="F591" s="181">
        <v>363.21999999999997</v>
      </c>
      <c r="G591" s="181">
        <v>24.891999999999999</v>
      </c>
      <c r="H591" s="181">
        <v>44.957999999999998</v>
      </c>
      <c r="I591" s="181">
        <v>0</v>
      </c>
      <c r="J591" s="181">
        <v>23.304500000000004</v>
      </c>
      <c r="K591" s="181">
        <v>0</v>
      </c>
      <c r="L591" s="181">
        <v>12.2</v>
      </c>
      <c r="M591" s="181">
        <v>255149863.89279997</v>
      </c>
      <c r="N591" s="181">
        <v>1620680.6295999999</v>
      </c>
      <c r="O591" s="181">
        <v>896372.40079999994</v>
      </c>
      <c r="P591" s="181">
        <v>102.10799999999999</v>
      </c>
      <c r="Q591" s="181">
        <v>178979513.00799999</v>
      </c>
      <c r="R591" s="181">
        <v>1528913.0711999999</v>
      </c>
      <c r="S591" s="181">
        <v>986501.2527999999</v>
      </c>
      <c r="T591" s="181">
        <v>85.343999999999994</v>
      </c>
      <c r="U591" s="181">
        <v>12778304.765919998</v>
      </c>
      <c r="V591" s="181">
        <v>47799384244.137085</v>
      </c>
    </row>
    <row r="592" spans="1:22">
      <c r="A592" s="2" t="s">
        <v>1202</v>
      </c>
      <c r="B592" s="2" t="s">
        <v>1203</v>
      </c>
      <c r="C592" s="181">
        <v>174.8588</v>
      </c>
      <c r="D592" s="181">
        <v>22387.052</v>
      </c>
      <c r="E592" s="181">
        <v>363.21999999999997</v>
      </c>
      <c r="F592" s="181">
        <v>360.67999999999995</v>
      </c>
      <c r="G592" s="181">
        <v>23.114000000000001</v>
      </c>
      <c r="H592" s="181">
        <v>40.893999999999998</v>
      </c>
      <c r="I592" s="181">
        <v>0</v>
      </c>
      <c r="J592" s="181">
        <v>22.606000000000002</v>
      </c>
      <c r="K592" s="181">
        <v>0</v>
      </c>
      <c r="L592" s="181">
        <v>13.1</v>
      </c>
      <c r="M592" s="181">
        <v>231424672.63359997</v>
      </c>
      <c r="N592" s="181">
        <v>1473197.0536</v>
      </c>
      <c r="O592" s="181">
        <v>819353.2</v>
      </c>
      <c r="P592" s="181">
        <v>101.6</v>
      </c>
      <c r="Q592" s="181">
        <v>159832867.43039998</v>
      </c>
      <c r="R592" s="181">
        <v>1373235.9631999999</v>
      </c>
      <c r="S592" s="181">
        <v>888178.86879999994</v>
      </c>
      <c r="T592" s="181">
        <v>84.581999999999994</v>
      </c>
      <c r="U592" s="181">
        <v>9739815.3590399977</v>
      </c>
      <c r="V592" s="181">
        <v>36252341982.912956</v>
      </c>
    </row>
    <row r="593" spans="1:22">
      <c r="A593" s="2" t="s">
        <v>1204</v>
      </c>
      <c r="B593" s="2" t="s">
        <v>1205</v>
      </c>
      <c r="C593" s="181">
        <v>161.46536</v>
      </c>
      <c r="D593" s="181">
        <v>20645.12</v>
      </c>
      <c r="E593" s="181">
        <v>360.67999999999995</v>
      </c>
      <c r="F593" s="181">
        <v>358.14</v>
      </c>
      <c r="G593" s="181">
        <v>21.081999999999997</v>
      </c>
      <c r="H593" s="181">
        <v>38.099999999999994</v>
      </c>
      <c r="I593" s="181">
        <v>0</v>
      </c>
      <c r="J593" s="181">
        <v>22.225000000000001</v>
      </c>
      <c r="K593" s="181">
        <v>0</v>
      </c>
      <c r="L593" s="181">
        <v>14.4</v>
      </c>
      <c r="M593" s="181">
        <v>208948175.65119997</v>
      </c>
      <c r="N593" s="181">
        <v>1328990.8903999997</v>
      </c>
      <c r="O593" s="181">
        <v>740695.29279999994</v>
      </c>
      <c r="P593" s="181">
        <v>100.58399999999999</v>
      </c>
      <c r="Q593" s="181">
        <v>146513461.81119999</v>
      </c>
      <c r="R593" s="181">
        <v>1261803.9279999998</v>
      </c>
      <c r="S593" s="181">
        <v>817714.49359999993</v>
      </c>
      <c r="T593" s="181">
        <v>84.327999999999989</v>
      </c>
      <c r="U593" s="181">
        <v>7825150.8012799993</v>
      </c>
      <c r="V593" s="181">
        <v>28196265986.710079</v>
      </c>
    </row>
    <row r="594" spans="1:22">
      <c r="A594" s="2" t="s">
        <v>1206</v>
      </c>
      <c r="B594" s="2" t="s">
        <v>1207</v>
      </c>
      <c r="C594" s="181">
        <v>144.35151999999999</v>
      </c>
      <c r="D594" s="181">
        <v>18451.576000000001</v>
      </c>
      <c r="E594" s="181">
        <v>358.14</v>
      </c>
      <c r="F594" s="181">
        <v>355.59999999999997</v>
      </c>
      <c r="G594" s="181">
        <v>19.049999999999997</v>
      </c>
      <c r="H594" s="181">
        <v>34.036000000000001</v>
      </c>
      <c r="I594" s="181">
        <v>0</v>
      </c>
      <c r="J594" s="181">
        <v>23.113999999999997</v>
      </c>
      <c r="K594" s="181">
        <v>0</v>
      </c>
      <c r="L594" s="181">
        <v>15.9</v>
      </c>
      <c r="M594" s="181">
        <v>184806752.96639997</v>
      </c>
      <c r="N594" s="181">
        <v>1176591.1952</v>
      </c>
      <c r="O594" s="181">
        <v>660398.6791999999</v>
      </c>
      <c r="P594" s="181">
        <v>100.07599999999999</v>
      </c>
      <c r="Q594" s="181">
        <v>128615510.51039998</v>
      </c>
      <c r="R594" s="181">
        <v>1111042.9391999999</v>
      </c>
      <c r="S594" s="181">
        <v>722669.5223999999</v>
      </c>
      <c r="T594" s="181">
        <v>83.566000000000003</v>
      </c>
      <c r="U594" s="181">
        <v>5619124.2455999991</v>
      </c>
      <c r="V594" s="181">
        <v>19952214883.929131</v>
      </c>
    </row>
    <row r="595" spans="1:22">
      <c r="A595" s="2" t="s">
        <v>1208</v>
      </c>
      <c r="B595" s="2" t="s">
        <v>1209</v>
      </c>
      <c r="C595" s="181">
        <v>132.44623999999999</v>
      </c>
      <c r="D595" s="181">
        <v>16903.191999999999</v>
      </c>
      <c r="E595" s="181">
        <v>353.06</v>
      </c>
      <c r="F595" s="181">
        <v>358.14</v>
      </c>
      <c r="G595" s="181">
        <v>18.414999999999999</v>
      </c>
      <c r="H595" s="181">
        <v>30.225999999999996</v>
      </c>
      <c r="I595" s="181">
        <v>0</v>
      </c>
      <c r="J595" s="181">
        <v>22.1615</v>
      </c>
      <c r="K595" s="181">
        <v>0</v>
      </c>
      <c r="L595" s="181">
        <v>16.5</v>
      </c>
      <c r="M595" s="181">
        <v>172319810.19839999</v>
      </c>
      <c r="N595" s="181">
        <v>1109404.2327999999</v>
      </c>
      <c r="O595" s="181">
        <v>625985.84479999996</v>
      </c>
      <c r="P595" s="181">
        <v>100.83799999999999</v>
      </c>
      <c r="Q595" s="181">
        <v>115712336.31679998</v>
      </c>
      <c r="R595" s="181">
        <v>996333.49119999981</v>
      </c>
      <c r="S595" s="181">
        <v>645650.32159999991</v>
      </c>
      <c r="T595" s="181">
        <v>82.55</v>
      </c>
      <c r="U595" s="181">
        <v>4162314.2559999996</v>
      </c>
      <c r="V595" s="181">
        <v>15494519499.363539</v>
      </c>
    </row>
    <row r="596" spans="1:22">
      <c r="A596" s="2" t="s">
        <v>1210</v>
      </c>
      <c r="B596" s="2" t="s">
        <v>1211</v>
      </c>
      <c r="C596" s="181">
        <v>119.79687999999999</v>
      </c>
      <c r="D596" s="181">
        <v>15354.807999999999</v>
      </c>
      <c r="E596" s="181">
        <v>350.52</v>
      </c>
      <c r="F596" s="181">
        <v>355.59999999999997</v>
      </c>
      <c r="G596" s="181">
        <v>16.763999999999999</v>
      </c>
      <c r="H596" s="181">
        <v>27.431999999999999</v>
      </c>
      <c r="I596" s="181">
        <v>0</v>
      </c>
      <c r="J596" s="181">
        <v>23.367999999999999</v>
      </c>
      <c r="K596" s="181">
        <v>0</v>
      </c>
      <c r="L596" s="181">
        <v>18.100000000000001</v>
      </c>
      <c r="M596" s="181">
        <v>154838090.32319999</v>
      </c>
      <c r="N596" s="181">
        <v>996333.49119999981</v>
      </c>
      <c r="O596" s="181">
        <v>563715.00159999996</v>
      </c>
      <c r="P596" s="181">
        <v>100.33</v>
      </c>
      <c r="Q596" s="181">
        <v>103225393.54879999</v>
      </c>
      <c r="R596" s="181">
        <v>893094.9879999999</v>
      </c>
      <c r="S596" s="181">
        <v>580102.06559999997</v>
      </c>
      <c r="T596" s="181">
        <v>82.042000000000002</v>
      </c>
      <c r="U596" s="181">
        <v>3134222.6347679999</v>
      </c>
      <c r="V596" s="181">
        <v>11466481501.2621</v>
      </c>
    </row>
    <row r="597" spans="1:22">
      <c r="A597" s="2" t="s">
        <v>1212</v>
      </c>
      <c r="B597" s="2" t="s">
        <v>1213</v>
      </c>
      <c r="C597" s="181">
        <v>108.63567999999999</v>
      </c>
      <c r="D597" s="181">
        <v>13935.456</v>
      </c>
      <c r="E597" s="181">
        <v>347.97999999999996</v>
      </c>
      <c r="F597" s="181">
        <v>355.59999999999997</v>
      </c>
      <c r="G597" s="181">
        <v>15.366999999999999</v>
      </c>
      <c r="H597" s="181">
        <v>24.764999999999997</v>
      </c>
      <c r="I597" s="181">
        <v>0</v>
      </c>
      <c r="J597" s="181">
        <v>22.860000000000003</v>
      </c>
      <c r="K597" s="181">
        <v>0</v>
      </c>
      <c r="L597" s="181">
        <v>19.7</v>
      </c>
      <c r="M597" s="181">
        <v>139853759.0016</v>
      </c>
      <c r="N597" s="181">
        <v>901288.5199999999</v>
      </c>
      <c r="O597" s="181">
        <v>511276.39679999993</v>
      </c>
      <c r="P597" s="181">
        <v>100.33</v>
      </c>
      <c r="Q597" s="181">
        <v>92403376.483199984</v>
      </c>
      <c r="R597" s="181">
        <v>799688.72319999989</v>
      </c>
      <c r="S597" s="181">
        <v>519469.92879999994</v>
      </c>
      <c r="T597" s="181">
        <v>81.28</v>
      </c>
      <c r="U597" s="181">
        <v>2339220.6118719997</v>
      </c>
      <c r="V597" s="181">
        <v>8512586969.3210421</v>
      </c>
    </row>
    <row r="598" spans="1:22">
      <c r="A598" s="2" t="s">
        <v>1214</v>
      </c>
      <c r="B598" s="2" t="s">
        <v>1215</v>
      </c>
      <c r="C598" s="181">
        <v>95.986319999999992</v>
      </c>
      <c r="D598" s="181">
        <v>12193.523999999998</v>
      </c>
      <c r="E598" s="181">
        <v>350.52</v>
      </c>
      <c r="F598" s="181">
        <v>254</v>
      </c>
      <c r="G598" s="181">
        <v>15.493999999999998</v>
      </c>
      <c r="H598" s="181">
        <v>27.94</v>
      </c>
      <c r="I598" s="181">
        <v>0</v>
      </c>
      <c r="J598" s="181">
        <v>22.859999999999996</v>
      </c>
      <c r="K598" s="181">
        <v>0</v>
      </c>
      <c r="L598" s="181">
        <v>19.899999999999999</v>
      </c>
      <c r="M598" s="181">
        <v>134442750.46879998</v>
      </c>
      <c r="N598" s="181">
        <v>902927.22639999993</v>
      </c>
      <c r="O598" s="181">
        <v>507998.98399999994</v>
      </c>
      <c r="P598" s="181">
        <v>104.90199999999999</v>
      </c>
      <c r="Q598" s="181">
        <v>38376537.44032</v>
      </c>
      <c r="R598" s="181">
        <v>471947.44319999998</v>
      </c>
      <c r="S598" s="181">
        <v>301521.97759999993</v>
      </c>
      <c r="T598" s="181">
        <v>56.133999999999993</v>
      </c>
      <c r="U598" s="181">
        <v>2310084.4120799997</v>
      </c>
      <c r="V598" s="181">
        <v>6444860796.9623032</v>
      </c>
    </row>
    <row r="599" spans="1:22">
      <c r="A599" s="2" t="s">
        <v>1216</v>
      </c>
      <c r="B599" s="2" t="s">
        <v>1217</v>
      </c>
      <c r="C599" s="181">
        <v>84.825119999999998</v>
      </c>
      <c r="D599" s="181">
        <v>10838.688</v>
      </c>
      <c r="E599" s="181">
        <v>345.44</v>
      </c>
      <c r="F599" s="181">
        <v>256.53999999999996</v>
      </c>
      <c r="G599" s="181">
        <v>14.477999999999998</v>
      </c>
      <c r="H599" s="181">
        <v>23.622</v>
      </c>
      <c r="I599" s="181">
        <v>0</v>
      </c>
      <c r="J599" s="181">
        <v>22.415499999999994</v>
      </c>
      <c r="K599" s="181">
        <v>0</v>
      </c>
      <c r="L599" s="181">
        <v>21.3</v>
      </c>
      <c r="M599" s="181">
        <v>120290881.99839999</v>
      </c>
      <c r="N599" s="181">
        <v>825908.02559999994</v>
      </c>
      <c r="O599" s="181">
        <v>463753.91119999997</v>
      </c>
      <c r="P599" s="181">
        <v>105.41</v>
      </c>
      <c r="Q599" s="181">
        <v>33007152.050079994</v>
      </c>
      <c r="R599" s="181">
        <v>403121.77439999999</v>
      </c>
      <c r="S599" s="181">
        <v>258915.61119999998</v>
      </c>
      <c r="T599" s="181">
        <v>55.372</v>
      </c>
      <c r="U599" s="181">
        <v>1519244.7034399998</v>
      </c>
      <c r="V599" s="181">
        <v>4699377664.4516802</v>
      </c>
    </row>
    <row r="600" spans="1:22">
      <c r="A600" s="2" t="s">
        <v>1218</v>
      </c>
      <c r="B600" s="2" t="s">
        <v>1219</v>
      </c>
      <c r="C600" s="181">
        <v>75.896159999999995</v>
      </c>
      <c r="D600" s="181">
        <v>9677.4</v>
      </c>
      <c r="E600" s="181">
        <v>342.9</v>
      </c>
      <c r="F600" s="181">
        <v>254</v>
      </c>
      <c r="G600" s="181">
        <v>13.081</v>
      </c>
      <c r="H600" s="181">
        <v>21.081999999999997</v>
      </c>
      <c r="I600" s="181">
        <v>0</v>
      </c>
      <c r="J600" s="181">
        <v>23.367999999999999</v>
      </c>
      <c r="K600" s="181">
        <v>0</v>
      </c>
      <c r="L600" s="181">
        <v>23.5</v>
      </c>
      <c r="M600" s="181">
        <v>107387707.80479999</v>
      </c>
      <c r="N600" s="181">
        <v>737417.87999999989</v>
      </c>
      <c r="O600" s="181">
        <v>414592.71919999999</v>
      </c>
      <c r="P600" s="181">
        <v>105.15599999999999</v>
      </c>
      <c r="Q600" s="181">
        <v>28969707.221759994</v>
      </c>
      <c r="R600" s="181">
        <v>355599.28879999998</v>
      </c>
      <c r="S600" s="181">
        <v>227780.18959999998</v>
      </c>
      <c r="T600" s="181">
        <v>54.609999999999992</v>
      </c>
      <c r="U600" s="181">
        <v>1094688.6493279999</v>
      </c>
      <c r="V600" s="181">
        <v>3383551918.4052095</v>
      </c>
    </row>
    <row r="601" spans="1:22">
      <c r="A601" s="2" t="s">
        <v>1220</v>
      </c>
      <c r="B601" s="2" t="s">
        <v>1221</v>
      </c>
      <c r="C601" s="181">
        <v>69.943519999999992</v>
      </c>
      <c r="D601" s="181">
        <v>8903.2080000000005</v>
      </c>
      <c r="E601" s="181">
        <v>342.9</v>
      </c>
      <c r="F601" s="181">
        <v>253.74599999999998</v>
      </c>
      <c r="G601" s="181">
        <v>12.446</v>
      </c>
      <c r="H601" s="181">
        <v>18.922999999999998</v>
      </c>
      <c r="I601" s="181">
        <v>0</v>
      </c>
      <c r="J601" s="181">
        <v>22.352</v>
      </c>
      <c r="K601" s="181">
        <v>0</v>
      </c>
      <c r="L601" s="181">
        <v>24.7</v>
      </c>
      <c r="M601" s="181">
        <v>99479310.718399987</v>
      </c>
      <c r="N601" s="181">
        <v>694811.51359999995</v>
      </c>
      <c r="O601" s="181">
        <v>390012.12319999997</v>
      </c>
      <c r="P601" s="181">
        <v>105.664</v>
      </c>
      <c r="Q601" s="181">
        <v>25806348.387199998</v>
      </c>
      <c r="R601" s="181">
        <v>317909.04159999994</v>
      </c>
      <c r="S601" s="181">
        <v>203199.59359999999</v>
      </c>
      <c r="T601" s="181">
        <v>53.847999999999999</v>
      </c>
      <c r="U601" s="181">
        <v>836625.16545599978</v>
      </c>
      <c r="V601" s="181">
        <v>2739065838.7089787</v>
      </c>
    </row>
    <row r="602" spans="1:22">
      <c r="A602" s="2" t="s">
        <v>1222</v>
      </c>
      <c r="B602" s="2" t="s">
        <v>1223</v>
      </c>
      <c r="C602" s="181">
        <v>62.502719999999997</v>
      </c>
      <c r="D602" s="181">
        <v>7999.9839999999995</v>
      </c>
      <c r="E602" s="181">
        <v>340.36</v>
      </c>
      <c r="F602" s="181">
        <v>252.98400000000001</v>
      </c>
      <c r="G602" s="181">
        <v>11.683999999999999</v>
      </c>
      <c r="H602" s="181">
        <v>16.256</v>
      </c>
      <c r="I602" s="181">
        <v>0</v>
      </c>
      <c r="J602" s="181">
        <v>23.4315</v>
      </c>
      <c r="K602" s="181">
        <v>0</v>
      </c>
      <c r="L602" s="181">
        <v>26.3</v>
      </c>
      <c r="M602" s="181">
        <v>89905987.929599985</v>
      </c>
      <c r="N602" s="181">
        <v>642372.90879999998</v>
      </c>
      <c r="O602" s="181">
        <v>358876.70159999997</v>
      </c>
      <c r="P602" s="181">
        <v>106.17199999999998</v>
      </c>
      <c r="Q602" s="181">
        <v>21977019.271679997</v>
      </c>
      <c r="R602" s="181">
        <v>272025.26240000001</v>
      </c>
      <c r="S602" s="181">
        <v>173702.87839999999</v>
      </c>
      <c r="T602" s="181">
        <v>52.577999999999996</v>
      </c>
      <c r="U602" s="181">
        <v>582723.99583999987</v>
      </c>
      <c r="V602" s="181">
        <v>2091894400.3473477</v>
      </c>
    </row>
    <row r="603" spans="1:22">
      <c r="A603" s="2" t="s">
        <v>1224</v>
      </c>
      <c r="B603" s="2" t="s">
        <v>1225</v>
      </c>
      <c r="C603" s="181">
        <v>275.30959999999999</v>
      </c>
      <c r="D603" s="181">
        <v>35096.703999999998</v>
      </c>
      <c r="E603" s="181">
        <v>355.59999999999997</v>
      </c>
      <c r="F603" s="181">
        <v>347.97999999999996</v>
      </c>
      <c r="G603" s="181">
        <v>38.607999999999997</v>
      </c>
      <c r="H603" s="181">
        <v>69.088000000000008</v>
      </c>
      <c r="I603" s="181">
        <v>0</v>
      </c>
      <c r="J603" s="181">
        <v>22.986999999999981</v>
      </c>
      <c r="K603" s="181">
        <v>0</v>
      </c>
      <c r="L603" s="181">
        <v>7.09</v>
      </c>
      <c r="M603" s="181">
        <v>324244280.54239994</v>
      </c>
      <c r="N603" s="181">
        <v>2294188.96</v>
      </c>
      <c r="O603" s="181">
        <v>1224113.6808</v>
      </c>
      <c r="P603" s="181">
        <v>96.011999999999986</v>
      </c>
      <c r="Q603" s="181">
        <v>241830458.27359998</v>
      </c>
      <c r="R603" s="181">
        <v>2179479.5119999996</v>
      </c>
      <c r="S603" s="181">
        <v>1394539.1463999997</v>
      </c>
      <c r="T603" s="181">
        <v>83.057999999999993</v>
      </c>
      <c r="U603" s="181">
        <v>41623142.559999995</v>
      </c>
      <c r="V603" s="181">
        <v>148500334196.67307</v>
      </c>
    </row>
    <row r="604" spans="1:22">
      <c r="A604" s="2" t="s">
        <v>1226</v>
      </c>
      <c r="B604" s="2" t="s">
        <v>1227</v>
      </c>
      <c r="C604" s="181">
        <v>249.26679999999999</v>
      </c>
      <c r="D604" s="181">
        <v>31741.871999999999</v>
      </c>
      <c r="E604" s="181">
        <v>350.52</v>
      </c>
      <c r="F604" s="181">
        <v>342.9</v>
      </c>
      <c r="G604" s="181">
        <v>35.051999999999992</v>
      </c>
      <c r="H604" s="181">
        <v>62.991999999999997</v>
      </c>
      <c r="I604" s="181">
        <v>0</v>
      </c>
      <c r="J604" s="181">
        <v>22.732999999999997</v>
      </c>
      <c r="K604" s="181">
        <v>0</v>
      </c>
      <c r="L604" s="181">
        <v>7.81</v>
      </c>
      <c r="M604" s="181">
        <v>285534757.96159995</v>
      </c>
      <c r="N604" s="181">
        <v>2015608.8719999997</v>
      </c>
      <c r="O604" s="181">
        <v>1086462.3431999998</v>
      </c>
      <c r="P604" s="181">
        <v>94.74199999999999</v>
      </c>
      <c r="Q604" s="181">
        <v>213526721.33279997</v>
      </c>
      <c r="R604" s="181">
        <v>1950060.6159999999</v>
      </c>
      <c r="S604" s="181">
        <v>1243778.1576</v>
      </c>
      <c r="T604" s="181">
        <v>82.042000000000002</v>
      </c>
      <c r="U604" s="181">
        <v>31467095.775359996</v>
      </c>
      <c r="V604" s="181">
        <v>108757025948.73888</v>
      </c>
    </row>
    <row r="605" spans="1:22">
      <c r="A605" s="2" t="s">
        <v>1228</v>
      </c>
      <c r="B605" s="2" t="s">
        <v>1229</v>
      </c>
      <c r="C605" s="181">
        <v>227.68848</v>
      </c>
      <c r="D605" s="181">
        <v>28967.683999999997</v>
      </c>
      <c r="E605" s="181">
        <v>345.44</v>
      </c>
      <c r="F605" s="181">
        <v>340.36</v>
      </c>
      <c r="G605" s="181">
        <v>32.003999999999998</v>
      </c>
      <c r="H605" s="181">
        <v>57.911999999999992</v>
      </c>
      <c r="I605" s="181">
        <v>0</v>
      </c>
      <c r="J605" s="181">
        <v>23.0505</v>
      </c>
      <c r="K605" s="181">
        <v>0</v>
      </c>
      <c r="L605" s="181">
        <v>8.56</v>
      </c>
      <c r="M605" s="181">
        <v>254317401.04159999</v>
      </c>
      <c r="N605" s="181">
        <v>1802577.0399999998</v>
      </c>
      <c r="O605" s="181">
        <v>973391.60159999994</v>
      </c>
      <c r="P605" s="181">
        <v>93.725999999999999</v>
      </c>
      <c r="Q605" s="181">
        <v>191466455.77599999</v>
      </c>
      <c r="R605" s="181">
        <v>1753415.8479999998</v>
      </c>
      <c r="S605" s="181">
        <v>1124152.5903999999</v>
      </c>
      <c r="T605" s="181">
        <v>81.28</v>
      </c>
      <c r="U605" s="181">
        <v>24307915.255039997</v>
      </c>
      <c r="V605" s="181">
        <v>81903439294.729279</v>
      </c>
    </row>
    <row r="606" spans="1:22">
      <c r="A606" s="2" t="s">
        <v>1230</v>
      </c>
      <c r="B606" s="2" t="s">
        <v>1231</v>
      </c>
      <c r="C606" s="181">
        <v>207.59832</v>
      </c>
      <c r="D606" s="181">
        <v>26451.559999999998</v>
      </c>
      <c r="E606" s="181">
        <v>340.36</v>
      </c>
      <c r="F606" s="181">
        <v>337.82</v>
      </c>
      <c r="G606" s="181">
        <v>29.463999999999995</v>
      </c>
      <c r="H606" s="181">
        <v>53.085999999999991</v>
      </c>
      <c r="I606" s="181">
        <v>0</v>
      </c>
      <c r="J606" s="181">
        <v>23.113999999999997</v>
      </c>
      <c r="K606" s="181">
        <v>0</v>
      </c>
      <c r="L606" s="181">
        <v>9.2899999999999991</v>
      </c>
      <c r="M606" s="181">
        <v>227262358.37759998</v>
      </c>
      <c r="N606" s="181">
        <v>1619041.9231999998</v>
      </c>
      <c r="O606" s="181">
        <v>878346.63039999991</v>
      </c>
      <c r="P606" s="181">
        <v>92.71</v>
      </c>
      <c r="Q606" s="181">
        <v>171487347.34719998</v>
      </c>
      <c r="R606" s="181">
        <v>1578074.2631999997</v>
      </c>
      <c r="S606" s="181">
        <v>1014359.2615999999</v>
      </c>
      <c r="T606" s="181">
        <v>80.518000000000001</v>
      </c>
      <c r="U606" s="181">
        <v>18772037.29456</v>
      </c>
      <c r="V606" s="181">
        <v>61763249304.222076</v>
      </c>
    </row>
    <row r="607" spans="1:22">
      <c r="A607" s="2" t="s">
        <v>1232</v>
      </c>
      <c r="B607" s="2" t="s">
        <v>1233</v>
      </c>
      <c r="C607" s="181">
        <v>186.01999999999998</v>
      </c>
      <c r="D607" s="181">
        <v>23741.887999999995</v>
      </c>
      <c r="E607" s="181">
        <v>335.28</v>
      </c>
      <c r="F607" s="181">
        <v>335.28</v>
      </c>
      <c r="G607" s="181">
        <v>26.416</v>
      </c>
      <c r="H607" s="181">
        <v>48.005999999999993</v>
      </c>
      <c r="I607" s="181">
        <v>0</v>
      </c>
      <c r="J607" s="181">
        <v>23.431500000000007</v>
      </c>
      <c r="K607" s="181">
        <v>0</v>
      </c>
      <c r="L607" s="181">
        <v>10.4</v>
      </c>
      <c r="M607" s="181">
        <v>198958621.43679997</v>
      </c>
      <c r="N607" s="181">
        <v>1417481.0359999998</v>
      </c>
      <c r="O607" s="181">
        <v>773469.42079999996</v>
      </c>
      <c r="P607" s="181">
        <v>91.693999999999988</v>
      </c>
      <c r="Q607" s="181">
        <v>150675776.06719998</v>
      </c>
      <c r="R607" s="181">
        <v>1396177.8528</v>
      </c>
      <c r="S607" s="181">
        <v>899649.81359999988</v>
      </c>
      <c r="T607" s="181">
        <v>79.756</v>
      </c>
      <c r="U607" s="181">
        <v>13818883.329919999</v>
      </c>
      <c r="V607" s="181">
        <v>44308417979.115837</v>
      </c>
    </row>
    <row r="608" spans="1:22">
      <c r="A608" s="2" t="s">
        <v>1234</v>
      </c>
      <c r="B608" s="2" t="s">
        <v>1235</v>
      </c>
      <c r="C608" s="181">
        <v>170.39431999999999</v>
      </c>
      <c r="D608" s="181">
        <v>21677.376</v>
      </c>
      <c r="E608" s="181">
        <v>330.2</v>
      </c>
      <c r="F608" s="181">
        <v>332.73999999999995</v>
      </c>
      <c r="G608" s="181">
        <v>24.383999999999997</v>
      </c>
      <c r="H608" s="181">
        <v>43.942</v>
      </c>
      <c r="I608" s="181">
        <v>0</v>
      </c>
      <c r="J608" s="181">
        <v>22.732999999999997</v>
      </c>
      <c r="K608" s="181">
        <v>0</v>
      </c>
      <c r="L608" s="181">
        <v>11.2</v>
      </c>
      <c r="M608" s="181">
        <v>179395744.43359998</v>
      </c>
      <c r="N608" s="181">
        <v>1279829.6983999999</v>
      </c>
      <c r="O608" s="181">
        <v>703005.04559999995</v>
      </c>
      <c r="P608" s="181">
        <v>90.932000000000002</v>
      </c>
      <c r="Q608" s="181">
        <v>135691444.74559999</v>
      </c>
      <c r="R608" s="181">
        <v>1261803.9279999998</v>
      </c>
      <c r="S608" s="181">
        <v>814437.0808</v>
      </c>
      <c r="T608" s="181">
        <v>78.993999999999986</v>
      </c>
      <c r="U608" s="181">
        <v>10613901.352799999</v>
      </c>
      <c r="V608" s="181">
        <v>33566983317.511997</v>
      </c>
    </row>
    <row r="609" spans="1:22">
      <c r="A609" s="2" t="s">
        <v>1236</v>
      </c>
      <c r="B609" s="2" t="s">
        <v>1237</v>
      </c>
      <c r="C609" s="181">
        <v>154.02455999999998</v>
      </c>
      <c r="D609" s="181">
        <v>19612.863999999998</v>
      </c>
      <c r="E609" s="181">
        <v>327.65999999999997</v>
      </c>
      <c r="F609" s="181">
        <v>330.2</v>
      </c>
      <c r="G609" s="181">
        <v>22.097999999999999</v>
      </c>
      <c r="H609" s="181">
        <v>39.878</v>
      </c>
      <c r="I609" s="181">
        <v>0</v>
      </c>
      <c r="J609" s="181">
        <v>23.622</v>
      </c>
      <c r="K609" s="181">
        <v>0</v>
      </c>
      <c r="L609" s="181">
        <v>12.4</v>
      </c>
      <c r="M609" s="181">
        <v>159000404.57919997</v>
      </c>
      <c r="N609" s="181">
        <v>1135623.5351999998</v>
      </c>
      <c r="O609" s="181">
        <v>627624.55119999987</v>
      </c>
      <c r="P609" s="181">
        <v>90.169999999999987</v>
      </c>
      <c r="Q609" s="181">
        <v>120290881.99839999</v>
      </c>
      <c r="R609" s="181">
        <v>1124152.5903999999</v>
      </c>
      <c r="S609" s="181">
        <v>727585.64159999986</v>
      </c>
      <c r="T609" s="181">
        <v>78.231999999999999</v>
      </c>
      <c r="U609" s="181">
        <v>7950020.22896</v>
      </c>
      <c r="V609" s="181">
        <v>24517324615.110764</v>
      </c>
    </row>
    <row r="610" spans="1:22">
      <c r="A610" s="2" t="s">
        <v>1238</v>
      </c>
      <c r="B610" s="2" t="s">
        <v>1239</v>
      </c>
      <c r="C610" s="181">
        <v>142.86336</v>
      </c>
      <c r="D610" s="181">
        <v>18128.995999999999</v>
      </c>
      <c r="E610" s="181">
        <v>322.58</v>
      </c>
      <c r="F610" s="181">
        <v>330.2</v>
      </c>
      <c r="G610" s="181">
        <v>20.574000000000002</v>
      </c>
      <c r="H610" s="181">
        <v>37.083999999999996</v>
      </c>
      <c r="I610" s="181">
        <v>0</v>
      </c>
      <c r="J610" s="181">
        <v>23.241</v>
      </c>
      <c r="K610" s="181">
        <v>0</v>
      </c>
      <c r="L610" s="181">
        <v>13.3</v>
      </c>
      <c r="M610" s="181">
        <v>145680998.95999998</v>
      </c>
      <c r="N610" s="181">
        <v>1040578.5639999999</v>
      </c>
      <c r="O610" s="181">
        <v>576824.65280000004</v>
      </c>
      <c r="P610" s="181">
        <v>89.661999999999992</v>
      </c>
      <c r="Q610" s="181">
        <v>110301327.78399999</v>
      </c>
      <c r="R610" s="181">
        <v>1034023.7383999999</v>
      </c>
      <c r="S610" s="181">
        <v>670230.91759999993</v>
      </c>
      <c r="T610" s="181">
        <v>77.977999999999994</v>
      </c>
      <c r="U610" s="181">
        <v>6368340.8116799993</v>
      </c>
      <c r="V610" s="181">
        <v>19468850324.15696</v>
      </c>
    </row>
    <row r="611" spans="1:22">
      <c r="A611" s="2" t="s">
        <v>1240</v>
      </c>
      <c r="B611" s="2" t="s">
        <v>1241</v>
      </c>
      <c r="C611" s="181">
        <v>130.95808</v>
      </c>
      <c r="D611" s="181">
        <v>16645.128000000001</v>
      </c>
      <c r="E611" s="181">
        <v>320.03999999999996</v>
      </c>
      <c r="F611" s="181">
        <v>327.65999999999997</v>
      </c>
      <c r="G611" s="181">
        <v>19.049999999999997</v>
      </c>
      <c r="H611" s="181">
        <v>34.036000000000001</v>
      </c>
      <c r="I611" s="181">
        <v>0</v>
      </c>
      <c r="J611" s="181">
        <v>23.113999999999997</v>
      </c>
      <c r="K611" s="181">
        <v>0</v>
      </c>
      <c r="L611" s="181">
        <v>14.4</v>
      </c>
      <c r="M611" s="181">
        <v>132777824.76639998</v>
      </c>
      <c r="N611" s="181">
        <v>947172.29919999989</v>
      </c>
      <c r="O611" s="181">
        <v>527663.4608</v>
      </c>
      <c r="P611" s="181">
        <v>89.153999999999996</v>
      </c>
      <c r="Q611" s="181">
        <v>99895542.143999994</v>
      </c>
      <c r="R611" s="181">
        <v>938978.76719999989</v>
      </c>
      <c r="S611" s="181">
        <v>609598.78079999995</v>
      </c>
      <c r="T611" s="181">
        <v>77.215999999999994</v>
      </c>
      <c r="U611" s="181">
        <v>4953153.9646399999</v>
      </c>
      <c r="V611" s="181">
        <v>14984301352.937355</v>
      </c>
    </row>
    <row r="612" spans="1:22">
      <c r="A612" s="2" t="s">
        <v>1242</v>
      </c>
      <c r="B612" s="2" t="s">
        <v>1243</v>
      </c>
      <c r="C612" s="181">
        <v>120.54096</v>
      </c>
      <c r="D612" s="181">
        <v>15419.323999999999</v>
      </c>
      <c r="E612" s="181">
        <v>317.5</v>
      </c>
      <c r="F612" s="181">
        <v>330.2</v>
      </c>
      <c r="G612" s="181">
        <v>17.906999999999996</v>
      </c>
      <c r="H612" s="181">
        <v>30.987999999999996</v>
      </c>
      <c r="I612" s="181">
        <v>0</v>
      </c>
      <c r="J612" s="181">
        <v>22.986999999999998</v>
      </c>
      <c r="K612" s="181">
        <v>0</v>
      </c>
      <c r="L612" s="181">
        <v>15.3</v>
      </c>
      <c r="M612" s="181">
        <v>121955807.70079999</v>
      </c>
      <c r="N612" s="181">
        <v>873430.51119999983</v>
      </c>
      <c r="O612" s="181">
        <v>489973.21359999996</v>
      </c>
      <c r="P612" s="181">
        <v>88.899999999999991</v>
      </c>
      <c r="Q612" s="181">
        <v>91987145.057599992</v>
      </c>
      <c r="R612" s="181">
        <v>861959.56639999989</v>
      </c>
      <c r="S612" s="181">
        <v>560437.58880000003</v>
      </c>
      <c r="T612" s="181">
        <v>77.469999999999985</v>
      </c>
      <c r="U612" s="181">
        <v>3837653.7440319997</v>
      </c>
      <c r="V612" s="181">
        <v>11761870954.456203</v>
      </c>
    </row>
    <row r="613" spans="1:22">
      <c r="A613" s="2" t="s">
        <v>1244</v>
      </c>
      <c r="B613" s="2" t="s">
        <v>1245</v>
      </c>
      <c r="C613" s="181">
        <v>108.63567999999999</v>
      </c>
      <c r="D613" s="181">
        <v>13870.939999999999</v>
      </c>
      <c r="E613" s="181">
        <v>314.95999999999998</v>
      </c>
      <c r="F613" s="181">
        <v>327.65999999999997</v>
      </c>
      <c r="G613" s="181">
        <v>16.509999999999998</v>
      </c>
      <c r="H613" s="181">
        <v>27.686</v>
      </c>
      <c r="I613" s="181">
        <v>0</v>
      </c>
      <c r="J613" s="181">
        <v>23.113999999999997</v>
      </c>
      <c r="K613" s="181">
        <v>0</v>
      </c>
      <c r="L613" s="181">
        <v>16.600000000000001</v>
      </c>
      <c r="M613" s="181">
        <v>109885096.35839999</v>
      </c>
      <c r="N613" s="181">
        <v>789856.48479999998</v>
      </c>
      <c r="O613" s="181">
        <v>445728.14079999994</v>
      </c>
      <c r="P613" s="181">
        <v>88.899999999999991</v>
      </c>
      <c r="Q613" s="181">
        <v>81165127.991999999</v>
      </c>
      <c r="R613" s="181">
        <v>763637.18239999993</v>
      </c>
      <c r="S613" s="181">
        <v>496528.03919999994</v>
      </c>
      <c r="T613" s="181">
        <v>76.453999999999994</v>
      </c>
      <c r="U613" s="181">
        <v>2788750.5515199997</v>
      </c>
      <c r="V613" s="181">
        <v>8566294142.6290617</v>
      </c>
    </row>
    <row r="614" spans="1:22">
      <c r="A614" s="2" t="s">
        <v>1246</v>
      </c>
      <c r="B614" s="2" t="s">
        <v>1247</v>
      </c>
      <c r="C614" s="181">
        <v>97.47448</v>
      </c>
      <c r="D614" s="181">
        <v>12451.588</v>
      </c>
      <c r="E614" s="181">
        <v>309.87999999999994</v>
      </c>
      <c r="F614" s="181">
        <v>327.65999999999997</v>
      </c>
      <c r="G614" s="181">
        <v>15.366999999999999</v>
      </c>
      <c r="H614" s="181">
        <v>24.383999999999997</v>
      </c>
      <c r="I614" s="181">
        <v>0</v>
      </c>
      <c r="J614" s="181">
        <v>23.241000000000003</v>
      </c>
      <c r="K614" s="181">
        <v>0</v>
      </c>
      <c r="L614" s="181">
        <v>17.8</v>
      </c>
      <c r="M614" s="181">
        <v>99063079.292799994</v>
      </c>
      <c r="N614" s="181">
        <v>719392.10959999997</v>
      </c>
      <c r="O614" s="181">
        <v>406399.18719999999</v>
      </c>
      <c r="P614" s="181">
        <v>89.408000000000001</v>
      </c>
      <c r="Q614" s="181">
        <v>70759342.351999998</v>
      </c>
      <c r="R614" s="181">
        <v>666953.5048</v>
      </c>
      <c r="S614" s="181">
        <v>434257.19599999994</v>
      </c>
      <c r="T614" s="181">
        <v>75.438000000000002</v>
      </c>
      <c r="U614" s="181">
        <v>1972936.957344</v>
      </c>
      <c r="V614" s="181">
        <v>6203178517.0762177</v>
      </c>
    </row>
    <row r="615" spans="1:22">
      <c r="A615" s="2" t="s">
        <v>1248</v>
      </c>
      <c r="B615" s="2" t="s">
        <v>1249</v>
      </c>
      <c r="C615" s="181">
        <v>87.057360000000003</v>
      </c>
      <c r="D615" s="181">
        <v>11096.751999999999</v>
      </c>
      <c r="E615" s="181">
        <v>307.33999999999997</v>
      </c>
      <c r="F615" s="181">
        <v>325.12</v>
      </c>
      <c r="G615" s="181">
        <v>13.97</v>
      </c>
      <c r="H615" s="181">
        <v>21.59</v>
      </c>
      <c r="I615" s="181">
        <v>0</v>
      </c>
      <c r="J615" s="181">
        <v>22.859999999999996</v>
      </c>
      <c r="K615" s="181">
        <v>0</v>
      </c>
      <c r="L615" s="181">
        <v>19.600000000000001</v>
      </c>
      <c r="M615" s="181">
        <v>88241062.227199987</v>
      </c>
      <c r="N615" s="181">
        <v>642372.90879999998</v>
      </c>
      <c r="O615" s="181">
        <v>365431.52719999995</v>
      </c>
      <c r="P615" s="181">
        <v>89.153999999999996</v>
      </c>
      <c r="Q615" s="181">
        <v>62018482.414399996</v>
      </c>
      <c r="R615" s="181">
        <v>585018.18480000005</v>
      </c>
      <c r="S615" s="181">
        <v>380179.88479999994</v>
      </c>
      <c r="T615" s="181">
        <v>74.675999999999988</v>
      </c>
      <c r="U615" s="181">
        <v>1394375.2757599999</v>
      </c>
      <c r="V615" s="181">
        <v>4403988211.2575741</v>
      </c>
    </row>
    <row r="616" spans="1:22">
      <c r="A616" s="2" t="s">
        <v>1250</v>
      </c>
      <c r="B616" s="2" t="s">
        <v>1251</v>
      </c>
      <c r="C616" s="181">
        <v>77.384320000000002</v>
      </c>
      <c r="D616" s="181">
        <v>9870.9480000000003</v>
      </c>
      <c r="E616" s="181">
        <v>304.79999999999995</v>
      </c>
      <c r="F616" s="181">
        <v>325.12</v>
      </c>
      <c r="G616" s="181">
        <v>12.7</v>
      </c>
      <c r="H616" s="181">
        <v>19.049999999999997</v>
      </c>
      <c r="I616" s="181">
        <v>0</v>
      </c>
      <c r="J616" s="181">
        <v>22.225000000000001</v>
      </c>
      <c r="K616" s="181">
        <v>0</v>
      </c>
      <c r="L616" s="181">
        <v>21.6</v>
      </c>
      <c r="M616" s="181">
        <v>78667739.438399985</v>
      </c>
      <c r="N616" s="181">
        <v>575185.94640000002</v>
      </c>
      <c r="O616" s="181">
        <v>327741.27999999997</v>
      </c>
      <c r="P616" s="181">
        <v>89.153999999999996</v>
      </c>
      <c r="Q616" s="181">
        <v>54110085.327999994</v>
      </c>
      <c r="R616" s="181">
        <v>511276.39679999993</v>
      </c>
      <c r="S616" s="181">
        <v>332657.39919999999</v>
      </c>
      <c r="T616" s="181">
        <v>73.914000000000001</v>
      </c>
      <c r="U616" s="181">
        <v>978143.85015999991</v>
      </c>
      <c r="V616" s="181">
        <v>3115016051.8651133</v>
      </c>
    </row>
    <row r="617" spans="1:22">
      <c r="A617" s="2" t="s">
        <v>1252</v>
      </c>
      <c r="B617" s="2" t="s">
        <v>1253</v>
      </c>
      <c r="C617" s="181">
        <v>76.640239999999991</v>
      </c>
      <c r="D617" s="181">
        <v>9741.9159999999993</v>
      </c>
      <c r="E617" s="181">
        <v>312.42</v>
      </c>
      <c r="F617" s="181">
        <v>228.6</v>
      </c>
      <c r="G617" s="181">
        <v>13.97</v>
      </c>
      <c r="H617" s="181">
        <v>24.891999999999999</v>
      </c>
      <c r="I617" s="181">
        <v>0</v>
      </c>
      <c r="J617" s="181">
        <v>22.733000000000001</v>
      </c>
      <c r="K617" s="181">
        <v>0</v>
      </c>
      <c r="L617" s="181">
        <v>19.600000000000001</v>
      </c>
      <c r="M617" s="181">
        <v>84911210.822399989</v>
      </c>
      <c r="N617" s="181">
        <v>642372.90879999998</v>
      </c>
      <c r="O617" s="181">
        <v>360515.40799999994</v>
      </c>
      <c r="P617" s="181">
        <v>93.217999999999989</v>
      </c>
      <c r="Q617" s="181">
        <v>24849016.108319998</v>
      </c>
      <c r="R617" s="181">
        <v>339212.22479999997</v>
      </c>
      <c r="S617" s="181">
        <v>217947.95119999998</v>
      </c>
      <c r="T617" s="181">
        <v>50.545999999999999</v>
      </c>
      <c r="U617" s="181">
        <v>1469296.9323679998</v>
      </c>
      <c r="V617" s="181">
        <v>3302991158.443181</v>
      </c>
    </row>
    <row r="618" spans="1:22">
      <c r="A618" s="2" t="s">
        <v>1254</v>
      </c>
      <c r="B618" s="2" t="s">
        <v>1255</v>
      </c>
      <c r="C618" s="181">
        <v>69.943519999999992</v>
      </c>
      <c r="D618" s="181">
        <v>8903.2080000000005</v>
      </c>
      <c r="E618" s="181">
        <v>309.87999999999994</v>
      </c>
      <c r="F618" s="181">
        <v>230.37799999999999</v>
      </c>
      <c r="G618" s="181">
        <v>13.081</v>
      </c>
      <c r="H618" s="181">
        <v>22.224999999999998</v>
      </c>
      <c r="I618" s="181">
        <v>0</v>
      </c>
      <c r="J618" s="181">
        <v>22.224999999999998</v>
      </c>
      <c r="K618" s="181">
        <v>0</v>
      </c>
      <c r="L618" s="181">
        <v>20.9</v>
      </c>
      <c r="M618" s="181">
        <v>77419045.161599994</v>
      </c>
      <c r="N618" s="181">
        <v>591573.01039999991</v>
      </c>
      <c r="O618" s="181">
        <v>332657.39919999999</v>
      </c>
      <c r="P618" s="181">
        <v>93.217999999999989</v>
      </c>
      <c r="Q618" s="181">
        <v>22684612.695199996</v>
      </c>
      <c r="R618" s="181">
        <v>306438.09679999994</v>
      </c>
      <c r="S618" s="181">
        <v>196644.76799999998</v>
      </c>
      <c r="T618" s="181">
        <v>50.291999999999994</v>
      </c>
      <c r="U618" s="181">
        <v>1090526.335072</v>
      </c>
      <c r="V618" s="181">
        <v>2569888242.7887187</v>
      </c>
    </row>
    <row r="619" spans="1:22">
      <c r="A619" s="2" t="s">
        <v>1256</v>
      </c>
      <c r="B619" s="2" t="s">
        <v>1257</v>
      </c>
      <c r="C619" s="181">
        <v>62.502719999999997</v>
      </c>
      <c r="D619" s="181">
        <v>7999.9839999999995</v>
      </c>
      <c r="E619" s="181">
        <v>307.33999999999997</v>
      </c>
      <c r="F619" s="181">
        <v>229.10799999999998</v>
      </c>
      <c r="G619" s="181">
        <v>11.937999999999999</v>
      </c>
      <c r="H619" s="181">
        <v>19.558</v>
      </c>
      <c r="I619" s="181">
        <v>0</v>
      </c>
      <c r="J619" s="181">
        <v>23.304499999999997</v>
      </c>
      <c r="K619" s="181">
        <v>0</v>
      </c>
      <c r="L619" s="181">
        <v>22.9</v>
      </c>
      <c r="M619" s="181">
        <v>69094416.649599999</v>
      </c>
      <c r="N619" s="181">
        <v>532579.57999999996</v>
      </c>
      <c r="O619" s="181">
        <v>299883.27119999996</v>
      </c>
      <c r="P619" s="181">
        <v>93.217999999999989</v>
      </c>
      <c r="Q619" s="181">
        <v>19646123.288319997</v>
      </c>
      <c r="R619" s="181">
        <v>267109.14319999999</v>
      </c>
      <c r="S619" s="181">
        <v>172064.17199999999</v>
      </c>
      <c r="T619" s="181">
        <v>49.529999999999994</v>
      </c>
      <c r="U619" s="181">
        <v>765865.82310399995</v>
      </c>
      <c r="V619" s="181">
        <v>1852897479.1266625</v>
      </c>
    </row>
    <row r="620" spans="1:22">
      <c r="A620" s="2" t="s">
        <v>1258</v>
      </c>
      <c r="B620" s="2" t="s">
        <v>1259</v>
      </c>
      <c r="C620" s="181">
        <v>56.550079999999994</v>
      </c>
      <c r="D620" s="181">
        <v>7225.7919999999995</v>
      </c>
      <c r="E620" s="181">
        <v>304.79999999999995</v>
      </c>
      <c r="F620" s="181">
        <v>228.346</v>
      </c>
      <c r="G620" s="181">
        <v>11.176</v>
      </c>
      <c r="H620" s="181">
        <v>17.272000000000002</v>
      </c>
      <c r="I620" s="181">
        <v>0</v>
      </c>
      <c r="J620" s="181">
        <v>22.415499999999998</v>
      </c>
      <c r="K620" s="181">
        <v>0</v>
      </c>
      <c r="L620" s="181">
        <v>24.5</v>
      </c>
      <c r="M620" s="181">
        <v>62850945.265599996</v>
      </c>
      <c r="N620" s="181">
        <v>493250.62639999995</v>
      </c>
      <c r="O620" s="181">
        <v>276941.38159999996</v>
      </c>
      <c r="P620" s="181">
        <v>93.471999999999994</v>
      </c>
      <c r="Q620" s="181">
        <v>17190357.877279997</v>
      </c>
      <c r="R620" s="181">
        <v>234335.01519999999</v>
      </c>
      <c r="S620" s="181">
        <v>150433.24751999998</v>
      </c>
      <c r="T620" s="181">
        <v>48.767999999999994</v>
      </c>
      <c r="U620" s="181">
        <v>557750.11030399997</v>
      </c>
      <c r="V620" s="181">
        <v>1423240092.6625087</v>
      </c>
    </row>
    <row r="621" spans="1:22">
      <c r="A621" s="2" t="s">
        <v>1260</v>
      </c>
      <c r="B621" s="2" t="s">
        <v>1261</v>
      </c>
      <c r="C621" s="181">
        <v>50.597439999999999</v>
      </c>
      <c r="D621" s="181">
        <v>6451.5999999999995</v>
      </c>
      <c r="E621" s="181">
        <v>302.26</v>
      </c>
      <c r="F621" s="181">
        <v>227.83799999999999</v>
      </c>
      <c r="G621" s="181">
        <v>10.540999999999999</v>
      </c>
      <c r="H621" s="181">
        <v>14.858999999999998</v>
      </c>
      <c r="I621" s="181">
        <v>0</v>
      </c>
      <c r="J621" s="181">
        <v>23.240999999999996</v>
      </c>
      <c r="K621" s="181">
        <v>0</v>
      </c>
      <c r="L621" s="181">
        <v>26</v>
      </c>
      <c r="M621" s="181">
        <v>57023705.307199992</v>
      </c>
      <c r="N621" s="181">
        <v>457199.08559999993</v>
      </c>
      <c r="O621" s="181">
        <v>255638.19839999996</v>
      </c>
      <c r="P621" s="181">
        <v>93.98</v>
      </c>
      <c r="Q621" s="181">
        <v>14651346.181119999</v>
      </c>
      <c r="R621" s="181">
        <v>201560.8872</v>
      </c>
      <c r="S621" s="181">
        <v>128638.45239999998</v>
      </c>
      <c r="T621" s="181">
        <v>47.497999999999998</v>
      </c>
      <c r="U621" s="181">
        <v>387927.68865919998</v>
      </c>
      <c r="V621" s="181">
        <v>1095626335.4835916</v>
      </c>
    </row>
    <row r="622" spans="1:22">
      <c r="A622" s="2" t="s">
        <v>1262</v>
      </c>
      <c r="B622" s="2" t="s">
        <v>1263</v>
      </c>
      <c r="C622" s="181">
        <v>46.132959999999997</v>
      </c>
      <c r="D622" s="181">
        <v>5909.6655999999994</v>
      </c>
      <c r="E622" s="181">
        <v>302.26</v>
      </c>
      <c r="F622" s="181">
        <v>178.816</v>
      </c>
      <c r="G622" s="181">
        <v>10.921999999999999</v>
      </c>
      <c r="H622" s="181">
        <v>14.985999999999999</v>
      </c>
      <c r="I622" s="181">
        <v>0</v>
      </c>
      <c r="J622" s="181">
        <v>23.113999999999997</v>
      </c>
      <c r="K622" s="181">
        <v>0</v>
      </c>
      <c r="L622" s="181">
        <v>24.8</v>
      </c>
      <c r="M622" s="181">
        <v>54942548.179199994</v>
      </c>
      <c r="N622" s="181">
        <v>465392.61759999994</v>
      </c>
      <c r="O622" s="181">
        <v>255638.19839999996</v>
      </c>
      <c r="P622" s="181">
        <v>96.265999999999991</v>
      </c>
      <c r="Q622" s="181">
        <v>7159180.5203199992</v>
      </c>
      <c r="R622" s="181">
        <v>128802.32303999999</v>
      </c>
      <c r="S622" s="181">
        <v>80296.613599999997</v>
      </c>
      <c r="T622" s="181">
        <v>34.798000000000002</v>
      </c>
      <c r="U622" s="181">
        <v>367532.34880479996</v>
      </c>
      <c r="V622" s="181">
        <v>1052660596.8371762</v>
      </c>
    </row>
    <row r="623" spans="1:22">
      <c r="A623" s="2" t="s">
        <v>1264</v>
      </c>
      <c r="B623" s="2" t="s">
        <v>1265</v>
      </c>
      <c r="C623" s="181">
        <v>40.924399999999999</v>
      </c>
      <c r="D623" s="181">
        <v>5258.0540000000001</v>
      </c>
      <c r="E623" s="181">
        <v>299.72000000000003</v>
      </c>
      <c r="F623" s="181">
        <v>178.05399999999997</v>
      </c>
      <c r="G623" s="181">
        <v>10.032999999999999</v>
      </c>
      <c r="H623" s="181">
        <v>12.827</v>
      </c>
      <c r="I623" s="181">
        <v>0</v>
      </c>
      <c r="J623" s="181">
        <v>23.685499999999998</v>
      </c>
      <c r="K623" s="181">
        <v>0</v>
      </c>
      <c r="L623" s="181">
        <v>27</v>
      </c>
      <c r="M623" s="181">
        <v>48699076.795199998</v>
      </c>
      <c r="N623" s="181">
        <v>419508.83840000001</v>
      </c>
      <c r="O623" s="181">
        <v>231057.60239999997</v>
      </c>
      <c r="P623" s="181">
        <v>96.265999999999991</v>
      </c>
      <c r="Q623" s="181">
        <v>6035355.6711999997</v>
      </c>
      <c r="R623" s="181">
        <v>109137.84624</v>
      </c>
      <c r="S623" s="181">
        <v>68006.315600000002</v>
      </c>
      <c r="T623" s="181">
        <v>34.036000000000001</v>
      </c>
      <c r="U623" s="181">
        <v>255982.32674399996</v>
      </c>
      <c r="V623" s="181">
        <v>786810088.96248126</v>
      </c>
    </row>
    <row r="624" spans="1:22">
      <c r="A624" s="2" t="s">
        <v>1266</v>
      </c>
      <c r="B624" s="2" t="s">
        <v>1267</v>
      </c>
      <c r="C624" s="181">
        <v>149.56008</v>
      </c>
      <c r="D624" s="181">
        <v>19096.736000000001</v>
      </c>
      <c r="E624" s="181">
        <v>292.09999999999997</v>
      </c>
      <c r="F624" s="181">
        <v>320.03999999999996</v>
      </c>
      <c r="G624" s="181">
        <v>23.114000000000001</v>
      </c>
      <c r="H624" s="181">
        <v>41.401999999999994</v>
      </c>
      <c r="I624" s="181">
        <v>0</v>
      </c>
      <c r="J624" s="181">
        <v>22.098000000000006</v>
      </c>
      <c r="K624" s="181">
        <v>0</v>
      </c>
      <c r="L624" s="181">
        <v>10.3</v>
      </c>
      <c r="M624" s="181">
        <v>118625956.29599999</v>
      </c>
      <c r="N624" s="181">
        <v>960281.95039999997</v>
      </c>
      <c r="O624" s="181">
        <v>522747.34159999993</v>
      </c>
      <c r="P624" s="181">
        <v>78.739999999999995</v>
      </c>
      <c r="Q624" s="181">
        <v>112798716.33759999</v>
      </c>
      <c r="R624" s="181">
        <v>1089739.7559999998</v>
      </c>
      <c r="S624" s="181">
        <v>706282.4584</v>
      </c>
      <c r="T624" s="181">
        <v>76.707999999999998</v>
      </c>
      <c r="U624" s="181">
        <v>8491121.0822399985</v>
      </c>
      <c r="V624" s="181">
        <v>22932963002.5242</v>
      </c>
    </row>
    <row r="625" spans="1:22">
      <c r="A625" s="2" t="s">
        <v>1268</v>
      </c>
      <c r="B625" s="2" t="s">
        <v>1269</v>
      </c>
      <c r="C625" s="181">
        <v>135.42256</v>
      </c>
      <c r="D625" s="181">
        <v>17290.288</v>
      </c>
      <c r="E625" s="181">
        <v>289.56</v>
      </c>
      <c r="F625" s="181">
        <v>317.5</v>
      </c>
      <c r="G625" s="181">
        <v>21.081999999999997</v>
      </c>
      <c r="H625" s="181">
        <v>37.591999999999999</v>
      </c>
      <c r="I625" s="181">
        <v>0</v>
      </c>
      <c r="J625" s="181">
        <v>22.732999999999997</v>
      </c>
      <c r="K625" s="181">
        <v>0</v>
      </c>
      <c r="L625" s="181">
        <v>11.3</v>
      </c>
      <c r="M625" s="181">
        <v>105306550.67679998</v>
      </c>
      <c r="N625" s="181">
        <v>853766.03439999989</v>
      </c>
      <c r="O625" s="181">
        <v>467031.32399999996</v>
      </c>
      <c r="P625" s="181">
        <v>77.977999999999994</v>
      </c>
      <c r="Q625" s="181">
        <v>100311773.56959999</v>
      </c>
      <c r="R625" s="181">
        <v>975030.30799999996</v>
      </c>
      <c r="S625" s="181">
        <v>632540.67039999994</v>
      </c>
      <c r="T625" s="181">
        <v>76.199999999999989</v>
      </c>
      <c r="U625" s="181">
        <v>6368340.8116799993</v>
      </c>
      <c r="V625" s="181">
        <v>16917759592.026047</v>
      </c>
    </row>
    <row r="626" spans="1:22">
      <c r="A626" s="2" t="s">
        <v>1270</v>
      </c>
      <c r="B626" s="2" t="s">
        <v>1271</v>
      </c>
      <c r="C626" s="181">
        <v>123.51728</v>
      </c>
      <c r="D626" s="181">
        <v>15741.903999999999</v>
      </c>
      <c r="E626" s="181">
        <v>284.47999999999996</v>
      </c>
      <c r="F626" s="181">
        <v>314.95999999999998</v>
      </c>
      <c r="G626" s="181">
        <v>19.049999999999997</v>
      </c>
      <c r="H626" s="181">
        <v>34.544000000000004</v>
      </c>
      <c r="I626" s="181">
        <v>0</v>
      </c>
      <c r="J626" s="181">
        <v>22.605999999999995</v>
      </c>
      <c r="K626" s="181">
        <v>0</v>
      </c>
      <c r="L626" s="181">
        <v>12.5</v>
      </c>
      <c r="M626" s="181">
        <v>94068302.185599998</v>
      </c>
      <c r="N626" s="181">
        <v>758721.06319999986</v>
      </c>
      <c r="O626" s="181">
        <v>417870.13199999998</v>
      </c>
      <c r="P626" s="181">
        <v>77.215999999999994</v>
      </c>
      <c r="Q626" s="181">
        <v>90322219.355199993</v>
      </c>
      <c r="R626" s="181">
        <v>883262.74959999986</v>
      </c>
      <c r="S626" s="181">
        <v>573547.24</v>
      </c>
      <c r="T626" s="181">
        <v>75.945999999999998</v>
      </c>
      <c r="U626" s="181">
        <v>4911530.8220799994</v>
      </c>
      <c r="V626" s="181">
        <v>12701746487.346539</v>
      </c>
    </row>
    <row r="627" spans="1:22">
      <c r="A627" s="2" t="s">
        <v>1272</v>
      </c>
      <c r="B627" s="2" t="s">
        <v>1273</v>
      </c>
      <c r="C627" s="181">
        <v>109.37975999999999</v>
      </c>
      <c r="D627" s="181">
        <v>13935.456</v>
      </c>
      <c r="E627" s="181">
        <v>279.39999999999998</v>
      </c>
      <c r="F627" s="181">
        <v>317.5</v>
      </c>
      <c r="G627" s="181">
        <v>18.287999999999997</v>
      </c>
      <c r="H627" s="181">
        <v>29.209999999999997</v>
      </c>
      <c r="I627" s="181">
        <v>0</v>
      </c>
      <c r="J627" s="181">
        <v>21.59</v>
      </c>
      <c r="K627" s="181">
        <v>0</v>
      </c>
      <c r="L627" s="181">
        <v>13</v>
      </c>
      <c r="M627" s="181">
        <v>84911210.822399989</v>
      </c>
      <c r="N627" s="181">
        <v>694811.51359999995</v>
      </c>
      <c r="O627" s="181">
        <v>388373.41679999995</v>
      </c>
      <c r="P627" s="181">
        <v>78.231999999999999</v>
      </c>
      <c r="Q627" s="181">
        <v>78251508.012799993</v>
      </c>
      <c r="R627" s="181">
        <v>758721.06319999986</v>
      </c>
      <c r="S627" s="181">
        <v>491611.91999999993</v>
      </c>
      <c r="T627" s="181">
        <v>74.930000000000007</v>
      </c>
      <c r="U627" s="181">
        <v>3200819.6628640001</v>
      </c>
      <c r="V627" s="181">
        <v>8727415662.5531197</v>
      </c>
    </row>
    <row r="628" spans="1:22">
      <c r="A628" s="2" t="s">
        <v>1274</v>
      </c>
      <c r="B628" s="2" t="s">
        <v>1275</v>
      </c>
      <c r="C628" s="181">
        <v>98.218559999999997</v>
      </c>
      <c r="D628" s="181">
        <v>12516.103999999999</v>
      </c>
      <c r="E628" s="181">
        <v>276.86</v>
      </c>
      <c r="F628" s="181">
        <v>314.95999999999998</v>
      </c>
      <c r="G628" s="181">
        <v>16.509999999999998</v>
      </c>
      <c r="H628" s="181">
        <v>26.161999999999999</v>
      </c>
      <c r="I628" s="181">
        <v>0</v>
      </c>
      <c r="J628" s="181">
        <v>23.0505</v>
      </c>
      <c r="K628" s="181">
        <v>0</v>
      </c>
      <c r="L628" s="181">
        <v>14.4</v>
      </c>
      <c r="M628" s="181">
        <v>75337888.033599988</v>
      </c>
      <c r="N628" s="181">
        <v>616153.60639999993</v>
      </c>
      <c r="O628" s="181">
        <v>345767.05040000001</v>
      </c>
      <c r="P628" s="181">
        <v>77.724000000000004</v>
      </c>
      <c r="Q628" s="181">
        <v>69094416.649599999</v>
      </c>
      <c r="R628" s="181">
        <v>673508.33039999998</v>
      </c>
      <c r="S628" s="181">
        <v>437534.60879999993</v>
      </c>
      <c r="T628" s="181">
        <v>74.421999999999997</v>
      </c>
      <c r="U628" s="181">
        <v>2339220.6118719997</v>
      </c>
      <c r="V628" s="181">
        <v>6283739277.0382452</v>
      </c>
    </row>
    <row r="629" spans="1:22">
      <c r="A629" s="2" t="s">
        <v>1276</v>
      </c>
      <c r="B629" s="2" t="s">
        <v>1277</v>
      </c>
      <c r="C629" s="181">
        <v>90.777760000000001</v>
      </c>
      <c r="D629" s="181">
        <v>11548.363999999998</v>
      </c>
      <c r="E629" s="181">
        <v>274.32</v>
      </c>
      <c r="F629" s="181">
        <v>314.95999999999998</v>
      </c>
      <c r="G629" s="181">
        <v>15.239999999999998</v>
      </c>
      <c r="H629" s="181">
        <v>24.383999999999997</v>
      </c>
      <c r="I629" s="181">
        <v>0</v>
      </c>
      <c r="J629" s="181">
        <v>21.653499999999998</v>
      </c>
      <c r="K629" s="181">
        <v>0</v>
      </c>
      <c r="L629" s="181">
        <v>15.6</v>
      </c>
      <c r="M629" s="181">
        <v>69094416.649599999</v>
      </c>
      <c r="N629" s="181">
        <v>562076.29519999993</v>
      </c>
      <c r="O629" s="181">
        <v>316270.33519999997</v>
      </c>
      <c r="P629" s="181">
        <v>77.215999999999994</v>
      </c>
      <c r="Q629" s="181">
        <v>63267176.691199996</v>
      </c>
      <c r="R629" s="181">
        <v>619431.01919999986</v>
      </c>
      <c r="S629" s="181">
        <v>403121.77439999999</v>
      </c>
      <c r="T629" s="181">
        <v>73.914000000000001</v>
      </c>
      <c r="U629" s="181">
        <v>1860554.4724319996</v>
      </c>
      <c r="V629" s="181">
        <v>4941059944.3377657</v>
      </c>
    </row>
    <row r="630" spans="1:22">
      <c r="A630" s="2" t="s">
        <v>1278</v>
      </c>
      <c r="B630" s="2" t="s">
        <v>1279</v>
      </c>
      <c r="C630" s="181">
        <v>82.592879999999994</v>
      </c>
      <c r="D630" s="181">
        <v>10516.108</v>
      </c>
      <c r="E630" s="181">
        <v>274.32</v>
      </c>
      <c r="F630" s="181">
        <v>312.42</v>
      </c>
      <c r="G630" s="181">
        <v>13.97</v>
      </c>
      <c r="H630" s="181">
        <v>22.224999999999998</v>
      </c>
      <c r="I630" s="181">
        <v>0</v>
      </c>
      <c r="J630" s="181">
        <v>22.224999999999998</v>
      </c>
      <c r="K630" s="181">
        <v>0</v>
      </c>
      <c r="L630" s="181">
        <v>17.100000000000001</v>
      </c>
      <c r="M630" s="181">
        <v>62434713.839999996</v>
      </c>
      <c r="N630" s="181">
        <v>507998.98399999994</v>
      </c>
      <c r="O630" s="181">
        <v>286773.62</v>
      </c>
      <c r="P630" s="181">
        <v>76.961999999999989</v>
      </c>
      <c r="Q630" s="181">
        <v>57023705.307199992</v>
      </c>
      <c r="R630" s="181">
        <v>558798.8824</v>
      </c>
      <c r="S630" s="181">
        <v>363792.82079999993</v>
      </c>
      <c r="T630" s="181">
        <v>73.66</v>
      </c>
      <c r="U630" s="181">
        <v>1415186.8470399999</v>
      </c>
      <c r="V630" s="181">
        <v>3705794958.253325</v>
      </c>
    </row>
    <row r="631" spans="1:22">
      <c r="A631" s="2" t="s">
        <v>1280</v>
      </c>
      <c r="B631" s="2" t="s">
        <v>1281</v>
      </c>
      <c r="C631" s="181">
        <v>75.152079999999998</v>
      </c>
      <c r="D631" s="181">
        <v>9612.884</v>
      </c>
      <c r="E631" s="181">
        <v>271.77999999999997</v>
      </c>
      <c r="F631" s="181">
        <v>312.42</v>
      </c>
      <c r="G631" s="181">
        <v>12.7</v>
      </c>
      <c r="H631" s="181">
        <v>20.32</v>
      </c>
      <c r="I631" s="181">
        <v>0</v>
      </c>
      <c r="J631" s="181">
        <v>22.542499999999997</v>
      </c>
      <c r="K631" s="181">
        <v>0</v>
      </c>
      <c r="L631" s="181">
        <v>18.8</v>
      </c>
      <c r="M631" s="181">
        <v>56191242.455999993</v>
      </c>
      <c r="N631" s="181">
        <v>457199.08559999993</v>
      </c>
      <c r="O631" s="181">
        <v>258915.61119999998</v>
      </c>
      <c r="P631" s="181">
        <v>76.453999999999994</v>
      </c>
      <c r="Q631" s="181">
        <v>51612696.774399996</v>
      </c>
      <c r="R631" s="181">
        <v>504721.57119999995</v>
      </c>
      <c r="S631" s="181">
        <v>331018.69279999996</v>
      </c>
      <c r="T631" s="181">
        <v>73.406000000000006</v>
      </c>
      <c r="U631" s="181">
        <v>1082201.7065599998</v>
      </c>
      <c r="V631" s="181">
        <v>2792773012.0169983</v>
      </c>
    </row>
    <row r="632" spans="1:22">
      <c r="A632" s="2" t="s">
        <v>1282</v>
      </c>
      <c r="B632" s="2" t="s">
        <v>1283</v>
      </c>
      <c r="C632" s="181">
        <v>69.199439999999996</v>
      </c>
      <c r="D632" s="181">
        <v>8838.6919999999991</v>
      </c>
      <c r="E632" s="181">
        <v>274.32</v>
      </c>
      <c r="F632" s="181">
        <v>213.86799999999999</v>
      </c>
      <c r="G632" s="181">
        <v>14.731999999999998</v>
      </c>
      <c r="H632" s="181">
        <v>23.622</v>
      </c>
      <c r="I632" s="181">
        <v>0</v>
      </c>
      <c r="J632" s="181">
        <v>17.652999999999999</v>
      </c>
      <c r="K632" s="181">
        <v>0</v>
      </c>
      <c r="L632" s="181">
        <v>16.2</v>
      </c>
      <c r="M632" s="181">
        <v>59937325.28639999</v>
      </c>
      <c r="N632" s="181">
        <v>521108.63519999996</v>
      </c>
      <c r="O632" s="181">
        <v>293328.44559999998</v>
      </c>
      <c r="P632" s="181">
        <v>82.55</v>
      </c>
      <c r="Q632" s="181">
        <v>19313138.147839997</v>
      </c>
      <c r="R632" s="181">
        <v>283496.2072</v>
      </c>
      <c r="S632" s="181">
        <v>180257.70399999997</v>
      </c>
      <c r="T632" s="181">
        <v>46.735999999999997</v>
      </c>
      <c r="U632" s="181">
        <v>1252856.5910559997</v>
      </c>
      <c r="V632" s="181">
        <v>2505439634.8190956</v>
      </c>
    </row>
    <row r="633" spans="1:22">
      <c r="A633" s="2" t="s">
        <v>1284</v>
      </c>
      <c r="B633" s="2" t="s">
        <v>1285</v>
      </c>
      <c r="C633" s="181">
        <v>61.75864</v>
      </c>
      <c r="D633" s="181">
        <v>7870.9519999999993</v>
      </c>
      <c r="E633" s="181">
        <v>271.77999999999997</v>
      </c>
      <c r="F633" s="181">
        <v>212.34399999999997</v>
      </c>
      <c r="G633" s="181">
        <v>13.081</v>
      </c>
      <c r="H633" s="181">
        <v>21.209</v>
      </c>
      <c r="I633" s="181">
        <v>0</v>
      </c>
      <c r="J633" s="181">
        <v>16.890999999999995</v>
      </c>
      <c r="K633" s="181">
        <v>0</v>
      </c>
      <c r="L633" s="181">
        <v>18.2</v>
      </c>
      <c r="M633" s="181">
        <v>52861391.051199995</v>
      </c>
      <c r="N633" s="181">
        <v>458837.79199999996</v>
      </c>
      <c r="O633" s="181">
        <v>257276.90479999996</v>
      </c>
      <c r="P633" s="181">
        <v>81.787999999999997</v>
      </c>
      <c r="Q633" s="181">
        <v>16940619.021919999</v>
      </c>
      <c r="R633" s="181">
        <v>249083.37279999995</v>
      </c>
      <c r="S633" s="181">
        <v>159610.00336</v>
      </c>
      <c r="T633" s="181">
        <v>46.481999999999999</v>
      </c>
      <c r="U633" s="181">
        <v>899059.879296</v>
      </c>
      <c r="V633" s="181">
        <v>1745483132.5106239</v>
      </c>
    </row>
    <row r="634" spans="1:22">
      <c r="A634" s="2" t="s">
        <v>1286</v>
      </c>
      <c r="B634" s="2" t="s">
        <v>1287</v>
      </c>
      <c r="C634" s="181">
        <v>54.317839999999997</v>
      </c>
      <c r="D634" s="181">
        <v>6903.2119999999995</v>
      </c>
      <c r="E634" s="181">
        <v>269.23999999999995</v>
      </c>
      <c r="F634" s="181">
        <v>210.82</v>
      </c>
      <c r="G634" s="181">
        <v>11.557</v>
      </c>
      <c r="H634" s="181">
        <v>18.795999999999999</v>
      </c>
      <c r="I634" s="181">
        <v>0</v>
      </c>
      <c r="J634" s="181">
        <v>17.716499999999996</v>
      </c>
      <c r="K634" s="181">
        <v>0</v>
      </c>
      <c r="L634" s="181">
        <v>20.6</v>
      </c>
      <c r="M634" s="181">
        <v>45785456.815999992</v>
      </c>
      <c r="N634" s="181">
        <v>399844.36159999995</v>
      </c>
      <c r="O634" s="181">
        <v>226141.48319999999</v>
      </c>
      <c r="P634" s="181">
        <v>81.533999999999992</v>
      </c>
      <c r="Q634" s="181">
        <v>14692969.323679997</v>
      </c>
      <c r="R634" s="181">
        <v>217947.95119999998</v>
      </c>
      <c r="S634" s="181">
        <v>139453.91463999997</v>
      </c>
      <c r="T634" s="181">
        <v>45.973999999999997</v>
      </c>
      <c r="U634" s="181">
        <v>628509.45265599992</v>
      </c>
      <c r="V634" s="181">
        <v>1186928530.1072242</v>
      </c>
    </row>
    <row r="635" spans="1:22">
      <c r="A635" s="2" t="s">
        <v>1288</v>
      </c>
      <c r="B635" s="2" t="s">
        <v>1289</v>
      </c>
      <c r="C635" s="181">
        <v>50.597439999999999</v>
      </c>
      <c r="D635" s="181">
        <v>6451.5999999999995</v>
      </c>
      <c r="E635" s="181">
        <v>269.23999999999995</v>
      </c>
      <c r="F635" s="181">
        <v>210.05799999999996</v>
      </c>
      <c r="G635" s="181">
        <v>10.921999999999999</v>
      </c>
      <c r="H635" s="181">
        <v>17.399000000000001</v>
      </c>
      <c r="I635" s="181">
        <v>0</v>
      </c>
      <c r="J635" s="181">
        <v>17.525999999999996</v>
      </c>
      <c r="K635" s="181">
        <v>0</v>
      </c>
      <c r="L635" s="181">
        <v>21.8</v>
      </c>
      <c r="M635" s="181">
        <v>42871836.836799994</v>
      </c>
      <c r="N635" s="181">
        <v>375263.76559999993</v>
      </c>
      <c r="O635" s="181">
        <v>211393.1256</v>
      </c>
      <c r="P635" s="181">
        <v>81.28</v>
      </c>
      <c r="Q635" s="181">
        <v>13485898.189439999</v>
      </c>
      <c r="R635" s="181">
        <v>199922.18079999997</v>
      </c>
      <c r="S635" s="181">
        <v>128310.71111999999</v>
      </c>
      <c r="T635" s="181">
        <v>45.72</v>
      </c>
      <c r="U635" s="181">
        <v>507802.33923199994</v>
      </c>
      <c r="V635" s="181">
        <v>972099836.87514746</v>
      </c>
    </row>
    <row r="636" spans="1:22">
      <c r="A636" s="2" t="s">
        <v>1290</v>
      </c>
      <c r="B636" s="2" t="s">
        <v>1291</v>
      </c>
      <c r="C636" s="181">
        <v>46.132959999999997</v>
      </c>
      <c r="D636" s="181">
        <v>5890.3108000000002</v>
      </c>
      <c r="E636" s="181">
        <v>266.7</v>
      </c>
      <c r="F636" s="181">
        <v>209.29599999999999</v>
      </c>
      <c r="G636" s="181">
        <v>10.16</v>
      </c>
      <c r="H636" s="181">
        <v>15.620999999999999</v>
      </c>
      <c r="I636" s="181">
        <v>0</v>
      </c>
      <c r="J636" s="181">
        <v>17.7165</v>
      </c>
      <c r="K636" s="181">
        <v>0</v>
      </c>
      <c r="L636" s="181">
        <v>23.4</v>
      </c>
      <c r="M636" s="181">
        <v>39042507.721279994</v>
      </c>
      <c r="N636" s="181">
        <v>345767.05040000001</v>
      </c>
      <c r="O636" s="181">
        <v>195006.06159999999</v>
      </c>
      <c r="P636" s="181">
        <v>81.533999999999992</v>
      </c>
      <c r="Q636" s="181">
        <v>11945841.914719999</v>
      </c>
      <c r="R636" s="181">
        <v>178618.9976</v>
      </c>
      <c r="S636" s="181">
        <v>114217.83607999998</v>
      </c>
      <c r="T636" s="181">
        <v>44.957999999999998</v>
      </c>
      <c r="U636" s="181">
        <v>380019.29157279996</v>
      </c>
      <c r="V636" s="181">
        <v>746529708.98146677</v>
      </c>
    </row>
    <row r="637" spans="1:22">
      <c r="A637" s="2" t="s">
        <v>1292</v>
      </c>
      <c r="B637" s="2" t="s">
        <v>1293</v>
      </c>
      <c r="C637" s="181">
        <v>40.924399999999999</v>
      </c>
      <c r="D637" s="181">
        <v>5225.7959999999994</v>
      </c>
      <c r="E637" s="181">
        <v>264.15999999999997</v>
      </c>
      <c r="F637" s="181">
        <v>208.78800000000001</v>
      </c>
      <c r="G637" s="181">
        <v>9.5249999999999986</v>
      </c>
      <c r="H637" s="181">
        <v>13.258799999999999</v>
      </c>
      <c r="I637" s="181">
        <v>0</v>
      </c>
      <c r="J637" s="181">
        <v>16.903700000000001</v>
      </c>
      <c r="K637" s="181">
        <v>0</v>
      </c>
      <c r="L637" s="181">
        <v>25</v>
      </c>
      <c r="M637" s="181">
        <v>35129932.320639998</v>
      </c>
      <c r="N637" s="181">
        <v>317909.04159999994</v>
      </c>
      <c r="O637" s="181">
        <v>178618.9976</v>
      </c>
      <c r="P637" s="181">
        <v>82.042000000000002</v>
      </c>
      <c r="Q637" s="181">
        <v>10072800.499519998</v>
      </c>
      <c r="R637" s="181">
        <v>150433.24751999998</v>
      </c>
      <c r="S637" s="181">
        <v>96519.806959999987</v>
      </c>
      <c r="T637" s="181">
        <v>43.942</v>
      </c>
      <c r="U637" s="181">
        <v>256814.78959519998</v>
      </c>
      <c r="V637" s="181">
        <v>558554602.40339971</v>
      </c>
    </row>
    <row r="638" spans="1:22">
      <c r="A638" s="2" t="s">
        <v>1294</v>
      </c>
      <c r="B638" s="2" t="s">
        <v>1295</v>
      </c>
      <c r="C638" s="181">
        <v>35.71584</v>
      </c>
      <c r="D638" s="181">
        <v>4561.2812000000004</v>
      </c>
      <c r="E638" s="181">
        <v>261.62</v>
      </c>
      <c r="F638" s="181">
        <v>206.756</v>
      </c>
      <c r="G638" s="181">
        <v>8.8899999999999988</v>
      </c>
      <c r="H638" s="181">
        <v>10.921999999999999</v>
      </c>
      <c r="I638" s="181">
        <v>0</v>
      </c>
      <c r="J638" s="181">
        <v>17.652999999999999</v>
      </c>
      <c r="K638" s="181">
        <v>0</v>
      </c>
      <c r="L638" s="181">
        <v>26.8</v>
      </c>
      <c r="M638" s="181">
        <v>31175733.77744</v>
      </c>
      <c r="N638" s="181">
        <v>291689.73920000001</v>
      </c>
      <c r="O638" s="181">
        <v>162231.93359999999</v>
      </c>
      <c r="P638" s="181">
        <v>82.803999999999988</v>
      </c>
      <c r="Q638" s="181">
        <v>8074889.6566399988</v>
      </c>
      <c r="R638" s="181">
        <v>121919.75615999999</v>
      </c>
      <c r="S638" s="181">
        <v>78002.424639999983</v>
      </c>
      <c r="T638" s="181">
        <v>42.163999999999994</v>
      </c>
      <c r="U638" s="181">
        <v>166492.57024</v>
      </c>
      <c r="V638" s="181">
        <v>408174517.14094591</v>
      </c>
    </row>
    <row r="639" spans="1:22">
      <c r="A639" s="2" t="s">
        <v>1296</v>
      </c>
      <c r="B639" s="2" t="s">
        <v>1297</v>
      </c>
      <c r="C639" s="181">
        <v>42.412559999999999</v>
      </c>
      <c r="D639" s="181">
        <v>5399.9891999999991</v>
      </c>
      <c r="E639" s="181">
        <v>266.7</v>
      </c>
      <c r="F639" s="181">
        <v>166.62399999999997</v>
      </c>
      <c r="G639" s="181">
        <v>10.287000000000001</v>
      </c>
      <c r="H639" s="181">
        <v>16.509999999999998</v>
      </c>
      <c r="I639" s="181">
        <v>0</v>
      </c>
      <c r="J639" s="181">
        <v>16.827500000000001</v>
      </c>
      <c r="K639" s="181">
        <v>0</v>
      </c>
      <c r="L639" s="181">
        <v>23.2</v>
      </c>
      <c r="M639" s="181">
        <v>37627320.874239996</v>
      </c>
      <c r="N639" s="181">
        <v>347405.75679999997</v>
      </c>
      <c r="O639" s="181">
        <v>193367.35519999999</v>
      </c>
      <c r="P639" s="181">
        <v>83.566000000000003</v>
      </c>
      <c r="Q639" s="181">
        <v>6368340.8116799993</v>
      </c>
      <c r="R639" s="181">
        <v>121264.2736</v>
      </c>
      <c r="S639" s="181">
        <v>76527.588879999996</v>
      </c>
      <c r="T639" s="181">
        <v>34.29</v>
      </c>
      <c r="U639" s="181">
        <v>367948.58023039997</v>
      </c>
      <c r="V639" s="181">
        <v>671339666.35023999</v>
      </c>
    </row>
    <row r="640" spans="1:22">
      <c r="A640" s="2" t="s">
        <v>1298</v>
      </c>
      <c r="B640" s="2" t="s">
        <v>1299</v>
      </c>
      <c r="C640" s="181">
        <v>37.204000000000001</v>
      </c>
      <c r="D640" s="181">
        <v>4748.3775999999998</v>
      </c>
      <c r="E640" s="181">
        <v>264.15999999999997</v>
      </c>
      <c r="F640" s="181">
        <v>165.86199999999999</v>
      </c>
      <c r="G640" s="181">
        <v>9.6519999999999992</v>
      </c>
      <c r="H640" s="181">
        <v>13.589</v>
      </c>
      <c r="I640" s="181">
        <v>0</v>
      </c>
      <c r="J640" s="181">
        <v>18.161000000000001</v>
      </c>
      <c r="K640" s="181">
        <v>0</v>
      </c>
      <c r="L640" s="181">
        <v>24.7</v>
      </c>
      <c r="M640" s="181">
        <v>33423383.475679997</v>
      </c>
      <c r="N640" s="181">
        <v>317909.04159999994</v>
      </c>
      <c r="O640" s="181">
        <v>175341.58479999998</v>
      </c>
      <c r="P640" s="181">
        <v>83.82</v>
      </c>
      <c r="Q640" s="181">
        <v>5202892.8199999994</v>
      </c>
      <c r="R640" s="181">
        <v>99633.349119999999</v>
      </c>
      <c r="S640" s="181">
        <v>62598.58447999999</v>
      </c>
      <c r="T640" s="181">
        <v>33.019999999999996</v>
      </c>
      <c r="U640" s="181">
        <v>237251.91259199995</v>
      </c>
      <c r="V640" s="181">
        <v>507532787.76078141</v>
      </c>
    </row>
    <row r="641" spans="1:22">
      <c r="A641" s="2" t="s">
        <v>1300</v>
      </c>
      <c r="B641" s="2" t="s">
        <v>1301</v>
      </c>
      <c r="C641" s="181">
        <v>32.739519999999999</v>
      </c>
      <c r="D641" s="181">
        <v>4187.0883999999996</v>
      </c>
      <c r="E641" s="181">
        <v>261.62</v>
      </c>
      <c r="F641" s="181">
        <v>165.1</v>
      </c>
      <c r="G641" s="181">
        <v>8.8899999999999988</v>
      </c>
      <c r="H641" s="181">
        <v>11.43</v>
      </c>
      <c r="I641" s="181">
        <v>0</v>
      </c>
      <c r="J641" s="181">
        <v>17.145</v>
      </c>
      <c r="K641" s="181">
        <v>0</v>
      </c>
      <c r="L641" s="181">
        <v>26.8</v>
      </c>
      <c r="M641" s="181">
        <v>29594054.360159993</v>
      </c>
      <c r="N641" s="181">
        <v>288412.32640000002</v>
      </c>
      <c r="O641" s="181">
        <v>158626.77951999998</v>
      </c>
      <c r="P641" s="181">
        <v>84.073999999999998</v>
      </c>
      <c r="Q641" s="181">
        <v>4287183.6836799998</v>
      </c>
      <c r="R641" s="181">
        <v>83082.414479999992</v>
      </c>
      <c r="S641" s="181">
        <v>52110.863519999999</v>
      </c>
      <c r="T641" s="181">
        <v>32.003999999999998</v>
      </c>
      <c r="U641" s="181">
        <v>159416.63600479998</v>
      </c>
      <c r="V641" s="181">
        <v>375950213.15613437</v>
      </c>
    </row>
    <row r="642" spans="1:22">
      <c r="A642" s="2" t="s">
        <v>1302</v>
      </c>
      <c r="B642" s="2" t="s">
        <v>1303</v>
      </c>
      <c r="C642" s="181">
        <v>130.214</v>
      </c>
      <c r="D642" s="181">
        <v>16580.611999999997</v>
      </c>
      <c r="E642" s="181">
        <v>254</v>
      </c>
      <c r="F642" s="181">
        <v>289.56</v>
      </c>
      <c r="G642" s="181">
        <v>22.605999999999998</v>
      </c>
      <c r="H642" s="181">
        <v>40.386000000000003</v>
      </c>
      <c r="I642" s="181">
        <v>0</v>
      </c>
      <c r="J642" s="181">
        <v>21.526499999999992</v>
      </c>
      <c r="K642" s="181">
        <v>0</v>
      </c>
      <c r="L642" s="181">
        <v>9.02</v>
      </c>
      <c r="M642" s="181">
        <v>75337888.033599988</v>
      </c>
      <c r="N642" s="181">
        <v>714475.99040000001</v>
      </c>
      <c r="O642" s="181">
        <v>383457.29759999993</v>
      </c>
      <c r="P642" s="181">
        <v>67.563999999999993</v>
      </c>
      <c r="Q642" s="181">
        <v>81581359.417599991</v>
      </c>
      <c r="R642" s="181">
        <v>870153.0983999999</v>
      </c>
      <c r="S642" s="181">
        <v>563715.00159999996</v>
      </c>
      <c r="T642" s="181">
        <v>70.103999999999985</v>
      </c>
      <c r="U642" s="181">
        <v>6992687.9500799999</v>
      </c>
      <c r="V642" s="181">
        <v>15172276459.515423</v>
      </c>
    </row>
    <row r="643" spans="1:22">
      <c r="A643" s="2" t="s">
        <v>1304</v>
      </c>
      <c r="B643" s="2" t="s">
        <v>1305</v>
      </c>
      <c r="C643" s="181">
        <v>117.56464</v>
      </c>
      <c r="D643" s="181">
        <v>14967.712</v>
      </c>
      <c r="E643" s="181">
        <v>250.44399999999996</v>
      </c>
      <c r="F643" s="181">
        <v>287.02</v>
      </c>
      <c r="G643" s="181">
        <v>20.574000000000002</v>
      </c>
      <c r="H643" s="181">
        <v>36.575999999999993</v>
      </c>
      <c r="I643" s="181">
        <v>0</v>
      </c>
      <c r="J643" s="181">
        <v>23.749000000000002</v>
      </c>
      <c r="K643" s="181">
        <v>0</v>
      </c>
      <c r="L643" s="181">
        <v>9.9</v>
      </c>
      <c r="M643" s="181">
        <v>66597028.095999993</v>
      </c>
      <c r="N643" s="181">
        <v>630901.96399999992</v>
      </c>
      <c r="O643" s="181">
        <v>340850.93119999999</v>
      </c>
      <c r="P643" s="181">
        <v>66.801999999999992</v>
      </c>
      <c r="Q643" s="181">
        <v>72424268.054399997</v>
      </c>
      <c r="R643" s="181">
        <v>776746.8335999999</v>
      </c>
      <c r="S643" s="181">
        <v>503082.86479999992</v>
      </c>
      <c r="T643" s="181">
        <v>69.596000000000004</v>
      </c>
      <c r="U643" s="181">
        <v>5202892.8199999994</v>
      </c>
      <c r="V643" s="181">
        <v>11063677701.451956</v>
      </c>
    </row>
    <row r="644" spans="1:22">
      <c r="A644" s="2" t="s">
        <v>1306</v>
      </c>
      <c r="B644" s="2" t="s">
        <v>1307</v>
      </c>
      <c r="C644" s="181">
        <v>106.40343999999999</v>
      </c>
      <c r="D644" s="181">
        <v>13548.359999999999</v>
      </c>
      <c r="E644" s="181">
        <v>247.39599999999999</v>
      </c>
      <c r="F644" s="181">
        <v>284.47999999999996</v>
      </c>
      <c r="G644" s="181">
        <v>18.541999999999998</v>
      </c>
      <c r="H644" s="181">
        <v>33.527999999999999</v>
      </c>
      <c r="I644" s="181">
        <v>0</v>
      </c>
      <c r="J644" s="181">
        <v>22.034500000000001</v>
      </c>
      <c r="K644" s="181">
        <v>0</v>
      </c>
      <c r="L644" s="181">
        <v>11</v>
      </c>
      <c r="M644" s="181">
        <v>59104862.435199991</v>
      </c>
      <c r="N644" s="181">
        <v>557160.17599999998</v>
      </c>
      <c r="O644" s="181">
        <v>303160.68399999995</v>
      </c>
      <c r="P644" s="181">
        <v>66.039999999999992</v>
      </c>
      <c r="Q644" s="181">
        <v>64932102.393599994</v>
      </c>
      <c r="R644" s="181">
        <v>699727.63280000002</v>
      </c>
      <c r="S644" s="181">
        <v>453921.67279999994</v>
      </c>
      <c r="T644" s="181">
        <v>69.088000000000008</v>
      </c>
      <c r="U644" s="181">
        <v>3987497.0572479996</v>
      </c>
      <c r="V644" s="181">
        <v>8244051102.7809467</v>
      </c>
    </row>
    <row r="645" spans="1:22">
      <c r="A645" s="2" t="s">
        <v>1308</v>
      </c>
      <c r="B645" s="2" t="s">
        <v>1309</v>
      </c>
      <c r="C645" s="181">
        <v>96.730399999999989</v>
      </c>
      <c r="D645" s="181">
        <v>12322.556</v>
      </c>
      <c r="E645" s="181">
        <v>244.602</v>
      </c>
      <c r="F645" s="181">
        <v>284.47999999999996</v>
      </c>
      <c r="G645" s="181">
        <v>17.018000000000001</v>
      </c>
      <c r="H645" s="181">
        <v>30.479999999999997</v>
      </c>
      <c r="I645" s="181">
        <v>0</v>
      </c>
      <c r="J645" s="181">
        <v>21.907499999999999</v>
      </c>
      <c r="K645" s="181">
        <v>0</v>
      </c>
      <c r="L645" s="181">
        <v>12</v>
      </c>
      <c r="M645" s="181">
        <v>52861391.051199995</v>
      </c>
      <c r="N645" s="181">
        <v>499805.45199999993</v>
      </c>
      <c r="O645" s="181">
        <v>273663.96879999997</v>
      </c>
      <c r="P645" s="181">
        <v>65.531999999999996</v>
      </c>
      <c r="Q645" s="181">
        <v>57856168.158399992</v>
      </c>
      <c r="R645" s="181">
        <v>627624.55119999987</v>
      </c>
      <c r="S645" s="181">
        <v>408037.89359999995</v>
      </c>
      <c r="T645" s="181">
        <v>68.58</v>
      </c>
      <c r="U645" s="181">
        <v>3009353.2070879997</v>
      </c>
      <c r="V645" s="181">
        <v>6122617757.1141882</v>
      </c>
    </row>
    <row r="646" spans="1:22">
      <c r="A646" s="2" t="s">
        <v>1310</v>
      </c>
      <c r="B646" s="2" t="s">
        <v>1311</v>
      </c>
      <c r="C646" s="181">
        <v>88.545519999999996</v>
      </c>
      <c r="D646" s="181">
        <v>11290.3</v>
      </c>
      <c r="E646" s="181">
        <v>240.792</v>
      </c>
      <c r="F646" s="181">
        <v>287.02</v>
      </c>
      <c r="G646" s="181">
        <v>16.637</v>
      </c>
      <c r="H646" s="181">
        <v>26.923999999999999</v>
      </c>
      <c r="I646" s="181">
        <v>0</v>
      </c>
      <c r="J646" s="181">
        <v>22.288499999999999</v>
      </c>
      <c r="K646" s="181">
        <v>0</v>
      </c>
      <c r="L646" s="181">
        <v>12.2</v>
      </c>
      <c r="M646" s="181">
        <v>49531539.646399997</v>
      </c>
      <c r="N646" s="181">
        <v>470308.73679999996</v>
      </c>
      <c r="O646" s="181">
        <v>260554.31759999998</v>
      </c>
      <c r="P646" s="181">
        <v>66.039999999999992</v>
      </c>
      <c r="Q646" s="181">
        <v>52445159.625599995</v>
      </c>
      <c r="R646" s="181">
        <v>565353.70799999998</v>
      </c>
      <c r="S646" s="181">
        <v>368708.93999999994</v>
      </c>
      <c r="T646" s="181">
        <v>68.325999999999993</v>
      </c>
      <c r="U646" s="181">
        <v>2206026.5556799998</v>
      </c>
      <c r="V646" s="181">
        <v>4672524077.7976694</v>
      </c>
    </row>
    <row r="647" spans="1:22">
      <c r="A647" s="2" t="s">
        <v>1312</v>
      </c>
      <c r="B647" s="2" t="s">
        <v>1313</v>
      </c>
      <c r="C647" s="181">
        <v>78.872479999999996</v>
      </c>
      <c r="D647" s="181">
        <v>10064.495999999999</v>
      </c>
      <c r="E647" s="181">
        <v>237.99799999999996</v>
      </c>
      <c r="F647" s="181">
        <v>284.47999999999996</v>
      </c>
      <c r="G647" s="181">
        <v>14.985999999999999</v>
      </c>
      <c r="H647" s="181">
        <v>23.875999999999998</v>
      </c>
      <c r="I647" s="181">
        <v>0</v>
      </c>
      <c r="J647" s="181">
        <v>22.161499999999997</v>
      </c>
      <c r="K647" s="181">
        <v>0</v>
      </c>
      <c r="L647" s="181">
        <v>13.6</v>
      </c>
      <c r="M647" s="181">
        <v>43288068.262399994</v>
      </c>
      <c r="N647" s="181">
        <v>412954.01279999997</v>
      </c>
      <c r="O647" s="181">
        <v>231057.60239999997</v>
      </c>
      <c r="P647" s="181">
        <v>65.785999999999987</v>
      </c>
      <c r="Q647" s="181">
        <v>45785456.815999992</v>
      </c>
      <c r="R647" s="181">
        <v>494889.33279999992</v>
      </c>
      <c r="S647" s="181">
        <v>322825.16079999995</v>
      </c>
      <c r="T647" s="181">
        <v>67.563999999999993</v>
      </c>
      <c r="U647" s="181">
        <v>1552543.2174879999</v>
      </c>
      <c r="V647" s="181">
        <v>3249283985.1351614</v>
      </c>
    </row>
    <row r="648" spans="1:22">
      <c r="A648" s="2" t="s">
        <v>1314</v>
      </c>
      <c r="B648" s="2" t="s">
        <v>1315</v>
      </c>
      <c r="C648" s="181">
        <v>72.175759999999997</v>
      </c>
      <c r="D648" s="181">
        <v>9225.7880000000005</v>
      </c>
      <c r="E648" s="181">
        <v>236.22</v>
      </c>
      <c r="F648" s="181">
        <v>281.94</v>
      </c>
      <c r="G648" s="181">
        <v>13.589</v>
      </c>
      <c r="H648" s="181">
        <v>22.097999999999999</v>
      </c>
      <c r="I648" s="181">
        <v>0</v>
      </c>
      <c r="J648" s="181">
        <v>22.351999999999997</v>
      </c>
      <c r="K648" s="181">
        <v>0</v>
      </c>
      <c r="L648" s="181">
        <v>15</v>
      </c>
      <c r="M648" s="181">
        <v>39042507.721279994</v>
      </c>
      <c r="N648" s="181">
        <v>370347.64639999997</v>
      </c>
      <c r="O648" s="181">
        <v>208115.71279999998</v>
      </c>
      <c r="P648" s="181">
        <v>65.024000000000001</v>
      </c>
      <c r="Q648" s="181">
        <v>41623142.559999995</v>
      </c>
      <c r="R648" s="181">
        <v>452282.96639999998</v>
      </c>
      <c r="S648" s="181">
        <v>294967.152</v>
      </c>
      <c r="T648" s="181">
        <v>67.309999999999988</v>
      </c>
      <c r="U648" s="181">
        <v>1215395.7627519998</v>
      </c>
      <c r="V648" s="181">
        <v>2494698200.1574917</v>
      </c>
    </row>
    <row r="649" spans="1:22">
      <c r="A649" s="2" t="s">
        <v>1316</v>
      </c>
      <c r="B649" s="2" t="s">
        <v>1317</v>
      </c>
      <c r="C649" s="181">
        <v>63.990879999999997</v>
      </c>
      <c r="D649" s="181">
        <v>8193.5319999999992</v>
      </c>
      <c r="E649" s="181">
        <v>233.67999999999998</v>
      </c>
      <c r="F649" s="181">
        <v>281.94</v>
      </c>
      <c r="G649" s="181">
        <v>12.191999999999998</v>
      </c>
      <c r="H649" s="181">
        <v>19.558</v>
      </c>
      <c r="I649" s="181">
        <v>0</v>
      </c>
      <c r="J649" s="181">
        <v>21.716999999999999</v>
      </c>
      <c r="K649" s="181">
        <v>0</v>
      </c>
      <c r="L649" s="181">
        <v>16.7</v>
      </c>
      <c r="M649" s="181">
        <v>34297469.469439998</v>
      </c>
      <c r="N649" s="181">
        <v>326102.57359999995</v>
      </c>
      <c r="O649" s="181">
        <v>183535.11679999996</v>
      </c>
      <c r="P649" s="181">
        <v>64.77</v>
      </c>
      <c r="Q649" s="181">
        <v>36461872.882559992</v>
      </c>
      <c r="R649" s="181">
        <v>396566.94879999995</v>
      </c>
      <c r="S649" s="181">
        <v>258915.61119999998</v>
      </c>
      <c r="T649" s="181">
        <v>66.801999999999992</v>
      </c>
      <c r="U649" s="181">
        <v>849112.10822399997</v>
      </c>
      <c r="V649" s="181">
        <v>1724000263.1874163</v>
      </c>
    </row>
    <row r="650" spans="1:22">
      <c r="A650" s="2" t="s">
        <v>1318</v>
      </c>
      <c r="B650" s="2" t="s">
        <v>1319</v>
      </c>
      <c r="C650" s="181">
        <v>56.550079999999994</v>
      </c>
      <c r="D650" s="181">
        <v>7225.7919999999995</v>
      </c>
      <c r="E650" s="181">
        <v>231.39399999999998</v>
      </c>
      <c r="F650" s="181">
        <v>279.39999999999998</v>
      </c>
      <c r="G650" s="181">
        <v>10.795</v>
      </c>
      <c r="H650" s="181">
        <v>17.272000000000002</v>
      </c>
      <c r="I650" s="181">
        <v>0</v>
      </c>
      <c r="J650" s="181">
        <v>22.415499999999998</v>
      </c>
      <c r="K650" s="181">
        <v>0</v>
      </c>
      <c r="L650" s="181">
        <v>18.899999999999999</v>
      </c>
      <c r="M650" s="181">
        <v>29885416.358079996</v>
      </c>
      <c r="N650" s="181">
        <v>283496.2072</v>
      </c>
      <c r="O650" s="181">
        <v>161084.83911999999</v>
      </c>
      <c r="P650" s="181">
        <v>64.515999999999991</v>
      </c>
      <c r="Q650" s="181">
        <v>31716834.630719997</v>
      </c>
      <c r="R650" s="181">
        <v>345767.05040000001</v>
      </c>
      <c r="S650" s="181">
        <v>226141.48319999999</v>
      </c>
      <c r="T650" s="181">
        <v>66.293999999999997</v>
      </c>
      <c r="U650" s="181">
        <v>586886.31009599986</v>
      </c>
      <c r="V650" s="181">
        <v>1173501736.7802196</v>
      </c>
    </row>
    <row r="651" spans="1:22">
      <c r="A651" s="2" t="s">
        <v>1320</v>
      </c>
      <c r="B651" s="2" t="s">
        <v>1321</v>
      </c>
      <c r="C651" s="181">
        <v>52.829679999999996</v>
      </c>
      <c r="D651" s="181">
        <v>6709.6639999999998</v>
      </c>
      <c r="E651" s="181">
        <v>234.44200000000001</v>
      </c>
      <c r="F651" s="181">
        <v>194.05599999999998</v>
      </c>
      <c r="G651" s="181">
        <v>12.572999999999999</v>
      </c>
      <c r="H651" s="181">
        <v>20.574000000000002</v>
      </c>
      <c r="I651" s="181">
        <v>0</v>
      </c>
      <c r="J651" s="181">
        <v>17.525999999999993</v>
      </c>
      <c r="K651" s="181">
        <v>0</v>
      </c>
      <c r="L651" s="181">
        <v>16.2</v>
      </c>
      <c r="M651" s="181">
        <v>32549297.481919996</v>
      </c>
      <c r="N651" s="181">
        <v>327741.27999999997</v>
      </c>
      <c r="O651" s="181">
        <v>183535.11679999996</v>
      </c>
      <c r="P651" s="181">
        <v>69.596000000000004</v>
      </c>
      <c r="Q651" s="181">
        <v>12528565.910559999</v>
      </c>
      <c r="R651" s="181">
        <v>201560.8872</v>
      </c>
      <c r="S651" s="181">
        <v>129293.93495999998</v>
      </c>
      <c r="T651" s="181">
        <v>43.18</v>
      </c>
      <c r="U651" s="181">
        <v>724242.68054399989</v>
      </c>
      <c r="V651" s="181">
        <v>1063402031.4987801</v>
      </c>
    </row>
    <row r="652" spans="1:22">
      <c r="A652" s="2" t="s">
        <v>1322</v>
      </c>
      <c r="B652" s="2" t="s">
        <v>1323</v>
      </c>
      <c r="C652" s="181">
        <v>48.365199999999994</v>
      </c>
      <c r="D652" s="181">
        <v>6161.2780000000002</v>
      </c>
      <c r="E652" s="181">
        <v>233.17199999999997</v>
      </c>
      <c r="F652" s="181">
        <v>192.78599999999997</v>
      </c>
      <c r="G652" s="181">
        <v>11.43</v>
      </c>
      <c r="H652" s="181">
        <v>19.049999999999997</v>
      </c>
      <c r="I652" s="181">
        <v>0</v>
      </c>
      <c r="J652" s="181">
        <v>17.462499999999999</v>
      </c>
      <c r="K652" s="181">
        <v>0</v>
      </c>
      <c r="L652" s="181">
        <v>17.8</v>
      </c>
      <c r="M652" s="181">
        <v>29427561.789919998</v>
      </c>
      <c r="N652" s="181">
        <v>294967.152</v>
      </c>
      <c r="O652" s="181">
        <v>165509.34639999998</v>
      </c>
      <c r="P652" s="181">
        <v>69.088000000000008</v>
      </c>
      <c r="Q652" s="181">
        <v>11404741.061439998</v>
      </c>
      <c r="R652" s="181">
        <v>183535.11679999996</v>
      </c>
      <c r="S652" s="181">
        <v>118314.60207999998</v>
      </c>
      <c r="T652" s="181">
        <v>42.925999999999995</v>
      </c>
      <c r="U652" s="181">
        <v>566074.73881599994</v>
      </c>
      <c r="V652" s="181">
        <v>808292958.28568888</v>
      </c>
    </row>
    <row r="653" spans="1:22">
      <c r="A653" s="2" t="s">
        <v>1324</v>
      </c>
      <c r="B653" s="2" t="s">
        <v>1325</v>
      </c>
      <c r="C653" s="181">
        <v>44.644799999999996</v>
      </c>
      <c r="D653" s="181">
        <v>5690.3112000000001</v>
      </c>
      <c r="E653" s="181">
        <v>231.64799999999997</v>
      </c>
      <c r="F653" s="181">
        <v>192.02399999999997</v>
      </c>
      <c r="G653" s="181">
        <v>10.540999999999999</v>
      </c>
      <c r="H653" s="181">
        <v>17.652999999999999</v>
      </c>
      <c r="I653" s="181">
        <v>0</v>
      </c>
      <c r="J653" s="181">
        <v>17.271999999999998</v>
      </c>
      <c r="K653" s="181">
        <v>0</v>
      </c>
      <c r="L653" s="181">
        <v>19.3</v>
      </c>
      <c r="M653" s="181">
        <v>26930173.23632</v>
      </c>
      <c r="N653" s="181">
        <v>270386.55599999998</v>
      </c>
      <c r="O653" s="181">
        <v>152235.82455999998</v>
      </c>
      <c r="P653" s="181">
        <v>68.833999999999989</v>
      </c>
      <c r="Q653" s="181">
        <v>10405785.639999999</v>
      </c>
      <c r="R653" s="181">
        <v>168786.7592</v>
      </c>
      <c r="S653" s="181">
        <v>108646.23431999999</v>
      </c>
      <c r="T653" s="181">
        <v>42.671999999999997</v>
      </c>
      <c r="U653" s="181">
        <v>449529.939648</v>
      </c>
      <c r="V653" s="181">
        <v>631059286.36922562</v>
      </c>
    </row>
    <row r="654" spans="1:22">
      <c r="A654" s="2" t="s">
        <v>1326</v>
      </c>
      <c r="B654" s="2" t="s">
        <v>1327</v>
      </c>
      <c r="C654" s="181">
        <v>40.924399999999999</v>
      </c>
      <c r="D654" s="181">
        <v>5225.7959999999994</v>
      </c>
      <c r="E654" s="181">
        <v>230.124</v>
      </c>
      <c r="F654" s="181">
        <v>191.262</v>
      </c>
      <c r="G654" s="181">
        <v>9.9060000000000006</v>
      </c>
      <c r="H654" s="181">
        <v>16.001999999999999</v>
      </c>
      <c r="I654" s="181">
        <v>0</v>
      </c>
      <c r="J654" s="181">
        <v>17.3355</v>
      </c>
      <c r="K654" s="181">
        <v>0</v>
      </c>
      <c r="L654" s="181">
        <v>20.6</v>
      </c>
      <c r="M654" s="181">
        <v>24765769.823199999</v>
      </c>
      <c r="N654" s="181">
        <v>250722.07919999998</v>
      </c>
      <c r="O654" s="181">
        <v>141420.36231999999</v>
      </c>
      <c r="P654" s="181">
        <v>68.833999999999989</v>
      </c>
      <c r="Q654" s="181">
        <v>9365207.0759999994</v>
      </c>
      <c r="R654" s="181">
        <v>151744.21263999998</v>
      </c>
      <c r="S654" s="181">
        <v>97830.772079999981</v>
      </c>
      <c r="T654" s="181">
        <v>42.417999999999999</v>
      </c>
      <c r="U654" s="181">
        <v>345472.08324799995</v>
      </c>
      <c r="V654" s="181">
        <v>494105994.43377662</v>
      </c>
    </row>
    <row r="655" spans="1:22">
      <c r="A655" s="2" t="s">
        <v>1328</v>
      </c>
      <c r="B655" s="2" t="s">
        <v>1329</v>
      </c>
      <c r="C655" s="181">
        <v>37.204000000000001</v>
      </c>
      <c r="D655" s="181">
        <v>4729.0227999999997</v>
      </c>
      <c r="E655" s="181">
        <v>228.346</v>
      </c>
      <c r="F655" s="181">
        <v>190.5</v>
      </c>
      <c r="G655" s="181">
        <v>9.0169999999999995</v>
      </c>
      <c r="H655" s="181">
        <v>14.477999999999998</v>
      </c>
      <c r="I655" s="181">
        <v>0</v>
      </c>
      <c r="J655" s="181">
        <v>17.272000000000002</v>
      </c>
      <c r="K655" s="181">
        <v>0</v>
      </c>
      <c r="L655" s="181">
        <v>22.6</v>
      </c>
      <c r="M655" s="181">
        <v>22268381.269599997</v>
      </c>
      <c r="N655" s="181">
        <v>226141.48319999999</v>
      </c>
      <c r="O655" s="181">
        <v>127655.22855999999</v>
      </c>
      <c r="P655" s="181">
        <v>68.58</v>
      </c>
      <c r="Q655" s="181">
        <v>8324628.5119999992</v>
      </c>
      <c r="R655" s="181">
        <v>135684.88991999999</v>
      </c>
      <c r="S655" s="181">
        <v>87670.792399999991</v>
      </c>
      <c r="T655" s="181">
        <v>41.91</v>
      </c>
      <c r="U655" s="181">
        <v>257647.25244639997</v>
      </c>
      <c r="V655" s="181">
        <v>365208778.49453056</v>
      </c>
    </row>
    <row r="656" spans="1:22">
      <c r="A656" s="2" t="s">
        <v>1330</v>
      </c>
      <c r="B656" s="2" t="s">
        <v>1331</v>
      </c>
      <c r="C656" s="181">
        <v>34.227679999999999</v>
      </c>
      <c r="D656" s="181">
        <v>4367.7331999999997</v>
      </c>
      <c r="E656" s="181">
        <v>229.36199999999997</v>
      </c>
      <c r="F656" s="181">
        <v>153.92399999999998</v>
      </c>
      <c r="G656" s="181">
        <v>9.1439999999999984</v>
      </c>
      <c r="H656" s="181">
        <v>15.366999999999999</v>
      </c>
      <c r="I656" s="181">
        <v>0</v>
      </c>
      <c r="J656" s="181">
        <v>16.383000000000003</v>
      </c>
      <c r="K656" s="181">
        <v>0</v>
      </c>
      <c r="L656" s="181">
        <v>22.3</v>
      </c>
      <c r="M656" s="181">
        <v>21685657.273759998</v>
      </c>
      <c r="N656" s="181">
        <v>227780.18959999998</v>
      </c>
      <c r="O656" s="181">
        <v>127327.48727999999</v>
      </c>
      <c r="P656" s="181">
        <v>70.35799999999999</v>
      </c>
      <c r="Q656" s="181">
        <v>4703415.1092799995</v>
      </c>
      <c r="R656" s="181">
        <v>95700.453759999989</v>
      </c>
      <c r="S656" s="181">
        <v>60796.007439999994</v>
      </c>
      <c r="T656" s="181">
        <v>32.765999999999998</v>
      </c>
      <c r="U656" s="181">
        <v>253484.93819039996</v>
      </c>
      <c r="V656" s="181">
        <v>322243039.84811515</v>
      </c>
    </row>
    <row r="657" spans="1:22">
      <c r="A657" s="2" t="s">
        <v>1332</v>
      </c>
      <c r="B657" s="2" t="s">
        <v>1333</v>
      </c>
      <c r="C657" s="181">
        <v>29.763199999999998</v>
      </c>
      <c r="D657" s="181">
        <v>3793.5407999999998</v>
      </c>
      <c r="E657" s="181">
        <v>227.32999999999996</v>
      </c>
      <c r="F657" s="181">
        <v>152.90799999999999</v>
      </c>
      <c r="G657" s="181">
        <v>8.0009999999999994</v>
      </c>
      <c r="H657" s="181">
        <v>13.334999999999999</v>
      </c>
      <c r="I657" s="181">
        <v>0</v>
      </c>
      <c r="J657" s="181">
        <v>16.827500000000001</v>
      </c>
      <c r="K657" s="181">
        <v>0</v>
      </c>
      <c r="L657" s="181">
        <v>25.5</v>
      </c>
      <c r="M657" s="181">
        <v>18647167.866879996</v>
      </c>
      <c r="N657" s="181">
        <v>196644.76799999998</v>
      </c>
      <c r="O657" s="181">
        <v>110284.94072</v>
      </c>
      <c r="P657" s="181">
        <v>70.103999999999985</v>
      </c>
      <c r="Q657" s="181">
        <v>3975010.11448</v>
      </c>
      <c r="R657" s="181">
        <v>81443.708079999982</v>
      </c>
      <c r="S657" s="181">
        <v>51946.992879999991</v>
      </c>
      <c r="T657" s="181">
        <v>32.257999999999996</v>
      </c>
      <c r="U657" s="181">
        <v>168157.49594239998</v>
      </c>
      <c r="V657" s="181">
        <v>211606262.83359563</v>
      </c>
    </row>
    <row r="658" spans="1:22">
      <c r="A658" s="2" t="s">
        <v>1334</v>
      </c>
      <c r="B658" s="2" t="s">
        <v>1335</v>
      </c>
      <c r="C658" s="181">
        <v>26.0428</v>
      </c>
      <c r="D658" s="181">
        <v>3322.5740000000001</v>
      </c>
      <c r="E658" s="181">
        <v>224.79</v>
      </c>
      <c r="F658" s="181">
        <v>152.39999999999998</v>
      </c>
      <c r="G658" s="181">
        <v>7.6199999999999992</v>
      </c>
      <c r="H658" s="181">
        <v>10.795</v>
      </c>
      <c r="I658" s="181">
        <v>0</v>
      </c>
      <c r="J658" s="181">
        <v>17.78</v>
      </c>
      <c r="K658" s="181">
        <v>0</v>
      </c>
      <c r="L658" s="181">
        <v>26.7</v>
      </c>
      <c r="M658" s="181">
        <v>16690880.16656</v>
      </c>
      <c r="N658" s="181">
        <v>183535.11679999996</v>
      </c>
      <c r="O658" s="181">
        <v>101763.66743999999</v>
      </c>
      <c r="P658" s="181">
        <v>70.866</v>
      </c>
      <c r="Q658" s="181">
        <v>3192495.0343519999</v>
      </c>
      <c r="R658" s="181">
        <v>65875.997279999981</v>
      </c>
      <c r="S658" s="181">
        <v>41950.883839999995</v>
      </c>
      <c r="T658" s="181">
        <v>30.987999999999996</v>
      </c>
      <c r="U658" s="181">
        <v>104890.3192512</v>
      </c>
      <c r="V658" s="181">
        <v>160584448.19097739</v>
      </c>
    </row>
    <row r="659" spans="1:22">
      <c r="A659" s="2" t="s">
        <v>1336</v>
      </c>
      <c r="B659" s="2" t="s">
        <v>1337</v>
      </c>
      <c r="C659" s="181">
        <v>74.408000000000001</v>
      </c>
      <c r="D659" s="181">
        <v>9612.884</v>
      </c>
      <c r="E659" s="181">
        <v>215.392</v>
      </c>
      <c r="F659" s="181">
        <v>264.15999999999997</v>
      </c>
      <c r="G659" s="181">
        <v>14.858999999999998</v>
      </c>
      <c r="H659" s="181">
        <v>25.018999999999998</v>
      </c>
      <c r="I659" s="181">
        <v>0</v>
      </c>
      <c r="J659" s="181">
        <v>22.606000000000002</v>
      </c>
      <c r="K659" s="181">
        <v>0</v>
      </c>
      <c r="L659" s="181">
        <v>11.6</v>
      </c>
      <c r="M659" s="181">
        <v>31966573.486079995</v>
      </c>
      <c r="N659" s="181">
        <v>340850.93119999999</v>
      </c>
      <c r="O659" s="181">
        <v>186812.52959999998</v>
      </c>
      <c r="P659" s="181">
        <v>57.657999999999994</v>
      </c>
      <c r="Q659" s="181">
        <v>38751145.723359995</v>
      </c>
      <c r="R659" s="181">
        <v>450644.25999999995</v>
      </c>
      <c r="S659" s="181">
        <v>293328.44559999998</v>
      </c>
      <c r="T659" s="181">
        <v>63.5</v>
      </c>
      <c r="U659" s="181">
        <v>1702386.5307039998</v>
      </c>
      <c r="V659" s="181">
        <v>2792773012.0169983</v>
      </c>
    </row>
    <row r="660" spans="1:22">
      <c r="A660" s="2" t="s">
        <v>1338</v>
      </c>
      <c r="B660" s="2" t="s">
        <v>1339</v>
      </c>
      <c r="C660" s="181">
        <v>66.223119999999994</v>
      </c>
      <c r="D660" s="181">
        <v>8516.1119999999992</v>
      </c>
      <c r="E660" s="181">
        <v>212.852</v>
      </c>
      <c r="F660" s="181">
        <v>264.15999999999997</v>
      </c>
      <c r="G660" s="181">
        <v>13.334999999999999</v>
      </c>
      <c r="H660" s="181">
        <v>22.224999999999998</v>
      </c>
      <c r="I660" s="181">
        <v>0</v>
      </c>
      <c r="J660" s="181">
        <v>22.224999999999998</v>
      </c>
      <c r="K660" s="181">
        <v>0</v>
      </c>
      <c r="L660" s="181">
        <v>12.9</v>
      </c>
      <c r="M660" s="181">
        <v>28012374.942879997</v>
      </c>
      <c r="N660" s="181">
        <v>298244.56479999993</v>
      </c>
      <c r="O660" s="181">
        <v>165509.34639999998</v>
      </c>
      <c r="P660" s="181">
        <v>57.403999999999989</v>
      </c>
      <c r="Q660" s="181">
        <v>33839614.901279993</v>
      </c>
      <c r="R660" s="181">
        <v>394928.24239999999</v>
      </c>
      <c r="S660" s="181">
        <v>257276.90479999996</v>
      </c>
      <c r="T660" s="181">
        <v>62.991999999999997</v>
      </c>
      <c r="U660" s="181">
        <v>1211233.4484959999</v>
      </c>
      <c r="V660" s="181">
        <v>1930772880.4232903</v>
      </c>
    </row>
    <row r="661" spans="1:22">
      <c r="A661" s="2" t="s">
        <v>1340</v>
      </c>
      <c r="B661" s="2" t="s">
        <v>1341</v>
      </c>
      <c r="C661" s="181">
        <v>57.294159999999998</v>
      </c>
      <c r="D661" s="181">
        <v>7419.3399999999992</v>
      </c>
      <c r="E661" s="181">
        <v>209.80399999999997</v>
      </c>
      <c r="F661" s="181">
        <v>261.62</v>
      </c>
      <c r="G661" s="181">
        <v>11.557</v>
      </c>
      <c r="H661" s="181">
        <v>19.303999999999998</v>
      </c>
      <c r="I661" s="181">
        <v>0</v>
      </c>
      <c r="J661" s="181">
        <v>21.971</v>
      </c>
      <c r="K661" s="181">
        <v>0</v>
      </c>
      <c r="L661" s="181">
        <v>14.9</v>
      </c>
      <c r="M661" s="181">
        <v>23725191.259199999</v>
      </c>
      <c r="N661" s="181">
        <v>252360.78559999997</v>
      </c>
      <c r="O661" s="181">
        <v>140764.87975999998</v>
      </c>
      <c r="P661" s="181">
        <v>56.641999999999996</v>
      </c>
      <c r="Q661" s="181">
        <v>28803214.651519999</v>
      </c>
      <c r="R661" s="181">
        <v>337573.5184</v>
      </c>
      <c r="S661" s="181">
        <v>219586.65759999998</v>
      </c>
      <c r="T661" s="181">
        <v>62.483999999999995</v>
      </c>
      <c r="U661" s="181">
        <v>803326.65140799992</v>
      </c>
      <c r="V661" s="181">
        <v>1237950344.7498426</v>
      </c>
    </row>
    <row r="662" spans="1:22">
      <c r="A662" s="2" t="s">
        <v>1342</v>
      </c>
      <c r="B662" s="2" t="s">
        <v>1343</v>
      </c>
      <c r="C662" s="181">
        <v>49.853359999999995</v>
      </c>
      <c r="D662" s="181">
        <v>6438.6967999999997</v>
      </c>
      <c r="E662" s="181">
        <v>207.26399999999998</v>
      </c>
      <c r="F662" s="181">
        <v>259.08</v>
      </c>
      <c r="G662" s="181">
        <v>10.032999999999999</v>
      </c>
      <c r="H662" s="181">
        <v>16.890999999999998</v>
      </c>
      <c r="I662" s="181">
        <v>0</v>
      </c>
      <c r="J662" s="181">
        <v>22.796500000000002</v>
      </c>
      <c r="K662" s="181">
        <v>0</v>
      </c>
      <c r="L662" s="181">
        <v>17.2</v>
      </c>
      <c r="M662" s="181">
        <v>20270470.426720001</v>
      </c>
      <c r="N662" s="181">
        <v>214670.53839999996</v>
      </c>
      <c r="O662" s="181">
        <v>120608.79104</v>
      </c>
      <c r="P662" s="181">
        <v>56.133999999999993</v>
      </c>
      <c r="Q662" s="181">
        <v>24765769.823199999</v>
      </c>
      <c r="R662" s="181">
        <v>290051.03279999999</v>
      </c>
      <c r="S662" s="181">
        <v>190089.94239999997</v>
      </c>
      <c r="T662" s="181">
        <v>61.975999999999992</v>
      </c>
      <c r="U662" s="181">
        <v>545263.16753600002</v>
      </c>
      <c r="V662" s="181">
        <v>808292958.28568888</v>
      </c>
    </row>
    <row r="663" spans="1:22">
      <c r="A663" s="2" t="s">
        <v>1344</v>
      </c>
      <c r="B663" s="2" t="s">
        <v>1345</v>
      </c>
      <c r="C663" s="181">
        <v>42.412559999999999</v>
      </c>
      <c r="D663" s="181">
        <v>5412.8923999999997</v>
      </c>
      <c r="E663" s="181">
        <v>208.78800000000001</v>
      </c>
      <c r="F663" s="181">
        <v>180.84799999999998</v>
      </c>
      <c r="G663" s="181">
        <v>10.921999999999999</v>
      </c>
      <c r="H663" s="181">
        <v>18.160999999999998</v>
      </c>
      <c r="I663" s="181">
        <v>0</v>
      </c>
      <c r="J663" s="181">
        <v>16.763999999999999</v>
      </c>
      <c r="K663" s="181">
        <v>0</v>
      </c>
      <c r="L663" s="181">
        <v>16.5</v>
      </c>
      <c r="M663" s="181">
        <v>20270470.426720001</v>
      </c>
      <c r="N663" s="181">
        <v>226141.48319999999</v>
      </c>
      <c r="O663" s="181">
        <v>127327.48727999999</v>
      </c>
      <c r="P663" s="181">
        <v>61.213999999999999</v>
      </c>
      <c r="Q663" s="181">
        <v>8990598.7929599993</v>
      </c>
      <c r="R663" s="181">
        <v>154366.14287999997</v>
      </c>
      <c r="S663" s="181">
        <v>99305.607839999982</v>
      </c>
      <c r="T663" s="181">
        <v>40.64</v>
      </c>
      <c r="U663" s="181">
        <v>457854.56815999997</v>
      </c>
      <c r="V663" s="181">
        <v>534386374.41479099</v>
      </c>
    </row>
    <row r="664" spans="1:22">
      <c r="A664" s="2" t="s">
        <v>1346</v>
      </c>
      <c r="B664" s="2" t="s">
        <v>1347</v>
      </c>
      <c r="C664" s="181">
        <v>37.204000000000001</v>
      </c>
      <c r="D664" s="181">
        <v>4754.8292000000001</v>
      </c>
      <c r="E664" s="181">
        <v>206.50200000000001</v>
      </c>
      <c r="F664" s="181">
        <v>179.578</v>
      </c>
      <c r="G664" s="181">
        <v>9.6519999999999992</v>
      </c>
      <c r="H664" s="181">
        <v>16.001999999999999</v>
      </c>
      <c r="I664" s="181">
        <v>0</v>
      </c>
      <c r="J664" s="181">
        <v>17.3355</v>
      </c>
      <c r="K664" s="181">
        <v>0</v>
      </c>
      <c r="L664" s="181">
        <v>18.7</v>
      </c>
      <c r="M664" s="181">
        <v>17606589.302879997</v>
      </c>
      <c r="N664" s="181">
        <v>196644.76799999998</v>
      </c>
      <c r="O664" s="181">
        <v>111104.29392</v>
      </c>
      <c r="P664" s="181">
        <v>60.959999999999994</v>
      </c>
      <c r="Q664" s="181">
        <v>7741904.5161600001</v>
      </c>
      <c r="R664" s="181">
        <v>133554.5716</v>
      </c>
      <c r="S664" s="181">
        <v>86195.956639999989</v>
      </c>
      <c r="T664" s="181">
        <v>40.386000000000003</v>
      </c>
      <c r="U664" s="181">
        <v>316335.88345599995</v>
      </c>
      <c r="V664" s="181">
        <v>359838061.16372865</v>
      </c>
    </row>
    <row r="665" spans="1:22">
      <c r="A665" s="2" t="s">
        <v>1348</v>
      </c>
      <c r="B665" s="2" t="s">
        <v>1349</v>
      </c>
      <c r="C665" s="181">
        <v>33.483599999999996</v>
      </c>
      <c r="D665" s="181">
        <v>4277.4107999999997</v>
      </c>
      <c r="E665" s="181">
        <v>204.97800000000001</v>
      </c>
      <c r="F665" s="181">
        <v>178.816</v>
      </c>
      <c r="G665" s="181">
        <v>8.7629999999999981</v>
      </c>
      <c r="H665" s="181">
        <v>14.350999999999997</v>
      </c>
      <c r="I665" s="181">
        <v>0</v>
      </c>
      <c r="J665" s="181">
        <v>17.399000000000001</v>
      </c>
      <c r="K665" s="181">
        <v>0</v>
      </c>
      <c r="L665" s="181">
        <v>20.6</v>
      </c>
      <c r="M665" s="181">
        <v>15733547.887679998</v>
      </c>
      <c r="N665" s="181">
        <v>176980.29120000001</v>
      </c>
      <c r="O665" s="181">
        <v>99961.090399999986</v>
      </c>
      <c r="P665" s="181">
        <v>60.706000000000003</v>
      </c>
      <c r="Q665" s="181">
        <v>6826195.3798399987</v>
      </c>
      <c r="R665" s="181">
        <v>118314.60207999998</v>
      </c>
      <c r="S665" s="181">
        <v>76527.588879999996</v>
      </c>
      <c r="T665" s="181">
        <v>39.878</v>
      </c>
      <c r="U665" s="181">
        <v>231008.441208</v>
      </c>
      <c r="V665" s="181">
        <v>261553934.01005349</v>
      </c>
    </row>
    <row r="666" spans="1:22">
      <c r="A666" s="2" t="s">
        <v>1350</v>
      </c>
      <c r="B666" s="2" t="s">
        <v>1351</v>
      </c>
      <c r="C666" s="181">
        <v>29.763199999999998</v>
      </c>
      <c r="D666" s="181">
        <v>3799.9923999999996</v>
      </c>
      <c r="E666" s="181">
        <v>203.45399999999998</v>
      </c>
      <c r="F666" s="181">
        <v>177.79999999999998</v>
      </c>
      <c r="G666" s="181">
        <v>7.746999999999999</v>
      </c>
      <c r="H666" s="181">
        <v>12.827</v>
      </c>
      <c r="I666" s="181">
        <v>0</v>
      </c>
      <c r="J666" s="181">
        <v>17.335499999999996</v>
      </c>
      <c r="K666" s="181">
        <v>0</v>
      </c>
      <c r="L666" s="181">
        <v>23.3</v>
      </c>
      <c r="M666" s="181">
        <v>13777260.18736</v>
      </c>
      <c r="N666" s="181">
        <v>154530.01351999998</v>
      </c>
      <c r="O666" s="181">
        <v>87670.792399999991</v>
      </c>
      <c r="P666" s="181">
        <v>60.198</v>
      </c>
      <c r="Q666" s="181">
        <v>5993732.5286399992</v>
      </c>
      <c r="R666" s="181">
        <v>104221.72704</v>
      </c>
      <c r="S666" s="181">
        <v>67514.703679999991</v>
      </c>
      <c r="T666" s="181">
        <v>39.624000000000002</v>
      </c>
      <c r="U666" s="181">
        <v>164827.64453759999</v>
      </c>
      <c r="V666" s="181">
        <v>180724638.18148461</v>
      </c>
    </row>
    <row r="667" spans="1:22">
      <c r="A667" s="2" t="s">
        <v>1352</v>
      </c>
      <c r="B667" s="2" t="s">
        <v>1353</v>
      </c>
      <c r="C667" s="181">
        <v>26.78688</v>
      </c>
      <c r="D667" s="181">
        <v>3412.8963999999996</v>
      </c>
      <c r="E667" s="181">
        <v>201.42199999999997</v>
      </c>
      <c r="F667" s="181">
        <v>177.54599999999999</v>
      </c>
      <c r="G667" s="181">
        <v>7.4929999999999994</v>
      </c>
      <c r="H667" s="181">
        <v>10.921999999999999</v>
      </c>
      <c r="I667" s="181">
        <v>0</v>
      </c>
      <c r="J667" s="181">
        <v>17.652999999999999</v>
      </c>
      <c r="K667" s="181">
        <v>0</v>
      </c>
      <c r="L667" s="181">
        <v>24.1</v>
      </c>
      <c r="M667" s="181">
        <v>12736681.623359999</v>
      </c>
      <c r="N667" s="181">
        <v>146336.48151999997</v>
      </c>
      <c r="O667" s="181">
        <v>82754.67319999999</v>
      </c>
      <c r="P667" s="181">
        <v>61.213999999999999</v>
      </c>
      <c r="Q667" s="181">
        <v>5078023.3923199996</v>
      </c>
      <c r="R667" s="181">
        <v>88817.886879999991</v>
      </c>
      <c r="S667" s="181">
        <v>57354.723999999995</v>
      </c>
      <c r="T667" s="181">
        <v>38.607999999999997</v>
      </c>
      <c r="U667" s="181">
        <v>113214.94776319999</v>
      </c>
      <c r="V667" s="181">
        <v>138564507.13468954</v>
      </c>
    </row>
    <row r="668" spans="1:22">
      <c r="A668" s="2" t="s">
        <v>1354</v>
      </c>
      <c r="B668" s="2" t="s">
        <v>1355</v>
      </c>
      <c r="C668" s="181">
        <v>23.066479999999999</v>
      </c>
      <c r="D668" s="181">
        <v>2941.9295999999995</v>
      </c>
      <c r="E668" s="181">
        <v>201.67599999999999</v>
      </c>
      <c r="F668" s="181">
        <v>140.46199999999999</v>
      </c>
      <c r="G668" s="181">
        <v>6.9850000000000003</v>
      </c>
      <c r="H668" s="181">
        <v>11.176</v>
      </c>
      <c r="I668" s="181">
        <v>0</v>
      </c>
      <c r="J668" s="181">
        <v>17.399000000000001</v>
      </c>
      <c r="K668" s="181">
        <v>0</v>
      </c>
      <c r="L668" s="181">
        <v>25.8</v>
      </c>
      <c r="M668" s="181">
        <v>11446364.203999998</v>
      </c>
      <c r="N668" s="181">
        <v>135521.01927999998</v>
      </c>
      <c r="O668" s="181">
        <v>76035.976959999985</v>
      </c>
      <c r="P668" s="181">
        <v>62.230000000000004</v>
      </c>
      <c r="Q668" s="181">
        <v>2580634.8387199999</v>
      </c>
      <c r="R668" s="181">
        <v>57518.594639999988</v>
      </c>
      <c r="S668" s="181">
        <v>36707.023359999999</v>
      </c>
      <c r="T668" s="181">
        <v>29.717999999999996</v>
      </c>
      <c r="U668" s="181">
        <v>95733.227887999994</v>
      </c>
      <c r="V668" s="181">
        <v>98284127.153675124</v>
      </c>
    </row>
    <row r="669" spans="1:22">
      <c r="A669" s="2" t="s">
        <v>1356</v>
      </c>
      <c r="B669" s="2" t="s">
        <v>1357</v>
      </c>
      <c r="C669" s="181">
        <v>19.346080000000001</v>
      </c>
      <c r="D669" s="181">
        <v>2477.4143999999997</v>
      </c>
      <c r="E669" s="181">
        <v>199.39</v>
      </c>
      <c r="F669" s="181">
        <v>139.69999999999999</v>
      </c>
      <c r="G669" s="181">
        <v>6.35</v>
      </c>
      <c r="H669" s="181">
        <v>8.7629999999999981</v>
      </c>
      <c r="I669" s="181">
        <v>0</v>
      </c>
      <c r="J669" s="181">
        <v>18.224499999999999</v>
      </c>
      <c r="K669" s="181">
        <v>0</v>
      </c>
      <c r="L669" s="181">
        <v>28.4</v>
      </c>
      <c r="M669" s="181">
        <v>9781438.5015999991</v>
      </c>
      <c r="N669" s="181">
        <v>120608.79104</v>
      </c>
      <c r="O669" s="181">
        <v>67023.091759999996</v>
      </c>
      <c r="P669" s="181">
        <v>62.738</v>
      </c>
      <c r="Q669" s="181">
        <v>1993748.5286239998</v>
      </c>
      <c r="R669" s="181">
        <v>44736.684719999997</v>
      </c>
      <c r="S669" s="181">
        <v>28513.491359999996</v>
      </c>
      <c r="T669" s="181">
        <v>28.448</v>
      </c>
      <c r="U669" s="181">
        <v>54110.085327999994</v>
      </c>
      <c r="V669" s="181">
        <v>65254215.569243319</v>
      </c>
    </row>
    <row r="670" spans="1:22">
      <c r="A670" s="2" t="s">
        <v>1358</v>
      </c>
      <c r="B670" s="2" t="s">
        <v>1359</v>
      </c>
      <c r="C670" s="181">
        <v>601.21663999999998</v>
      </c>
      <c r="D670" s="181">
        <v>76774.039999999994</v>
      </c>
      <c r="E670" s="181">
        <v>289.56</v>
      </c>
      <c r="F670" s="181">
        <v>472.44</v>
      </c>
      <c r="G670" s="181">
        <v>94.995999999999995</v>
      </c>
      <c r="H670" s="181">
        <v>130.048</v>
      </c>
      <c r="I670" s="181">
        <v>0</v>
      </c>
      <c r="J670" s="181">
        <v>33.464499999999987</v>
      </c>
      <c r="K670" s="181">
        <v>0</v>
      </c>
      <c r="L670" s="181">
        <v>1.52</v>
      </c>
      <c r="M670" s="181">
        <v>375024514.46559995</v>
      </c>
      <c r="N670" s="181">
        <v>4080378.9359999998</v>
      </c>
      <c r="O670" s="181">
        <v>1917286.4879999999</v>
      </c>
      <c r="P670" s="181">
        <v>70.103999999999985</v>
      </c>
      <c r="Q670" s="181">
        <v>1148798734.6559999</v>
      </c>
      <c r="R670" s="181">
        <v>7587210.6319999993</v>
      </c>
      <c r="S670" s="181">
        <v>4866958.0079999994</v>
      </c>
      <c r="T670" s="181">
        <v>122.428</v>
      </c>
      <c r="U670" s="181">
        <v>373359588.76319999</v>
      </c>
      <c r="V670" s="181">
        <v>1871694989784.469</v>
      </c>
    </row>
    <row r="671" spans="1:22">
      <c r="A671" s="2" t="s">
        <v>1360</v>
      </c>
      <c r="B671" s="2" t="s">
        <v>1361</v>
      </c>
      <c r="C671" s="181">
        <v>543.17840000000001</v>
      </c>
      <c r="D671" s="181">
        <v>69032.12</v>
      </c>
      <c r="E671" s="181">
        <v>284.47999999999996</v>
      </c>
      <c r="F671" s="181">
        <v>454.65999999999991</v>
      </c>
      <c r="G671" s="181">
        <v>77.977999999999994</v>
      </c>
      <c r="H671" s="181">
        <v>124.714</v>
      </c>
      <c r="I671" s="181">
        <v>0</v>
      </c>
      <c r="J671" s="181">
        <v>32.448499999999996</v>
      </c>
      <c r="K671" s="181">
        <v>0</v>
      </c>
      <c r="L671" s="181">
        <v>1.86</v>
      </c>
      <c r="M671" s="181">
        <v>307595023.51839995</v>
      </c>
      <c r="N671" s="181">
        <v>3457670.5039999997</v>
      </c>
      <c r="O671" s="181">
        <v>1563325.9055999999</v>
      </c>
      <c r="P671" s="181">
        <v>66.548000000000002</v>
      </c>
      <c r="Q671" s="181">
        <v>982306164.41599989</v>
      </c>
      <c r="R671" s="181">
        <v>6685922.1119999997</v>
      </c>
      <c r="S671" s="181">
        <v>4326184.8959999997</v>
      </c>
      <c r="T671" s="181">
        <v>119.126</v>
      </c>
      <c r="U671" s="181">
        <v>297189237.87839997</v>
      </c>
      <c r="V671" s="181">
        <v>1409813299335.5039</v>
      </c>
    </row>
    <row r="672" spans="1:22">
      <c r="A672" s="2" t="s">
        <v>1362</v>
      </c>
      <c r="B672" s="2" t="s">
        <v>1363</v>
      </c>
      <c r="C672" s="181">
        <v>494.81319999999999</v>
      </c>
      <c r="D672" s="181">
        <v>63096.647999999994</v>
      </c>
      <c r="E672" s="181">
        <v>274.32</v>
      </c>
      <c r="F672" s="181">
        <v>449.58</v>
      </c>
      <c r="G672" s="181">
        <v>71.881999999999991</v>
      </c>
      <c r="H672" s="181">
        <v>114.80799999999998</v>
      </c>
      <c r="I672" s="181">
        <v>0</v>
      </c>
      <c r="J672" s="181">
        <v>32.82950000000001</v>
      </c>
      <c r="K672" s="181">
        <v>0</v>
      </c>
      <c r="L672" s="181">
        <v>2.0099999999999998</v>
      </c>
      <c r="M672" s="181">
        <v>258895946.72319996</v>
      </c>
      <c r="N672" s="181">
        <v>2982445.6479999996</v>
      </c>
      <c r="O672" s="181">
        <v>1345377.9543999997</v>
      </c>
      <c r="P672" s="181">
        <v>64.007999999999996</v>
      </c>
      <c r="Q672" s="181">
        <v>865761365.24799991</v>
      </c>
      <c r="R672" s="181">
        <v>5981278.3599999994</v>
      </c>
      <c r="S672" s="181">
        <v>3867347.1039999998</v>
      </c>
      <c r="T672" s="181">
        <v>117.348</v>
      </c>
      <c r="U672" s="181">
        <v>231008441.20799997</v>
      </c>
      <c r="V672" s="181">
        <v>1052660596837.1763</v>
      </c>
    </row>
    <row r="673" spans="1:22">
      <c r="A673" s="2" t="s">
        <v>1364</v>
      </c>
      <c r="B673" s="2" t="s">
        <v>1365</v>
      </c>
      <c r="C673" s="181">
        <v>450.16839999999996</v>
      </c>
      <c r="D673" s="181">
        <v>57354.724000000002</v>
      </c>
      <c r="E673" s="181">
        <v>266.7</v>
      </c>
      <c r="F673" s="181">
        <v>441.95999999999992</v>
      </c>
      <c r="G673" s="181">
        <v>66.039999999999992</v>
      </c>
      <c r="H673" s="181">
        <v>105.664</v>
      </c>
      <c r="I673" s="181">
        <v>0</v>
      </c>
      <c r="J673" s="181">
        <v>32.448499999999981</v>
      </c>
      <c r="K673" s="181">
        <v>0</v>
      </c>
      <c r="L673" s="181">
        <v>2.2000000000000002</v>
      </c>
      <c r="M673" s="181">
        <v>218105267.01439998</v>
      </c>
      <c r="N673" s="181">
        <v>2572769.048</v>
      </c>
      <c r="O673" s="181">
        <v>1156926.7183999999</v>
      </c>
      <c r="P673" s="181">
        <v>61.722000000000001</v>
      </c>
      <c r="Q673" s="181">
        <v>765865823.10399997</v>
      </c>
      <c r="R673" s="181">
        <v>5342182.8639999991</v>
      </c>
      <c r="S673" s="181">
        <v>3457670.5039999997</v>
      </c>
      <c r="T673" s="181">
        <v>115.57</v>
      </c>
      <c r="U673" s="181">
        <v>178979513.00799999</v>
      </c>
      <c r="V673" s="181">
        <v>786810088962.4812</v>
      </c>
    </row>
    <row r="674" spans="1:22">
      <c r="A674" s="2" t="s">
        <v>1366</v>
      </c>
      <c r="B674" s="2" t="s">
        <v>1367</v>
      </c>
      <c r="C674" s="181">
        <v>409.24399999999997</v>
      </c>
      <c r="D674" s="181">
        <v>52193.444000000003</v>
      </c>
      <c r="E674" s="181">
        <v>256.53999999999996</v>
      </c>
      <c r="F674" s="181">
        <v>436.87999999999994</v>
      </c>
      <c r="G674" s="181">
        <v>60.451999999999991</v>
      </c>
      <c r="H674" s="181">
        <v>97.027999999999992</v>
      </c>
      <c r="I674" s="181">
        <v>0</v>
      </c>
      <c r="J674" s="181">
        <v>33.146999999999991</v>
      </c>
      <c r="K674" s="181">
        <v>0</v>
      </c>
      <c r="L674" s="181">
        <v>2.4</v>
      </c>
      <c r="M674" s="181">
        <v>183974290.11519998</v>
      </c>
      <c r="N674" s="181">
        <v>2228640.7039999999</v>
      </c>
      <c r="O674" s="181">
        <v>997972.19759999984</v>
      </c>
      <c r="P674" s="181">
        <v>59.435999999999993</v>
      </c>
      <c r="Q674" s="181">
        <v>678457223.72799993</v>
      </c>
      <c r="R674" s="181">
        <v>4785022.6879999992</v>
      </c>
      <c r="S674" s="181">
        <v>3097155.0959999999</v>
      </c>
      <c r="T674" s="181">
        <v>114.04599999999999</v>
      </c>
      <c r="U674" s="181">
        <v>137772601.87359998</v>
      </c>
      <c r="V674" s="181">
        <v>585408189057.4093</v>
      </c>
    </row>
    <row r="675" spans="1:22">
      <c r="A675" s="2" t="s">
        <v>1368</v>
      </c>
      <c r="B675" s="2" t="s">
        <v>1369</v>
      </c>
      <c r="C675" s="181">
        <v>372.03999999999996</v>
      </c>
      <c r="D675" s="181">
        <v>47419.259999999995</v>
      </c>
      <c r="E675" s="181">
        <v>248.92000000000002</v>
      </c>
      <c r="F675" s="181">
        <v>431.79999999999995</v>
      </c>
      <c r="G675" s="181">
        <v>55.625999999999998</v>
      </c>
      <c r="H675" s="181">
        <v>88.899999999999991</v>
      </c>
      <c r="I675" s="181">
        <v>0</v>
      </c>
      <c r="J675" s="181">
        <v>33.337500000000006</v>
      </c>
      <c r="K675" s="181">
        <v>0</v>
      </c>
      <c r="L675" s="181">
        <v>2.6</v>
      </c>
      <c r="M675" s="181">
        <v>156086784.59999999</v>
      </c>
      <c r="N675" s="181">
        <v>1917286.4879999999</v>
      </c>
      <c r="O675" s="181">
        <v>863598.27279999992</v>
      </c>
      <c r="P675" s="181">
        <v>57.403999999999989</v>
      </c>
      <c r="Q675" s="181">
        <v>599373252.86399996</v>
      </c>
      <c r="R675" s="181">
        <v>4277023.7039999999</v>
      </c>
      <c r="S675" s="181">
        <v>2769413.8159999996</v>
      </c>
      <c r="T675" s="181">
        <v>112.52199999999999</v>
      </c>
      <c r="U675" s="181">
        <v>105722782.10239999</v>
      </c>
      <c r="V675" s="181">
        <v>435028103794.95551</v>
      </c>
    </row>
    <row r="676" spans="1:22">
      <c r="A676" s="2" t="s">
        <v>1370</v>
      </c>
      <c r="B676" s="2" t="s">
        <v>1371</v>
      </c>
      <c r="C676" s="181">
        <v>338.5564</v>
      </c>
      <c r="D676" s="181">
        <v>43161.203999999998</v>
      </c>
      <c r="E676" s="181">
        <v>241.55399999999997</v>
      </c>
      <c r="F676" s="181">
        <v>426.71999999999997</v>
      </c>
      <c r="G676" s="181">
        <v>51.308</v>
      </c>
      <c r="H676" s="181">
        <v>81.533999999999992</v>
      </c>
      <c r="I676" s="181">
        <v>0</v>
      </c>
      <c r="J676" s="181">
        <v>32.766000000000005</v>
      </c>
      <c r="K676" s="181">
        <v>0</v>
      </c>
      <c r="L676" s="181">
        <v>2.83</v>
      </c>
      <c r="M676" s="181">
        <v>133610287.61759999</v>
      </c>
      <c r="N676" s="181">
        <v>1671480.5279999999</v>
      </c>
      <c r="O676" s="181">
        <v>752166.23759999988</v>
      </c>
      <c r="P676" s="181">
        <v>55.625999999999998</v>
      </c>
      <c r="Q676" s="181">
        <v>532776224.76799995</v>
      </c>
      <c r="R676" s="181">
        <v>3834572.9759999998</v>
      </c>
      <c r="S676" s="181">
        <v>2490833.7279999997</v>
      </c>
      <c r="T676" s="181">
        <v>111.252</v>
      </c>
      <c r="U676" s="181">
        <v>81581359.417599991</v>
      </c>
      <c r="V676" s="181">
        <v>324928398513.51611</v>
      </c>
    </row>
    <row r="677" spans="1:22">
      <c r="A677" s="2" t="s">
        <v>1372</v>
      </c>
      <c r="B677" s="2" t="s">
        <v>1373</v>
      </c>
      <c r="C677" s="181">
        <v>316.97807999999998</v>
      </c>
      <c r="D677" s="181">
        <v>40387.015999999996</v>
      </c>
      <c r="E677" s="181">
        <v>237.23599999999999</v>
      </c>
      <c r="F677" s="181">
        <v>424.17999999999995</v>
      </c>
      <c r="G677" s="181">
        <v>47.751999999999995</v>
      </c>
      <c r="H677" s="181">
        <v>77.215999999999994</v>
      </c>
      <c r="I677" s="181">
        <v>0</v>
      </c>
      <c r="J677" s="181">
        <v>32.3215</v>
      </c>
      <c r="K677" s="181">
        <v>0</v>
      </c>
      <c r="L677" s="181">
        <v>3.04</v>
      </c>
      <c r="M677" s="181">
        <v>119458419.14719999</v>
      </c>
      <c r="N677" s="181">
        <v>1502693.7688</v>
      </c>
      <c r="O677" s="181">
        <v>678424.44959999993</v>
      </c>
      <c r="P677" s="181">
        <v>54.356000000000002</v>
      </c>
      <c r="Q677" s="181">
        <v>491153082.20799994</v>
      </c>
      <c r="R677" s="181">
        <v>3555992.8879999998</v>
      </c>
      <c r="S677" s="181">
        <v>2310576.0239999997</v>
      </c>
      <c r="T677" s="181">
        <v>110.23599999999999</v>
      </c>
      <c r="U677" s="181">
        <v>68261953.7984</v>
      </c>
      <c r="V677" s="181">
        <v>266119043741.23511</v>
      </c>
    </row>
    <row r="678" spans="1:22">
      <c r="A678" s="2" t="s">
        <v>1374</v>
      </c>
      <c r="B678" s="2" t="s">
        <v>1375</v>
      </c>
      <c r="C678" s="181">
        <v>296.14384000000001</v>
      </c>
      <c r="D678" s="181">
        <v>37741.86</v>
      </c>
      <c r="E678" s="181">
        <v>232.41</v>
      </c>
      <c r="F678" s="181">
        <v>421.64</v>
      </c>
      <c r="G678" s="181">
        <v>44.957999999999998</v>
      </c>
      <c r="H678" s="181">
        <v>72.39</v>
      </c>
      <c r="I678" s="181">
        <v>0</v>
      </c>
      <c r="J678" s="181">
        <v>32.384999999999991</v>
      </c>
      <c r="K678" s="181">
        <v>0</v>
      </c>
      <c r="L678" s="181">
        <v>3.22</v>
      </c>
      <c r="M678" s="181">
        <v>106971476.3792</v>
      </c>
      <c r="N678" s="181">
        <v>1358487.6055999999</v>
      </c>
      <c r="O678" s="181">
        <v>616153.60639999993</v>
      </c>
      <c r="P678" s="181">
        <v>53.339999999999996</v>
      </c>
      <c r="Q678" s="181">
        <v>453692253.90399998</v>
      </c>
      <c r="R678" s="181">
        <v>3293799.8639999996</v>
      </c>
      <c r="S678" s="181">
        <v>2146705.3839999996</v>
      </c>
      <c r="T678" s="181">
        <v>109.47399999999999</v>
      </c>
      <c r="U678" s="181">
        <v>56191242.455999993</v>
      </c>
      <c r="V678" s="181">
        <v>215097229098.61688</v>
      </c>
    </row>
    <row r="679" spans="1:22">
      <c r="A679" s="2" t="s">
        <v>1376</v>
      </c>
      <c r="B679" s="2" t="s">
        <v>1377</v>
      </c>
      <c r="C679" s="181">
        <v>275.30959999999999</v>
      </c>
      <c r="D679" s="181">
        <v>35096.703999999998</v>
      </c>
      <c r="E679" s="181">
        <v>227.584</v>
      </c>
      <c r="F679" s="181">
        <v>419.09999999999997</v>
      </c>
      <c r="G679" s="181">
        <v>42.163999999999994</v>
      </c>
      <c r="H679" s="181">
        <v>67.563999999999993</v>
      </c>
      <c r="I679" s="181">
        <v>0</v>
      </c>
      <c r="J679" s="181">
        <v>32.448499999999996</v>
      </c>
      <c r="K679" s="181">
        <v>0</v>
      </c>
      <c r="L679" s="181">
        <v>3.45</v>
      </c>
      <c r="M679" s="181">
        <v>95316996.462399989</v>
      </c>
      <c r="N679" s="181">
        <v>1219197.5615999999</v>
      </c>
      <c r="O679" s="181">
        <v>555521.46959999995</v>
      </c>
      <c r="P679" s="181">
        <v>52.069999999999993</v>
      </c>
      <c r="Q679" s="181">
        <v>413734037.04639995</v>
      </c>
      <c r="R679" s="181">
        <v>3031606.84</v>
      </c>
      <c r="S679" s="181">
        <v>1982834.7439999997</v>
      </c>
      <c r="T679" s="181">
        <v>108.45799999999998</v>
      </c>
      <c r="U679" s="181">
        <v>45785456.815999992</v>
      </c>
      <c r="V679" s="181">
        <v>171862954585.66144</v>
      </c>
    </row>
    <row r="680" spans="1:22">
      <c r="A680" s="2" t="s">
        <v>1378</v>
      </c>
      <c r="B680" s="2" t="s">
        <v>1379</v>
      </c>
      <c r="C680" s="181">
        <v>254.47535999999999</v>
      </c>
      <c r="D680" s="181">
        <v>32451.547999999995</v>
      </c>
      <c r="E680" s="181">
        <v>222.75799999999998</v>
      </c>
      <c r="F680" s="181">
        <v>416.55999999999995</v>
      </c>
      <c r="G680" s="181">
        <v>39.116</v>
      </c>
      <c r="H680" s="181">
        <v>62.738</v>
      </c>
      <c r="I680" s="181">
        <v>0</v>
      </c>
      <c r="J680" s="181">
        <v>32.512</v>
      </c>
      <c r="K680" s="181">
        <v>0</v>
      </c>
      <c r="L680" s="181">
        <v>3.7</v>
      </c>
      <c r="M680" s="181">
        <v>84494979.396799996</v>
      </c>
      <c r="N680" s="181">
        <v>1084823.6368</v>
      </c>
      <c r="O680" s="181">
        <v>498166.74559999991</v>
      </c>
      <c r="P680" s="181">
        <v>51.053999999999995</v>
      </c>
      <c r="Q680" s="181">
        <v>375856977.31679994</v>
      </c>
      <c r="R680" s="181">
        <v>2769413.8159999996</v>
      </c>
      <c r="S680" s="181">
        <v>1802577.0399999998</v>
      </c>
      <c r="T680" s="181">
        <v>107.696</v>
      </c>
      <c r="U680" s="181">
        <v>36753234.880479999</v>
      </c>
      <c r="V680" s="181">
        <v>134805005003.12819</v>
      </c>
    </row>
    <row r="681" spans="1:22">
      <c r="A681" s="2" t="s">
        <v>1380</v>
      </c>
      <c r="B681" s="2" t="s">
        <v>1381</v>
      </c>
      <c r="C681" s="181">
        <v>231.40887999999998</v>
      </c>
      <c r="D681" s="181">
        <v>29483.812000000002</v>
      </c>
      <c r="E681" s="181">
        <v>217.42400000000001</v>
      </c>
      <c r="F681" s="181">
        <v>411.47999999999996</v>
      </c>
      <c r="G681" s="181">
        <v>35.813999999999993</v>
      </c>
      <c r="H681" s="181">
        <v>57.403999999999989</v>
      </c>
      <c r="I681" s="181">
        <v>0</v>
      </c>
      <c r="J681" s="181">
        <v>33.083500000000008</v>
      </c>
      <c r="K681" s="181">
        <v>0</v>
      </c>
      <c r="L681" s="181">
        <v>4.04</v>
      </c>
      <c r="M681" s="181">
        <v>73256730.905599996</v>
      </c>
      <c r="N681" s="181">
        <v>945533.59279999998</v>
      </c>
      <c r="O681" s="181">
        <v>437534.60879999993</v>
      </c>
      <c r="P681" s="181">
        <v>49.783999999999999</v>
      </c>
      <c r="Q681" s="181">
        <v>335898760.45919997</v>
      </c>
      <c r="R681" s="181">
        <v>2490833.7279999997</v>
      </c>
      <c r="S681" s="181">
        <v>1628874.1616</v>
      </c>
      <c r="T681" s="181">
        <v>106.67999999999999</v>
      </c>
      <c r="U681" s="181">
        <v>28095621.227999996</v>
      </c>
      <c r="V681" s="181">
        <v>100700949952.536</v>
      </c>
    </row>
    <row r="682" spans="1:22">
      <c r="A682" s="2" t="s">
        <v>1382</v>
      </c>
      <c r="B682" s="2" t="s">
        <v>1383</v>
      </c>
      <c r="C682" s="181">
        <v>210.57463999999999</v>
      </c>
      <c r="D682" s="181">
        <v>26838.655999999999</v>
      </c>
      <c r="E682" s="181">
        <v>212.59799999999996</v>
      </c>
      <c r="F682" s="181">
        <v>408.94</v>
      </c>
      <c r="G682" s="181">
        <v>32.765999999999998</v>
      </c>
      <c r="H682" s="181">
        <v>52.577999999999996</v>
      </c>
      <c r="I682" s="181">
        <v>0</v>
      </c>
      <c r="J682" s="181">
        <v>33.146999999999998</v>
      </c>
      <c r="K682" s="181">
        <v>0</v>
      </c>
      <c r="L682" s="181">
        <v>4.42</v>
      </c>
      <c r="M682" s="181">
        <v>63683408.116799995</v>
      </c>
      <c r="N682" s="181">
        <v>825908.02559999994</v>
      </c>
      <c r="O682" s="181">
        <v>385096.00399999996</v>
      </c>
      <c r="P682" s="181">
        <v>48.767999999999994</v>
      </c>
      <c r="Q682" s="181">
        <v>300519089.28319997</v>
      </c>
      <c r="R682" s="181">
        <v>2245027.7679999997</v>
      </c>
      <c r="S682" s="181">
        <v>1469919.6407999999</v>
      </c>
      <c r="T682" s="181">
        <v>105.91799999999999</v>
      </c>
      <c r="U682" s="181">
        <v>21560787.846079998</v>
      </c>
      <c r="V682" s="181">
        <v>75458578497.766968</v>
      </c>
    </row>
    <row r="683" spans="1:22">
      <c r="A683" s="2" t="s">
        <v>1384</v>
      </c>
      <c r="B683" s="2" t="s">
        <v>1385</v>
      </c>
      <c r="C683" s="181">
        <v>191.22855999999999</v>
      </c>
      <c r="D683" s="181">
        <v>24387.047999999995</v>
      </c>
      <c r="E683" s="181">
        <v>208.02599999999998</v>
      </c>
      <c r="F683" s="181">
        <v>406.4</v>
      </c>
      <c r="G683" s="181">
        <v>29.971999999999998</v>
      </c>
      <c r="H683" s="181">
        <v>48.005999999999993</v>
      </c>
      <c r="I683" s="181">
        <v>0</v>
      </c>
      <c r="J683" s="181">
        <v>32.956499999999998</v>
      </c>
      <c r="K683" s="181">
        <v>0</v>
      </c>
      <c r="L683" s="181">
        <v>4.8499999999999996</v>
      </c>
      <c r="M683" s="181">
        <v>55358779.604799993</v>
      </c>
      <c r="N683" s="181">
        <v>719392.10959999997</v>
      </c>
      <c r="O683" s="181">
        <v>339212.22479999997</v>
      </c>
      <c r="P683" s="181">
        <v>47.751999999999995</v>
      </c>
      <c r="Q683" s="181">
        <v>268469269.51199996</v>
      </c>
      <c r="R683" s="181">
        <v>2015608.8719999997</v>
      </c>
      <c r="S683" s="181">
        <v>1322436.0647999998</v>
      </c>
      <c r="T683" s="181">
        <v>104.90199999999999</v>
      </c>
      <c r="U683" s="181">
        <v>16357895.026079997</v>
      </c>
      <c r="V683" s="181">
        <v>56123996106.880058</v>
      </c>
    </row>
    <row r="684" spans="1:22">
      <c r="A684" s="2" t="s">
        <v>1386</v>
      </c>
      <c r="B684" s="2" t="s">
        <v>1387</v>
      </c>
      <c r="C684" s="181">
        <v>173.37063999999998</v>
      </c>
      <c r="D684" s="181">
        <v>22064.472000000002</v>
      </c>
      <c r="E684" s="181">
        <v>203.70799999999997</v>
      </c>
      <c r="F684" s="181">
        <v>403.86</v>
      </c>
      <c r="G684" s="181">
        <v>27.178000000000001</v>
      </c>
      <c r="H684" s="181">
        <v>43.687999999999995</v>
      </c>
      <c r="I684" s="181">
        <v>0</v>
      </c>
      <c r="J684" s="181">
        <v>32.511999999999993</v>
      </c>
      <c r="K684" s="181">
        <v>0</v>
      </c>
      <c r="L684" s="181">
        <v>5.33</v>
      </c>
      <c r="M684" s="181">
        <v>48282845.369599998</v>
      </c>
      <c r="N684" s="181">
        <v>625985.84479999996</v>
      </c>
      <c r="O684" s="181">
        <v>298244.56479999993</v>
      </c>
      <c r="P684" s="181">
        <v>46.735999999999997</v>
      </c>
      <c r="Q684" s="181">
        <v>239749301.14559996</v>
      </c>
      <c r="R684" s="181">
        <v>1802577.0399999998</v>
      </c>
      <c r="S684" s="181">
        <v>1188062.1399999999</v>
      </c>
      <c r="T684" s="181">
        <v>104.13999999999999</v>
      </c>
      <c r="U684" s="181">
        <v>12320450.197759999</v>
      </c>
      <c r="V684" s="181">
        <v>41354523447.174782</v>
      </c>
    </row>
    <row r="685" spans="1:22">
      <c r="A685" s="2" t="s">
        <v>1388</v>
      </c>
      <c r="B685" s="2" t="s">
        <v>1389</v>
      </c>
      <c r="C685" s="181">
        <v>157.00088</v>
      </c>
      <c r="D685" s="181">
        <v>19999.96</v>
      </c>
      <c r="E685" s="181">
        <v>199.64400000000001</v>
      </c>
      <c r="F685" s="181">
        <v>401.32</v>
      </c>
      <c r="G685" s="181">
        <v>24.891999999999999</v>
      </c>
      <c r="H685" s="181">
        <v>39.624000000000002</v>
      </c>
      <c r="I685" s="181">
        <v>0</v>
      </c>
      <c r="J685" s="181">
        <v>33.400999999999989</v>
      </c>
      <c r="K685" s="181">
        <v>0</v>
      </c>
      <c r="L685" s="181">
        <v>5.82</v>
      </c>
      <c r="M685" s="181">
        <v>42455605.411199994</v>
      </c>
      <c r="N685" s="181">
        <v>547327.93759999995</v>
      </c>
      <c r="O685" s="181">
        <v>265470.43679999997</v>
      </c>
      <c r="P685" s="181">
        <v>45.973999999999997</v>
      </c>
      <c r="Q685" s="181">
        <v>213526721.33279997</v>
      </c>
      <c r="R685" s="181">
        <v>1620680.6295999999</v>
      </c>
      <c r="S685" s="181">
        <v>1065159.1599999999</v>
      </c>
      <c r="T685" s="181">
        <v>103.378</v>
      </c>
      <c r="U685" s="181">
        <v>9240337.6483199988</v>
      </c>
      <c r="V685" s="181">
        <v>30344552919.030846</v>
      </c>
    </row>
    <row r="686" spans="1:22">
      <c r="A686" s="2" t="s">
        <v>1390</v>
      </c>
      <c r="B686" s="2" t="s">
        <v>1391</v>
      </c>
      <c r="C686" s="181">
        <v>143.60744</v>
      </c>
      <c r="D686" s="181">
        <v>18322.543999999998</v>
      </c>
      <c r="E686" s="181">
        <v>196.596</v>
      </c>
      <c r="F686" s="181">
        <v>398.78</v>
      </c>
      <c r="G686" s="181">
        <v>22.605999999999998</v>
      </c>
      <c r="H686" s="181">
        <v>36.575999999999993</v>
      </c>
      <c r="I686" s="181">
        <v>0</v>
      </c>
      <c r="J686" s="181">
        <v>33.274000000000001</v>
      </c>
      <c r="K686" s="181">
        <v>0</v>
      </c>
      <c r="L686" s="181">
        <v>6.41</v>
      </c>
      <c r="M686" s="181">
        <v>37377582.018879995</v>
      </c>
      <c r="N686" s="181">
        <v>481779.68159999995</v>
      </c>
      <c r="O686" s="181">
        <v>235973.72159999999</v>
      </c>
      <c r="P686" s="181">
        <v>45.211999999999996</v>
      </c>
      <c r="Q686" s="181">
        <v>193963844.32959998</v>
      </c>
      <c r="R686" s="181">
        <v>1476474.4663999998</v>
      </c>
      <c r="S686" s="181">
        <v>971752.89519999991</v>
      </c>
      <c r="T686" s="181">
        <v>102.86999999999999</v>
      </c>
      <c r="U686" s="181">
        <v>7200803.6628799997</v>
      </c>
      <c r="V686" s="181">
        <v>23416327562.296371</v>
      </c>
    </row>
    <row r="687" spans="1:22">
      <c r="A687" s="2" t="s">
        <v>1392</v>
      </c>
      <c r="B687" s="2" t="s">
        <v>1393</v>
      </c>
      <c r="C687" s="181">
        <v>130.95808</v>
      </c>
      <c r="D687" s="181">
        <v>16709.643999999997</v>
      </c>
      <c r="E687" s="181">
        <v>193.29400000000001</v>
      </c>
      <c r="F687" s="181">
        <v>398.78</v>
      </c>
      <c r="G687" s="181">
        <v>21.081999999999997</v>
      </c>
      <c r="H687" s="181">
        <v>33.274000000000001</v>
      </c>
      <c r="I687" s="181">
        <v>0</v>
      </c>
      <c r="J687" s="181">
        <v>33.400999999999996</v>
      </c>
      <c r="K687" s="181">
        <v>0</v>
      </c>
      <c r="L687" s="181">
        <v>6.87</v>
      </c>
      <c r="M687" s="181">
        <v>33506629.760799997</v>
      </c>
      <c r="N687" s="181">
        <v>430979.78319999995</v>
      </c>
      <c r="O687" s="181">
        <v>213031.83199999999</v>
      </c>
      <c r="P687" s="181">
        <v>44.704000000000001</v>
      </c>
      <c r="Q687" s="181">
        <v>174400967.32639998</v>
      </c>
      <c r="R687" s="181">
        <v>1332268.3031999997</v>
      </c>
      <c r="S687" s="181">
        <v>876707.92399999988</v>
      </c>
      <c r="T687" s="181">
        <v>102.10799999999999</v>
      </c>
      <c r="U687" s="181">
        <v>5494254.8179199994</v>
      </c>
      <c r="V687" s="181">
        <v>17508538498.414261</v>
      </c>
    </row>
    <row r="688" spans="1:22">
      <c r="A688" s="2" t="s">
        <v>1394</v>
      </c>
      <c r="B688" s="2" t="s">
        <v>1395</v>
      </c>
      <c r="C688" s="181">
        <v>118.30871999999999</v>
      </c>
      <c r="D688" s="181">
        <v>15096.743999999999</v>
      </c>
      <c r="E688" s="181">
        <v>190.24599999999998</v>
      </c>
      <c r="F688" s="181">
        <v>396.23999999999995</v>
      </c>
      <c r="G688" s="181">
        <v>18.922999999999998</v>
      </c>
      <c r="H688" s="181">
        <v>30.225999999999996</v>
      </c>
      <c r="I688" s="181">
        <v>0</v>
      </c>
      <c r="J688" s="181">
        <v>33.274000000000001</v>
      </c>
      <c r="K688" s="181">
        <v>0</v>
      </c>
      <c r="L688" s="181">
        <v>7.65</v>
      </c>
      <c r="M688" s="181">
        <v>29219446.077119999</v>
      </c>
      <c r="N688" s="181">
        <v>373625.05919999996</v>
      </c>
      <c r="O688" s="181">
        <v>186812.52959999998</v>
      </c>
      <c r="P688" s="181">
        <v>43.942</v>
      </c>
      <c r="Q688" s="181">
        <v>155670553.17439997</v>
      </c>
      <c r="R688" s="181">
        <v>1196255.6719999998</v>
      </c>
      <c r="S688" s="181">
        <v>788217.77839999995</v>
      </c>
      <c r="T688" s="181">
        <v>101.6</v>
      </c>
      <c r="U688" s="181">
        <v>4095717.2279039994</v>
      </c>
      <c r="V688" s="181">
        <v>12862868007.270597</v>
      </c>
    </row>
    <row r="689" spans="1:22">
      <c r="A689" s="2" t="s">
        <v>1396</v>
      </c>
      <c r="B689" s="2" t="s">
        <v>1397</v>
      </c>
      <c r="C689" s="181">
        <v>107.8916</v>
      </c>
      <c r="D689" s="181">
        <v>13741.907999999999</v>
      </c>
      <c r="E689" s="181">
        <v>187.70599999999999</v>
      </c>
      <c r="F689" s="181">
        <v>393.7</v>
      </c>
      <c r="G689" s="181">
        <v>17.272000000000002</v>
      </c>
      <c r="H689" s="181">
        <v>27.686</v>
      </c>
      <c r="I689" s="181">
        <v>0</v>
      </c>
      <c r="J689" s="181">
        <v>32.638999999999996</v>
      </c>
      <c r="K689" s="181">
        <v>0</v>
      </c>
      <c r="L689" s="181">
        <v>8.39</v>
      </c>
      <c r="M689" s="181">
        <v>26014464.099999998</v>
      </c>
      <c r="N689" s="181">
        <v>331018.69279999996</v>
      </c>
      <c r="O689" s="181">
        <v>167148.05279999998</v>
      </c>
      <c r="P689" s="181">
        <v>43.433999999999997</v>
      </c>
      <c r="Q689" s="181">
        <v>140686221.85279998</v>
      </c>
      <c r="R689" s="181">
        <v>1084823.6368</v>
      </c>
      <c r="S689" s="181">
        <v>716114.69680000003</v>
      </c>
      <c r="T689" s="181">
        <v>101.092</v>
      </c>
      <c r="U689" s="181">
        <v>3146709.5775359995</v>
      </c>
      <c r="V689" s="181">
        <v>9747851955.4054832</v>
      </c>
    </row>
    <row r="690" spans="1:22">
      <c r="A690" s="2" t="s">
        <v>1398</v>
      </c>
      <c r="B690" s="2" t="s">
        <v>1399</v>
      </c>
      <c r="C690" s="181">
        <v>98.218559999999997</v>
      </c>
      <c r="D690" s="181">
        <v>12516.103999999999</v>
      </c>
      <c r="E690" s="181">
        <v>186.18199999999999</v>
      </c>
      <c r="F690" s="181">
        <v>373.37999999999994</v>
      </c>
      <c r="G690" s="181">
        <v>16.382999999999999</v>
      </c>
      <c r="H690" s="181">
        <v>26.161999999999999</v>
      </c>
      <c r="I690" s="181">
        <v>0</v>
      </c>
      <c r="J690" s="181">
        <v>32.575499999999998</v>
      </c>
      <c r="K690" s="181">
        <v>0</v>
      </c>
      <c r="L690" s="181">
        <v>8.84</v>
      </c>
      <c r="M690" s="181">
        <v>24058176.399679996</v>
      </c>
      <c r="N690" s="181">
        <v>304799.39039999997</v>
      </c>
      <c r="O690" s="181">
        <v>156824.20247999998</v>
      </c>
      <c r="P690" s="181">
        <v>43.942</v>
      </c>
      <c r="Q690" s="181">
        <v>114047410.61439998</v>
      </c>
      <c r="R690" s="181">
        <v>925869.11599999992</v>
      </c>
      <c r="S690" s="181">
        <v>609598.78079999995</v>
      </c>
      <c r="T690" s="181">
        <v>95.503999999999991</v>
      </c>
      <c r="U690" s="181">
        <v>2551498.6389279999</v>
      </c>
      <c r="V690" s="181">
        <v>7143054049.9665537</v>
      </c>
    </row>
    <row r="691" spans="1:22">
      <c r="A691" s="2" t="s">
        <v>1400</v>
      </c>
      <c r="B691" s="2" t="s">
        <v>1401</v>
      </c>
      <c r="C691" s="181">
        <v>89.289599999999993</v>
      </c>
      <c r="D691" s="181">
        <v>11419.331999999999</v>
      </c>
      <c r="E691" s="181">
        <v>183.89599999999999</v>
      </c>
      <c r="F691" s="181">
        <v>373.37999999999994</v>
      </c>
      <c r="G691" s="181">
        <v>14.985999999999999</v>
      </c>
      <c r="H691" s="181">
        <v>23.875999999999998</v>
      </c>
      <c r="I691" s="181">
        <v>0</v>
      </c>
      <c r="J691" s="181">
        <v>33.274000000000001</v>
      </c>
      <c r="K691" s="181">
        <v>0</v>
      </c>
      <c r="L691" s="181">
        <v>9.66</v>
      </c>
      <c r="M691" s="181">
        <v>21519164.70352</v>
      </c>
      <c r="N691" s="181">
        <v>270386.55599999998</v>
      </c>
      <c r="O691" s="181">
        <v>141092.62103999997</v>
      </c>
      <c r="P691" s="181">
        <v>43.433999999999997</v>
      </c>
      <c r="Q691" s="181">
        <v>102809162.12319998</v>
      </c>
      <c r="R691" s="181">
        <v>839017.67680000002</v>
      </c>
      <c r="S691" s="181">
        <v>552244.05680000002</v>
      </c>
      <c r="T691" s="181">
        <v>94.995999999999995</v>
      </c>
      <c r="U691" s="181">
        <v>1943800.7575519998</v>
      </c>
      <c r="V691" s="181">
        <v>5370717330.8019199</v>
      </c>
    </row>
    <row r="692" spans="1:22">
      <c r="A692" s="2" t="s">
        <v>1402</v>
      </c>
      <c r="B692" s="2" t="s">
        <v>1403</v>
      </c>
      <c r="C692" s="181">
        <v>81.10472</v>
      </c>
      <c r="D692" s="181">
        <v>10322.56</v>
      </c>
      <c r="E692" s="181">
        <v>181.864</v>
      </c>
      <c r="F692" s="181">
        <v>370.84</v>
      </c>
      <c r="G692" s="181">
        <v>13.334999999999999</v>
      </c>
      <c r="H692" s="181">
        <v>21.843999999999998</v>
      </c>
      <c r="I692" s="181">
        <v>0</v>
      </c>
      <c r="J692" s="181">
        <v>33.718500000000006</v>
      </c>
      <c r="K692" s="181">
        <v>0</v>
      </c>
      <c r="L692" s="181">
        <v>10.9</v>
      </c>
      <c r="M692" s="181">
        <v>18855283.579679996</v>
      </c>
      <c r="N692" s="181">
        <v>235973.72159999999</v>
      </c>
      <c r="O692" s="181">
        <v>123886.20383999999</v>
      </c>
      <c r="P692" s="181">
        <v>42.671999999999997</v>
      </c>
      <c r="Q692" s="181">
        <v>92819607.908799991</v>
      </c>
      <c r="R692" s="181">
        <v>758721.06319999986</v>
      </c>
      <c r="S692" s="181">
        <v>501444.15839999996</v>
      </c>
      <c r="T692" s="181">
        <v>94.74199999999999</v>
      </c>
      <c r="U692" s="181">
        <v>1477621.5608799998</v>
      </c>
      <c r="V692" s="181">
        <v>4028037998.10144</v>
      </c>
    </row>
    <row r="693" spans="1:22">
      <c r="A693" s="2" t="s">
        <v>1404</v>
      </c>
      <c r="B693" s="2" t="s">
        <v>1405</v>
      </c>
      <c r="C693" s="181">
        <v>73.66391999999999</v>
      </c>
      <c r="D693" s="181">
        <v>9419.3359999999993</v>
      </c>
      <c r="E693" s="181">
        <v>179.83199999999999</v>
      </c>
      <c r="F693" s="181">
        <v>370.84</v>
      </c>
      <c r="G693" s="181">
        <v>12.318999999999999</v>
      </c>
      <c r="H693" s="181">
        <v>19.812000000000001</v>
      </c>
      <c r="I693" s="181">
        <v>0</v>
      </c>
      <c r="J693" s="181">
        <v>32.575499999999991</v>
      </c>
      <c r="K693" s="181">
        <v>0</v>
      </c>
      <c r="L693" s="181">
        <v>11.8</v>
      </c>
      <c r="M693" s="181">
        <v>17023865.307039998</v>
      </c>
      <c r="N693" s="181">
        <v>211393.1256</v>
      </c>
      <c r="O693" s="181">
        <v>112743.00031999999</v>
      </c>
      <c r="P693" s="181">
        <v>42.417999999999999</v>
      </c>
      <c r="Q693" s="181">
        <v>83662516.545599997</v>
      </c>
      <c r="R693" s="181">
        <v>684979.27519999992</v>
      </c>
      <c r="S693" s="181">
        <v>452282.96639999998</v>
      </c>
      <c r="T693" s="181">
        <v>94.233999999999995</v>
      </c>
      <c r="U693" s="181">
        <v>1115500.2206079999</v>
      </c>
      <c r="V693" s="181">
        <v>2980748118.5950651</v>
      </c>
    </row>
    <row r="694" spans="1:22">
      <c r="A694" s="2" t="s">
        <v>1406</v>
      </c>
      <c r="B694" s="2" t="s">
        <v>1407</v>
      </c>
      <c r="C694" s="181">
        <v>66.967199999999991</v>
      </c>
      <c r="D694" s="181">
        <v>8516.1119999999992</v>
      </c>
      <c r="E694" s="181">
        <v>178.05399999999997</v>
      </c>
      <c r="F694" s="181">
        <v>368.29999999999995</v>
      </c>
      <c r="G694" s="181">
        <v>11.176</v>
      </c>
      <c r="H694" s="181">
        <v>18.033999999999999</v>
      </c>
      <c r="I694" s="181">
        <v>0</v>
      </c>
      <c r="J694" s="181">
        <v>32.765999999999998</v>
      </c>
      <c r="K694" s="181">
        <v>0</v>
      </c>
      <c r="L694" s="181">
        <v>13</v>
      </c>
      <c r="M694" s="181">
        <v>15192447.034399999</v>
      </c>
      <c r="N694" s="181">
        <v>188451.23599999998</v>
      </c>
      <c r="O694" s="181">
        <v>100944.31423999999</v>
      </c>
      <c r="P694" s="181">
        <v>42.163999999999994</v>
      </c>
      <c r="Q694" s="181">
        <v>75337888.033599988</v>
      </c>
      <c r="R694" s="181">
        <v>619431.01919999986</v>
      </c>
      <c r="S694" s="181">
        <v>409676.6</v>
      </c>
      <c r="T694" s="181">
        <v>93.98</v>
      </c>
      <c r="U694" s="181">
        <v>844949.79396799987</v>
      </c>
      <c r="V694" s="181">
        <v>2231533050.9481978</v>
      </c>
    </row>
    <row r="695" spans="1:22">
      <c r="A695" s="2" t="s">
        <v>1408</v>
      </c>
      <c r="B695" s="2" t="s">
        <v>1409</v>
      </c>
      <c r="C695" s="181">
        <v>61.014559999999996</v>
      </c>
      <c r="D695" s="181">
        <v>7741.92</v>
      </c>
      <c r="E695" s="181">
        <v>181.864</v>
      </c>
      <c r="F695" s="181">
        <v>256.53999999999996</v>
      </c>
      <c r="G695" s="181">
        <v>12.953999999999999</v>
      </c>
      <c r="H695" s="181">
        <v>21.716999999999999</v>
      </c>
      <c r="I695" s="181">
        <v>0</v>
      </c>
      <c r="J695" s="181">
        <v>21.145499999999998</v>
      </c>
      <c r="K695" s="181">
        <v>0</v>
      </c>
      <c r="L695" s="181">
        <v>11.2</v>
      </c>
      <c r="M695" s="181">
        <v>17148734.734719999</v>
      </c>
      <c r="N695" s="181">
        <v>216309.24479999996</v>
      </c>
      <c r="O695" s="181">
        <v>117003.63695999999</v>
      </c>
      <c r="P695" s="181">
        <v>46.99</v>
      </c>
      <c r="Q695" s="181">
        <v>30842748.636959996</v>
      </c>
      <c r="R695" s="181">
        <v>367070.23359999992</v>
      </c>
      <c r="S695" s="181">
        <v>239251.13439999998</v>
      </c>
      <c r="T695" s="181">
        <v>62.991999999999997</v>
      </c>
      <c r="U695" s="181">
        <v>1053065.5067679998</v>
      </c>
      <c r="V695" s="181">
        <v>1511856928.6207404</v>
      </c>
    </row>
    <row r="696" spans="1:22">
      <c r="A696" s="2" t="s">
        <v>1410</v>
      </c>
      <c r="B696" s="2" t="s">
        <v>1411</v>
      </c>
      <c r="C696" s="181">
        <v>55.061920000000001</v>
      </c>
      <c r="D696" s="181">
        <v>7032.2439999999997</v>
      </c>
      <c r="E696" s="181">
        <v>180.08599999999998</v>
      </c>
      <c r="F696" s="181">
        <v>256.53999999999996</v>
      </c>
      <c r="G696" s="181">
        <v>11.43</v>
      </c>
      <c r="H696" s="181">
        <v>19.939</v>
      </c>
      <c r="I696" s="181">
        <v>0</v>
      </c>
      <c r="J696" s="181">
        <v>21.335999999999999</v>
      </c>
      <c r="K696" s="181">
        <v>0</v>
      </c>
      <c r="L696" s="181">
        <v>12.7</v>
      </c>
      <c r="M696" s="181">
        <v>14984331.321599998</v>
      </c>
      <c r="N696" s="181">
        <v>188451.23599999998</v>
      </c>
      <c r="O696" s="181">
        <v>102419.15</v>
      </c>
      <c r="P696" s="181">
        <v>46.228000000000002</v>
      </c>
      <c r="Q696" s="181">
        <v>27845882.372639999</v>
      </c>
      <c r="R696" s="181">
        <v>331018.69279999996</v>
      </c>
      <c r="S696" s="181">
        <v>217947.95119999998</v>
      </c>
      <c r="T696" s="181">
        <v>62.991999999999997</v>
      </c>
      <c r="U696" s="181">
        <v>803326.65140799992</v>
      </c>
      <c r="V696" s="181">
        <v>1125165280.8030024</v>
      </c>
    </row>
    <row r="697" spans="1:22">
      <c r="A697" s="2" t="s">
        <v>1412</v>
      </c>
      <c r="B697" s="2" t="s">
        <v>1413</v>
      </c>
      <c r="C697" s="181">
        <v>50.597439999999999</v>
      </c>
      <c r="D697" s="181">
        <v>6445.1484</v>
      </c>
      <c r="E697" s="181">
        <v>178.30799999999999</v>
      </c>
      <c r="F697" s="181">
        <v>254</v>
      </c>
      <c r="G697" s="181">
        <v>10.540999999999999</v>
      </c>
      <c r="H697" s="181">
        <v>18.287999999999997</v>
      </c>
      <c r="I697" s="181">
        <v>0</v>
      </c>
      <c r="J697" s="181">
        <v>21.399500000000003</v>
      </c>
      <c r="K697" s="181">
        <v>0</v>
      </c>
      <c r="L697" s="181">
        <v>13.8</v>
      </c>
      <c r="M697" s="181">
        <v>13569144.47456</v>
      </c>
      <c r="N697" s="181">
        <v>170425.4656</v>
      </c>
      <c r="O697" s="181">
        <v>93242.394159999996</v>
      </c>
      <c r="P697" s="181">
        <v>45.973999999999997</v>
      </c>
      <c r="Q697" s="181">
        <v>25265247.533919998</v>
      </c>
      <c r="R697" s="181">
        <v>301521.97759999993</v>
      </c>
      <c r="S697" s="181">
        <v>198283.47439999998</v>
      </c>
      <c r="T697" s="181">
        <v>62.483999999999995</v>
      </c>
      <c r="U697" s="181">
        <v>624347.13839999994</v>
      </c>
      <c r="V697" s="181">
        <v>862000131.59370816</v>
      </c>
    </row>
    <row r="698" spans="1:22">
      <c r="A698" s="2" t="s">
        <v>1414</v>
      </c>
      <c r="B698" s="2" t="s">
        <v>1415</v>
      </c>
      <c r="C698" s="181">
        <v>45.38888</v>
      </c>
      <c r="D698" s="181">
        <v>5780.6336000000001</v>
      </c>
      <c r="E698" s="181">
        <v>176.53</v>
      </c>
      <c r="F698" s="181">
        <v>253.74599999999998</v>
      </c>
      <c r="G698" s="181">
        <v>9.5249999999999986</v>
      </c>
      <c r="H698" s="181">
        <v>16.382999999999999</v>
      </c>
      <c r="I698" s="181">
        <v>0</v>
      </c>
      <c r="J698" s="181">
        <v>21.716999999999995</v>
      </c>
      <c r="K698" s="181">
        <v>0</v>
      </c>
      <c r="L698" s="181">
        <v>15.2</v>
      </c>
      <c r="M698" s="181">
        <v>12029088.199839998</v>
      </c>
      <c r="N698" s="181">
        <v>149941.63559999998</v>
      </c>
      <c r="O698" s="181">
        <v>83082.414479999992</v>
      </c>
      <c r="P698" s="181">
        <v>45.72</v>
      </c>
      <c r="Q698" s="181">
        <v>22351627.554719999</v>
      </c>
      <c r="R698" s="181">
        <v>268747.84959999996</v>
      </c>
      <c r="S698" s="181">
        <v>175341.58479999998</v>
      </c>
      <c r="T698" s="181">
        <v>62.230000000000004</v>
      </c>
      <c r="U698" s="181">
        <v>453692.25390399998</v>
      </c>
      <c r="V698" s="181">
        <v>614947134.37681985</v>
      </c>
    </row>
    <row r="699" spans="1:22">
      <c r="A699" s="2" t="s">
        <v>1416</v>
      </c>
      <c r="B699" s="2" t="s">
        <v>1417</v>
      </c>
      <c r="C699" s="181">
        <v>39.436239999999998</v>
      </c>
      <c r="D699" s="181">
        <v>5032.2479999999996</v>
      </c>
      <c r="E699" s="181">
        <v>176.78399999999999</v>
      </c>
      <c r="F699" s="181">
        <v>204.72399999999999</v>
      </c>
      <c r="G699" s="181">
        <v>9.3979999999999997</v>
      </c>
      <c r="H699" s="181">
        <v>16.763999999999999</v>
      </c>
      <c r="I699" s="181">
        <v>0</v>
      </c>
      <c r="J699" s="181">
        <v>21.335999999999995</v>
      </c>
      <c r="K699" s="181">
        <v>0</v>
      </c>
      <c r="L699" s="181">
        <v>15.4</v>
      </c>
      <c r="M699" s="181">
        <v>11487987.34656</v>
      </c>
      <c r="N699" s="181">
        <v>145353.25767999998</v>
      </c>
      <c r="O699" s="181">
        <v>80952.096160000001</v>
      </c>
      <c r="P699" s="181">
        <v>47.751999999999995</v>
      </c>
      <c r="Q699" s="181">
        <v>11987465.057279998</v>
      </c>
      <c r="R699" s="181">
        <v>180257.70399999997</v>
      </c>
      <c r="S699" s="181">
        <v>117167.5076</v>
      </c>
      <c r="T699" s="181">
        <v>48.767999999999994</v>
      </c>
      <c r="U699" s="181">
        <v>402495.78855519992</v>
      </c>
      <c r="V699" s="181">
        <v>392062365.14854014</v>
      </c>
    </row>
    <row r="700" spans="1:22">
      <c r="A700" s="2" t="s">
        <v>1418</v>
      </c>
      <c r="B700" s="2" t="s">
        <v>1419</v>
      </c>
      <c r="C700" s="181">
        <v>35.71584</v>
      </c>
      <c r="D700" s="181">
        <v>4561.2812000000004</v>
      </c>
      <c r="E700" s="181">
        <v>175.26</v>
      </c>
      <c r="F700" s="181">
        <v>203.96199999999996</v>
      </c>
      <c r="G700" s="181">
        <v>8.636000000000001</v>
      </c>
      <c r="H700" s="181">
        <v>15.112999999999998</v>
      </c>
      <c r="I700" s="181">
        <v>0</v>
      </c>
      <c r="J700" s="181">
        <v>21.399499999999996</v>
      </c>
      <c r="K700" s="181">
        <v>0</v>
      </c>
      <c r="L700" s="181">
        <v>16.8</v>
      </c>
      <c r="M700" s="181">
        <v>10364162.497439999</v>
      </c>
      <c r="N700" s="181">
        <v>131096.51199999999</v>
      </c>
      <c r="O700" s="181">
        <v>73577.917359999992</v>
      </c>
      <c r="P700" s="181">
        <v>47.751999999999995</v>
      </c>
      <c r="Q700" s="181">
        <v>10697147.637919998</v>
      </c>
      <c r="R700" s="181">
        <v>160593.22719999999</v>
      </c>
      <c r="S700" s="181">
        <v>104877.2096</v>
      </c>
      <c r="T700" s="181">
        <v>48.513999999999996</v>
      </c>
      <c r="U700" s="181">
        <v>300935.32070879993</v>
      </c>
      <c r="V700" s="181">
        <v>287333377.19790274</v>
      </c>
    </row>
    <row r="701" spans="1:22">
      <c r="A701" s="2" t="s">
        <v>1420</v>
      </c>
      <c r="B701" s="2" t="s">
        <v>1421</v>
      </c>
      <c r="C701" s="181">
        <v>31.995439999999999</v>
      </c>
      <c r="D701" s="181">
        <v>4070.9595999999997</v>
      </c>
      <c r="E701" s="181">
        <v>173.482</v>
      </c>
      <c r="F701" s="181">
        <v>203.2</v>
      </c>
      <c r="G701" s="181">
        <v>7.746999999999999</v>
      </c>
      <c r="H701" s="181">
        <v>13.462</v>
      </c>
      <c r="I701" s="181">
        <v>0</v>
      </c>
      <c r="J701" s="181">
        <v>21.462999999999997</v>
      </c>
      <c r="K701" s="181">
        <v>0</v>
      </c>
      <c r="L701" s="181">
        <v>18.7</v>
      </c>
      <c r="M701" s="181">
        <v>9115468.2206399981</v>
      </c>
      <c r="N701" s="181">
        <v>115528.80119999999</v>
      </c>
      <c r="O701" s="181">
        <v>65220.514719999992</v>
      </c>
      <c r="P701" s="181">
        <v>47.244</v>
      </c>
      <c r="Q701" s="181">
        <v>9406830.218559999</v>
      </c>
      <c r="R701" s="181">
        <v>141584.23295999999</v>
      </c>
      <c r="S701" s="181">
        <v>92586.911599999992</v>
      </c>
      <c r="T701" s="181">
        <v>48.005999999999993</v>
      </c>
      <c r="U701" s="181">
        <v>217272.80416319999</v>
      </c>
      <c r="V701" s="181">
        <v>201670435.77161208</v>
      </c>
    </row>
    <row r="702" spans="1:22">
      <c r="A702" s="2" t="s">
        <v>1422</v>
      </c>
      <c r="B702" s="2" t="s">
        <v>1423</v>
      </c>
      <c r="C702" s="181">
        <v>28.275039999999997</v>
      </c>
      <c r="D702" s="181">
        <v>3599.9928</v>
      </c>
      <c r="E702" s="181">
        <v>179.07</v>
      </c>
      <c r="F702" s="181">
        <v>171.95799999999997</v>
      </c>
      <c r="G702" s="181">
        <v>7.8739999999999997</v>
      </c>
      <c r="H702" s="181">
        <v>13.081</v>
      </c>
      <c r="I702" s="181">
        <v>0</v>
      </c>
      <c r="J702" s="181">
        <v>18.669</v>
      </c>
      <c r="K702" s="181">
        <v>0</v>
      </c>
      <c r="L702" s="181">
        <v>19.8</v>
      </c>
      <c r="M702" s="181">
        <v>9698192.2164799999</v>
      </c>
      <c r="N702" s="181">
        <v>122083.6268</v>
      </c>
      <c r="O702" s="181">
        <v>69153.410079999987</v>
      </c>
      <c r="P702" s="181">
        <v>51.815999999999995</v>
      </c>
      <c r="Q702" s="181">
        <v>5535877.9604799999</v>
      </c>
      <c r="R702" s="181">
        <v>99469.478479999991</v>
      </c>
      <c r="S702" s="181">
        <v>64565.032159999995</v>
      </c>
      <c r="T702" s="181">
        <v>39.369999999999997</v>
      </c>
      <c r="U702" s="181">
        <v>165660.10738879998</v>
      </c>
      <c r="V702" s="181">
        <v>148768870.0632132</v>
      </c>
    </row>
    <row r="703" spans="1:22">
      <c r="A703" s="2" t="s">
        <v>1424</v>
      </c>
      <c r="B703" s="2" t="s">
        <v>1425</v>
      </c>
      <c r="C703" s="181">
        <v>25.298719999999999</v>
      </c>
      <c r="D703" s="181">
        <v>3225.7999999999997</v>
      </c>
      <c r="E703" s="181">
        <v>177.54599999999999</v>
      </c>
      <c r="F703" s="181">
        <v>171.45</v>
      </c>
      <c r="G703" s="181">
        <v>7.238999999999999</v>
      </c>
      <c r="H703" s="181">
        <v>11.557</v>
      </c>
      <c r="I703" s="181">
        <v>0</v>
      </c>
      <c r="J703" s="181">
        <v>18.605499999999999</v>
      </c>
      <c r="K703" s="181">
        <v>0</v>
      </c>
      <c r="L703" s="181">
        <v>21.5</v>
      </c>
      <c r="M703" s="181">
        <v>8699236.7950399984</v>
      </c>
      <c r="N703" s="181">
        <v>110448.81135999999</v>
      </c>
      <c r="O703" s="181">
        <v>62762.455119999999</v>
      </c>
      <c r="P703" s="181">
        <v>51.815999999999995</v>
      </c>
      <c r="Q703" s="181">
        <v>4828284.5369599992</v>
      </c>
      <c r="R703" s="181">
        <v>87179.180479999995</v>
      </c>
      <c r="S703" s="181">
        <v>56535.370799999997</v>
      </c>
      <c r="T703" s="181">
        <v>38.862000000000002</v>
      </c>
      <c r="U703" s="181">
        <v>118209.72487039998</v>
      </c>
      <c r="V703" s="181">
        <v>107414346.6160384</v>
      </c>
    </row>
    <row r="704" spans="1:22">
      <c r="A704" s="2" t="s">
        <v>1426</v>
      </c>
      <c r="B704" s="2" t="s">
        <v>1427</v>
      </c>
      <c r="C704" s="181">
        <v>22.322399999999998</v>
      </c>
      <c r="D704" s="181">
        <v>2851.6071999999999</v>
      </c>
      <c r="E704" s="181">
        <v>175.768</v>
      </c>
      <c r="F704" s="181">
        <v>170.94200000000001</v>
      </c>
      <c r="G704" s="181">
        <v>6.8579999999999997</v>
      </c>
      <c r="H704" s="181">
        <v>9.7789999999999999</v>
      </c>
      <c r="I704" s="181">
        <v>0</v>
      </c>
      <c r="J704" s="181">
        <v>18.795999999999999</v>
      </c>
      <c r="K704" s="181">
        <v>0</v>
      </c>
      <c r="L704" s="181">
        <v>22.7</v>
      </c>
      <c r="M704" s="181">
        <v>7908397.0863999994</v>
      </c>
      <c r="N704" s="181">
        <v>102419.15</v>
      </c>
      <c r="O704" s="181">
        <v>58174.077199999992</v>
      </c>
      <c r="P704" s="181">
        <v>52.577999999999996</v>
      </c>
      <c r="Q704" s="181">
        <v>4074905.6566239991</v>
      </c>
      <c r="R704" s="181">
        <v>73577.917359999992</v>
      </c>
      <c r="S704" s="181">
        <v>47686.356240000001</v>
      </c>
      <c r="T704" s="181">
        <v>37.845999999999997</v>
      </c>
      <c r="U704" s="181">
        <v>79083.970863999988</v>
      </c>
      <c r="V704" s="181">
        <v>77069793.697007537</v>
      </c>
    </row>
    <row r="705" spans="1:22">
      <c r="A705" s="2" t="s">
        <v>1428</v>
      </c>
      <c r="B705" s="2" t="s">
        <v>1429</v>
      </c>
      <c r="C705" s="181">
        <v>19.346080000000001</v>
      </c>
      <c r="D705" s="181">
        <v>2483.866</v>
      </c>
      <c r="E705" s="181">
        <v>176.78399999999999</v>
      </c>
      <c r="F705" s="181">
        <v>127.762</v>
      </c>
      <c r="G705" s="181">
        <v>6.4769999999999994</v>
      </c>
      <c r="H705" s="181">
        <v>10.667999999999999</v>
      </c>
      <c r="I705" s="181">
        <v>0</v>
      </c>
      <c r="J705" s="181">
        <v>17.907</v>
      </c>
      <c r="K705" s="181">
        <v>0</v>
      </c>
      <c r="L705" s="181">
        <v>24.1</v>
      </c>
      <c r="M705" s="181">
        <v>7200803.6628799997</v>
      </c>
      <c r="N705" s="181">
        <v>96519.806959999987</v>
      </c>
      <c r="O705" s="181">
        <v>54241.181839999997</v>
      </c>
      <c r="P705" s="181">
        <v>53.847999999999999</v>
      </c>
      <c r="Q705" s="181">
        <v>1852229.8439199999</v>
      </c>
      <c r="R705" s="181">
        <v>45228.296639999993</v>
      </c>
      <c r="S705" s="181">
        <v>29005.103279999999</v>
      </c>
      <c r="T705" s="181">
        <v>27.431999999999999</v>
      </c>
      <c r="U705" s="181">
        <v>74505.425182399995</v>
      </c>
      <c r="V705" s="181">
        <v>55586924.373799868</v>
      </c>
    </row>
    <row r="706" spans="1:22">
      <c r="A706" s="2" t="s">
        <v>1430</v>
      </c>
      <c r="B706" s="2" t="s">
        <v>1431</v>
      </c>
      <c r="C706" s="181">
        <v>16.369759999999999</v>
      </c>
      <c r="D706" s="181">
        <v>2096.77</v>
      </c>
      <c r="E706" s="181">
        <v>174.49799999999999</v>
      </c>
      <c r="F706" s="181">
        <v>127</v>
      </c>
      <c r="G706" s="181">
        <v>5.8419999999999996</v>
      </c>
      <c r="H706" s="181">
        <v>8.5090000000000003</v>
      </c>
      <c r="I706" s="181">
        <v>0</v>
      </c>
      <c r="J706" s="181">
        <v>18.478499999999997</v>
      </c>
      <c r="K706" s="181">
        <v>0</v>
      </c>
      <c r="L706" s="181">
        <v>26.7</v>
      </c>
      <c r="M706" s="181">
        <v>6160225.0988799995</v>
      </c>
      <c r="N706" s="181">
        <v>85212.732799999998</v>
      </c>
      <c r="O706" s="181">
        <v>47686.356240000001</v>
      </c>
      <c r="P706" s="181">
        <v>54.356000000000002</v>
      </c>
      <c r="Q706" s="181">
        <v>1456809.9896</v>
      </c>
      <c r="R706" s="181">
        <v>35887.670159999994</v>
      </c>
      <c r="S706" s="181">
        <v>22941.889599999995</v>
      </c>
      <c r="T706" s="181">
        <v>26.416</v>
      </c>
      <c r="U706" s="181">
        <v>43288.068262399996</v>
      </c>
      <c r="V706" s="181">
        <v>35983806.116372861</v>
      </c>
    </row>
    <row r="707" spans="1:22">
      <c r="A707" s="2" t="s">
        <v>1432</v>
      </c>
      <c r="B707" s="2" t="s">
        <v>1433</v>
      </c>
      <c r="C707" s="181">
        <v>250.01087999999999</v>
      </c>
      <c r="D707" s="181">
        <v>31870.903999999999</v>
      </c>
      <c r="E707" s="181">
        <v>213.614</v>
      </c>
      <c r="F707" s="181">
        <v>340.36</v>
      </c>
      <c r="G707" s="181">
        <v>45.211999999999996</v>
      </c>
      <c r="H707" s="181">
        <v>75.183999999999997</v>
      </c>
      <c r="I707" s="181">
        <v>0</v>
      </c>
      <c r="J707" s="181">
        <v>23.241</v>
      </c>
      <c r="K707" s="181">
        <v>0</v>
      </c>
      <c r="L707" s="181">
        <v>2.74</v>
      </c>
      <c r="M707" s="181">
        <v>79083970.863999993</v>
      </c>
      <c r="N707" s="181">
        <v>1120875.1776000001</v>
      </c>
      <c r="O707" s="181">
        <v>511276.39679999993</v>
      </c>
      <c r="P707" s="181">
        <v>49.783999999999999</v>
      </c>
      <c r="Q707" s="181">
        <v>246825235.38079998</v>
      </c>
      <c r="R707" s="181">
        <v>2245027.7679999997</v>
      </c>
      <c r="S707" s="181">
        <v>1451893.8703999997</v>
      </c>
      <c r="T707" s="181">
        <v>88.138000000000005</v>
      </c>
      <c r="U707" s="181">
        <v>49947771.071999997</v>
      </c>
      <c r="V707" s="181">
        <v>129165751805.78616</v>
      </c>
    </row>
    <row r="708" spans="1:22">
      <c r="A708" s="2" t="s">
        <v>1434</v>
      </c>
      <c r="B708" s="2" t="s">
        <v>1435</v>
      </c>
      <c r="C708" s="181">
        <v>226.9444</v>
      </c>
      <c r="D708" s="181">
        <v>28903.167999999998</v>
      </c>
      <c r="E708" s="181">
        <v>207.26399999999998</v>
      </c>
      <c r="F708" s="181">
        <v>335.28</v>
      </c>
      <c r="G708" s="181">
        <v>41.401999999999994</v>
      </c>
      <c r="H708" s="181">
        <v>68.833999999999989</v>
      </c>
      <c r="I708" s="181">
        <v>0</v>
      </c>
      <c r="J708" s="181">
        <v>23.241</v>
      </c>
      <c r="K708" s="181">
        <v>0</v>
      </c>
      <c r="L708" s="181">
        <v>2.99</v>
      </c>
      <c r="M708" s="181">
        <v>67429490.9472</v>
      </c>
      <c r="N708" s="181">
        <v>968475.48239999998</v>
      </c>
      <c r="O708" s="181">
        <v>442450.72799999994</v>
      </c>
      <c r="P708" s="181">
        <v>48.26</v>
      </c>
      <c r="Q708" s="181">
        <v>218521498.43999997</v>
      </c>
      <c r="R708" s="181">
        <v>1999221.8079999997</v>
      </c>
      <c r="S708" s="181">
        <v>1299494.1751999999</v>
      </c>
      <c r="T708" s="181">
        <v>86.867999999999995</v>
      </c>
      <c r="U708" s="181">
        <v>38293291.155199997</v>
      </c>
      <c r="V708" s="181">
        <v>95598768488.27417</v>
      </c>
    </row>
    <row r="709" spans="1:22">
      <c r="A709" s="2" t="s">
        <v>1436</v>
      </c>
      <c r="B709" s="2" t="s">
        <v>1437</v>
      </c>
      <c r="C709" s="181">
        <v>207.59832</v>
      </c>
      <c r="D709" s="181">
        <v>26451.559999999998</v>
      </c>
      <c r="E709" s="181">
        <v>201.42199999999997</v>
      </c>
      <c r="F709" s="181">
        <v>332.73999999999995</v>
      </c>
      <c r="G709" s="181">
        <v>38.862000000000002</v>
      </c>
      <c r="H709" s="181">
        <v>62.738</v>
      </c>
      <c r="I709" s="181">
        <v>0</v>
      </c>
      <c r="J709" s="181">
        <v>22.986999999999995</v>
      </c>
      <c r="K709" s="181">
        <v>0</v>
      </c>
      <c r="L709" s="181">
        <v>3.17</v>
      </c>
      <c r="M709" s="181">
        <v>58688631.009599991</v>
      </c>
      <c r="N709" s="181">
        <v>850488.62159999995</v>
      </c>
      <c r="O709" s="181">
        <v>394928.24239999999</v>
      </c>
      <c r="P709" s="181">
        <v>47.244</v>
      </c>
      <c r="Q709" s="181">
        <v>195212538.60639998</v>
      </c>
      <c r="R709" s="181">
        <v>1802577.0399999998</v>
      </c>
      <c r="S709" s="181">
        <v>1168397.6631999998</v>
      </c>
      <c r="T709" s="181">
        <v>85.85199999999999</v>
      </c>
      <c r="U709" s="181">
        <v>29510808.075039998</v>
      </c>
      <c r="V709" s="181">
        <v>71699076366.205627</v>
      </c>
    </row>
    <row r="710" spans="1:22">
      <c r="A710" s="2" t="s">
        <v>1438</v>
      </c>
      <c r="B710" s="2" t="s">
        <v>1439</v>
      </c>
      <c r="C710" s="181">
        <v>187.50816</v>
      </c>
      <c r="D710" s="181">
        <v>23870.92</v>
      </c>
      <c r="E710" s="181">
        <v>195.83399999999997</v>
      </c>
      <c r="F710" s="181">
        <v>330.2</v>
      </c>
      <c r="G710" s="181">
        <v>35.559999999999995</v>
      </c>
      <c r="H710" s="181">
        <v>57.15</v>
      </c>
      <c r="I710" s="181">
        <v>0</v>
      </c>
      <c r="J710" s="181">
        <v>22.225000000000001</v>
      </c>
      <c r="K710" s="181">
        <v>0</v>
      </c>
      <c r="L710" s="181">
        <v>3.48</v>
      </c>
      <c r="M710" s="181">
        <v>50364002.497599997</v>
      </c>
      <c r="N710" s="181">
        <v>734140.46719999984</v>
      </c>
      <c r="O710" s="181">
        <v>342489.63759999996</v>
      </c>
      <c r="P710" s="181">
        <v>45.973999999999997</v>
      </c>
      <c r="Q710" s="181">
        <v>172319810.19839999</v>
      </c>
      <c r="R710" s="181">
        <v>1604293.5655999999</v>
      </c>
      <c r="S710" s="181">
        <v>1042217.2703999999</v>
      </c>
      <c r="T710" s="181">
        <v>84.835999999999999</v>
      </c>
      <c r="U710" s="181">
        <v>22268381.269599997</v>
      </c>
      <c r="V710" s="181">
        <v>52364493975.318718</v>
      </c>
    </row>
    <row r="711" spans="1:22">
      <c r="A711" s="2" t="s">
        <v>1440</v>
      </c>
      <c r="B711" s="2" t="s">
        <v>1441</v>
      </c>
      <c r="C711" s="181">
        <v>171.13839999999999</v>
      </c>
      <c r="D711" s="181">
        <v>21870.923999999999</v>
      </c>
      <c r="E711" s="181">
        <v>191.262</v>
      </c>
      <c r="F711" s="181">
        <v>327.65999999999997</v>
      </c>
      <c r="G711" s="181">
        <v>32.765999999999998</v>
      </c>
      <c r="H711" s="181">
        <v>52.577999999999996</v>
      </c>
      <c r="I711" s="181">
        <v>0</v>
      </c>
      <c r="J711" s="181">
        <v>22.034500000000001</v>
      </c>
      <c r="K711" s="181">
        <v>0</v>
      </c>
      <c r="L711" s="181">
        <v>3.78</v>
      </c>
      <c r="M711" s="181">
        <v>44120531.113599993</v>
      </c>
      <c r="N711" s="181">
        <v>645650.32159999991</v>
      </c>
      <c r="O711" s="181">
        <v>303160.68399999995</v>
      </c>
      <c r="P711" s="181">
        <v>44.957999999999998</v>
      </c>
      <c r="Q711" s="181">
        <v>154421858.8976</v>
      </c>
      <c r="R711" s="181">
        <v>1448616.4575999998</v>
      </c>
      <c r="S711" s="181">
        <v>942256.17999999993</v>
      </c>
      <c r="T711" s="181">
        <v>84.073999999999998</v>
      </c>
      <c r="U711" s="181">
        <v>17315227.304959998</v>
      </c>
      <c r="V711" s="181">
        <v>39743308247.934204</v>
      </c>
    </row>
    <row r="712" spans="1:22">
      <c r="A712" s="2" t="s">
        <v>1442</v>
      </c>
      <c r="B712" s="2" t="s">
        <v>1443</v>
      </c>
      <c r="C712" s="181">
        <v>156.2568</v>
      </c>
      <c r="D712" s="181">
        <v>19935.444</v>
      </c>
      <c r="E712" s="181">
        <v>186.94399999999999</v>
      </c>
      <c r="F712" s="181">
        <v>325.12</v>
      </c>
      <c r="G712" s="181">
        <v>29.971999999999998</v>
      </c>
      <c r="H712" s="181">
        <v>48.26</v>
      </c>
      <c r="I712" s="181">
        <v>0</v>
      </c>
      <c r="J712" s="181">
        <v>23.177500000000002</v>
      </c>
      <c r="K712" s="181">
        <v>0</v>
      </c>
      <c r="L712" s="181">
        <v>4.12</v>
      </c>
      <c r="M712" s="181">
        <v>38334914.297759995</v>
      </c>
      <c r="N712" s="181">
        <v>565353.70799999998</v>
      </c>
      <c r="O712" s="181">
        <v>268747.84959999996</v>
      </c>
      <c r="P712" s="181">
        <v>43.942</v>
      </c>
      <c r="Q712" s="181">
        <v>138188833.2992</v>
      </c>
      <c r="R712" s="181">
        <v>1306049.0008</v>
      </c>
      <c r="S712" s="181">
        <v>850488.62159999995</v>
      </c>
      <c r="T712" s="181">
        <v>83.311999999999983</v>
      </c>
      <c r="U712" s="181">
        <v>13361028.76176</v>
      </c>
      <c r="V712" s="181">
        <v>30076017052.490749</v>
      </c>
    </row>
    <row r="713" spans="1:22">
      <c r="A713" s="2" t="s">
        <v>1444</v>
      </c>
      <c r="B713" s="2" t="s">
        <v>1445</v>
      </c>
      <c r="C713" s="181">
        <v>141.37520000000001</v>
      </c>
      <c r="D713" s="181">
        <v>17999.964</v>
      </c>
      <c r="E713" s="181">
        <v>182.626</v>
      </c>
      <c r="F713" s="181">
        <v>322.58</v>
      </c>
      <c r="G713" s="181">
        <v>26.923999999999999</v>
      </c>
      <c r="H713" s="181">
        <v>44.195999999999998</v>
      </c>
      <c r="I713" s="181">
        <v>0</v>
      </c>
      <c r="J713" s="181">
        <v>22.478999999999999</v>
      </c>
      <c r="K713" s="181">
        <v>0</v>
      </c>
      <c r="L713" s="181">
        <v>4.58</v>
      </c>
      <c r="M713" s="181">
        <v>32882282.622399997</v>
      </c>
      <c r="N713" s="181">
        <v>488334.50719999999</v>
      </c>
      <c r="O713" s="181">
        <v>232696.30879999997</v>
      </c>
      <c r="P713" s="181">
        <v>42.671999999999997</v>
      </c>
      <c r="Q713" s="181">
        <v>122788270.55199999</v>
      </c>
      <c r="R713" s="181">
        <v>1166758.9568</v>
      </c>
      <c r="S713" s="181">
        <v>761998.47599999991</v>
      </c>
      <c r="T713" s="181">
        <v>82.55</v>
      </c>
      <c r="U713" s="181">
        <v>10114423.64208</v>
      </c>
      <c r="V713" s="181">
        <v>22046794642.941879</v>
      </c>
    </row>
    <row r="714" spans="1:22">
      <c r="A714" s="2" t="s">
        <v>1446</v>
      </c>
      <c r="B714" s="2" t="s">
        <v>1447</v>
      </c>
      <c r="C714" s="181">
        <v>126.4936</v>
      </c>
      <c r="D714" s="181">
        <v>16129</v>
      </c>
      <c r="E714" s="181">
        <v>178.30799999999999</v>
      </c>
      <c r="F714" s="181">
        <v>320.03999999999996</v>
      </c>
      <c r="G714" s="181">
        <v>24.383999999999997</v>
      </c>
      <c r="H714" s="181">
        <v>39.624000000000002</v>
      </c>
      <c r="I714" s="181">
        <v>0</v>
      </c>
      <c r="J714" s="181">
        <v>22.288499999999992</v>
      </c>
      <c r="K714" s="181">
        <v>0</v>
      </c>
      <c r="L714" s="181">
        <v>5.0599999999999996</v>
      </c>
      <c r="M714" s="181">
        <v>28220490.655679997</v>
      </c>
      <c r="N714" s="181">
        <v>419508.83840000001</v>
      </c>
      <c r="O714" s="181">
        <v>201560.8872</v>
      </c>
      <c r="P714" s="181">
        <v>41.91</v>
      </c>
      <c r="Q714" s="181">
        <v>107803939.2304</v>
      </c>
      <c r="R714" s="181">
        <v>1030746.3255999999</v>
      </c>
      <c r="S714" s="181">
        <v>675147.0368</v>
      </c>
      <c r="T714" s="181">
        <v>81.787999999999997</v>
      </c>
      <c r="U714" s="181">
        <v>7367296.2331199991</v>
      </c>
      <c r="V714" s="181">
        <v>15655641019.287596</v>
      </c>
    </row>
    <row r="715" spans="1:22">
      <c r="A715" s="2" t="s">
        <v>1448</v>
      </c>
      <c r="B715" s="2" t="s">
        <v>1449</v>
      </c>
      <c r="C715" s="181">
        <v>113.10015999999999</v>
      </c>
      <c r="D715" s="181">
        <v>14451.583999999999</v>
      </c>
      <c r="E715" s="181">
        <v>174.244</v>
      </c>
      <c r="F715" s="181">
        <v>317.5</v>
      </c>
      <c r="G715" s="181">
        <v>22.097999999999999</v>
      </c>
      <c r="H715" s="181">
        <v>35.559999999999995</v>
      </c>
      <c r="I715" s="181">
        <v>0</v>
      </c>
      <c r="J715" s="181">
        <v>23.177500000000002</v>
      </c>
      <c r="K715" s="181">
        <v>0</v>
      </c>
      <c r="L715" s="181">
        <v>5.58</v>
      </c>
      <c r="M715" s="181">
        <v>24349538.397599999</v>
      </c>
      <c r="N715" s="181">
        <v>360515.40799999994</v>
      </c>
      <c r="O715" s="181">
        <v>176980.29120000001</v>
      </c>
      <c r="P715" s="181">
        <v>41.148000000000003</v>
      </c>
      <c r="Q715" s="181">
        <v>94484533.61119999</v>
      </c>
      <c r="R715" s="181">
        <v>911120.75839999993</v>
      </c>
      <c r="S715" s="181">
        <v>596489.12959999987</v>
      </c>
      <c r="T715" s="181">
        <v>81.025999999999996</v>
      </c>
      <c r="U715" s="181">
        <v>5327762.24768</v>
      </c>
      <c r="V715" s="181">
        <v>11090531288.105963</v>
      </c>
    </row>
    <row r="716" spans="1:22">
      <c r="A716" s="2" t="s">
        <v>1450</v>
      </c>
      <c r="B716" s="2" t="s">
        <v>1451</v>
      </c>
      <c r="C716" s="181">
        <v>101.19488</v>
      </c>
      <c r="D716" s="181">
        <v>12903.199999999999</v>
      </c>
      <c r="E716" s="181">
        <v>170.434</v>
      </c>
      <c r="F716" s="181">
        <v>314.95999999999998</v>
      </c>
      <c r="G716" s="181">
        <v>20.065999999999999</v>
      </c>
      <c r="H716" s="181">
        <v>31.75</v>
      </c>
      <c r="I716" s="181">
        <v>0</v>
      </c>
      <c r="J716" s="181">
        <v>22.224999999999994</v>
      </c>
      <c r="K716" s="181">
        <v>0</v>
      </c>
      <c r="L716" s="181">
        <v>6.15</v>
      </c>
      <c r="M716" s="181">
        <v>21061310.135359999</v>
      </c>
      <c r="N716" s="181">
        <v>311354.21599999996</v>
      </c>
      <c r="O716" s="181">
        <v>155021.62544</v>
      </c>
      <c r="P716" s="181">
        <v>40.386000000000003</v>
      </c>
      <c r="Q716" s="181">
        <v>82830053.694399998</v>
      </c>
      <c r="R716" s="181">
        <v>801327.42959999992</v>
      </c>
      <c r="S716" s="181">
        <v>526024.75439999998</v>
      </c>
      <c r="T716" s="181">
        <v>80.263999999999996</v>
      </c>
      <c r="U716" s="181">
        <v>3833491.4297759999</v>
      </c>
      <c r="V716" s="181">
        <v>7760686543.0087738</v>
      </c>
    </row>
    <row r="717" spans="1:22">
      <c r="A717" s="2" t="s">
        <v>1452</v>
      </c>
      <c r="B717" s="2" t="s">
        <v>1453</v>
      </c>
      <c r="C717" s="181">
        <v>89.289599999999993</v>
      </c>
      <c r="D717" s="181">
        <v>11354.816000000001</v>
      </c>
      <c r="E717" s="181">
        <v>166.62399999999997</v>
      </c>
      <c r="F717" s="181">
        <v>312.42</v>
      </c>
      <c r="G717" s="181">
        <v>18.033999999999999</v>
      </c>
      <c r="H717" s="181">
        <v>28.194000000000003</v>
      </c>
      <c r="I717" s="181">
        <v>0</v>
      </c>
      <c r="J717" s="181">
        <v>22.605999999999995</v>
      </c>
      <c r="K717" s="181">
        <v>0</v>
      </c>
      <c r="L717" s="181">
        <v>6.84</v>
      </c>
      <c r="M717" s="181">
        <v>18064443.871039998</v>
      </c>
      <c r="N717" s="181">
        <v>265470.43679999997</v>
      </c>
      <c r="O717" s="181">
        <v>134701.66608</v>
      </c>
      <c r="P717" s="181">
        <v>39.878</v>
      </c>
      <c r="Q717" s="181">
        <v>71591805.203199998</v>
      </c>
      <c r="R717" s="181">
        <v>699727.63280000002</v>
      </c>
      <c r="S717" s="181">
        <v>458837.79199999996</v>
      </c>
      <c r="T717" s="181">
        <v>79.501999999999995</v>
      </c>
      <c r="U717" s="181">
        <v>2672205.7523519997</v>
      </c>
      <c r="V717" s="181">
        <v>5290156570.8398905</v>
      </c>
    </row>
    <row r="718" spans="1:22">
      <c r="A718" s="2" t="s">
        <v>1454</v>
      </c>
      <c r="B718" s="2" t="s">
        <v>1455</v>
      </c>
      <c r="C718" s="181">
        <v>78.872479999999996</v>
      </c>
      <c r="D718" s="181">
        <v>10064.495999999999</v>
      </c>
      <c r="E718" s="181">
        <v>163.82999999999998</v>
      </c>
      <c r="F718" s="181">
        <v>309.87999999999994</v>
      </c>
      <c r="G718" s="181">
        <v>15.493999999999998</v>
      </c>
      <c r="H718" s="181">
        <v>25.145999999999997</v>
      </c>
      <c r="I718" s="181">
        <v>0</v>
      </c>
      <c r="J718" s="181">
        <v>22.479000000000003</v>
      </c>
      <c r="K718" s="181">
        <v>0</v>
      </c>
      <c r="L718" s="181">
        <v>7.96</v>
      </c>
      <c r="M718" s="181">
        <v>15109200.749279998</v>
      </c>
      <c r="N718" s="181">
        <v>222864.07039999997</v>
      </c>
      <c r="O718" s="181">
        <v>113398.48287999998</v>
      </c>
      <c r="P718" s="181">
        <v>38.862000000000002</v>
      </c>
      <c r="Q718" s="181">
        <v>62850945.265599996</v>
      </c>
      <c r="R718" s="181">
        <v>614514.89999999991</v>
      </c>
      <c r="S718" s="181">
        <v>404760.48079999996</v>
      </c>
      <c r="T718" s="181">
        <v>78.993999999999986</v>
      </c>
      <c r="U718" s="181">
        <v>1893852.9864799997</v>
      </c>
      <c r="V718" s="181">
        <v>3652087784.9453053</v>
      </c>
    </row>
    <row r="719" spans="1:22">
      <c r="A719" s="2" t="s">
        <v>1456</v>
      </c>
      <c r="B719" s="2" t="s">
        <v>1457</v>
      </c>
      <c r="C719" s="181">
        <v>71.43168</v>
      </c>
      <c r="D719" s="181">
        <v>9096.7559999999994</v>
      </c>
      <c r="E719" s="181">
        <v>161.54400000000001</v>
      </c>
      <c r="F719" s="181">
        <v>309.87999999999994</v>
      </c>
      <c r="G719" s="181">
        <v>13.97</v>
      </c>
      <c r="H719" s="181">
        <v>22.86</v>
      </c>
      <c r="I719" s="181">
        <v>0</v>
      </c>
      <c r="J719" s="181">
        <v>23.177499999999995</v>
      </c>
      <c r="K719" s="181">
        <v>0</v>
      </c>
      <c r="L719" s="181">
        <v>8.83</v>
      </c>
      <c r="M719" s="181">
        <v>13319405.619199999</v>
      </c>
      <c r="N719" s="181">
        <v>195006.06159999999</v>
      </c>
      <c r="O719" s="181">
        <v>100288.83167999999</v>
      </c>
      <c r="P719" s="181">
        <v>38.353999999999999</v>
      </c>
      <c r="Q719" s="181">
        <v>56191242.455999993</v>
      </c>
      <c r="R719" s="181">
        <v>552244.05680000002</v>
      </c>
      <c r="S719" s="181">
        <v>363792.82079999993</v>
      </c>
      <c r="T719" s="181">
        <v>78.48599999999999</v>
      </c>
      <c r="U719" s="181">
        <v>1423511.4755519999</v>
      </c>
      <c r="V719" s="181">
        <v>2712212252.0549693</v>
      </c>
    </row>
    <row r="720" spans="1:22">
      <c r="A720" s="2" t="s">
        <v>1458</v>
      </c>
      <c r="B720" s="2" t="s">
        <v>1459</v>
      </c>
      <c r="C720" s="181">
        <v>64.734960000000001</v>
      </c>
      <c r="D720" s="181">
        <v>8258.0480000000007</v>
      </c>
      <c r="E720" s="181">
        <v>159.25799999999998</v>
      </c>
      <c r="F720" s="181">
        <v>307.33999999999997</v>
      </c>
      <c r="G720" s="181">
        <v>13.081</v>
      </c>
      <c r="H720" s="181">
        <v>20.574000000000002</v>
      </c>
      <c r="I720" s="181">
        <v>0</v>
      </c>
      <c r="J720" s="181">
        <v>22.288499999999996</v>
      </c>
      <c r="K720" s="181">
        <v>0</v>
      </c>
      <c r="L720" s="181">
        <v>9.43</v>
      </c>
      <c r="M720" s="181">
        <v>12029088.199839998</v>
      </c>
      <c r="N720" s="181">
        <v>175341.58479999998</v>
      </c>
      <c r="O720" s="181">
        <v>91767.55839999998</v>
      </c>
      <c r="P720" s="181">
        <v>38.099999999999994</v>
      </c>
      <c r="Q720" s="181">
        <v>49947771.071999997</v>
      </c>
      <c r="R720" s="181">
        <v>494889.33279999992</v>
      </c>
      <c r="S720" s="181">
        <v>326102.57359999995</v>
      </c>
      <c r="T720" s="181">
        <v>77.977999999999994</v>
      </c>
      <c r="U720" s="181">
        <v>1057227.8210239999</v>
      </c>
      <c r="V720" s="181">
        <v>1971053260.4043045</v>
      </c>
    </row>
    <row r="721" spans="1:22">
      <c r="A721" s="2" t="s">
        <v>1460</v>
      </c>
      <c r="B721" s="2" t="s">
        <v>1461</v>
      </c>
      <c r="C721" s="181">
        <v>58.782319999999999</v>
      </c>
      <c r="D721" s="181">
        <v>7483.8559999999998</v>
      </c>
      <c r="E721" s="181">
        <v>157.226</v>
      </c>
      <c r="F721" s="181">
        <v>307.33999999999997</v>
      </c>
      <c r="G721" s="181">
        <v>11.937999999999999</v>
      </c>
      <c r="H721" s="181">
        <v>18.668999999999997</v>
      </c>
      <c r="I721" s="181">
        <v>0</v>
      </c>
      <c r="J721" s="181">
        <v>22.606000000000002</v>
      </c>
      <c r="K721" s="181">
        <v>0</v>
      </c>
      <c r="L721" s="181">
        <v>10.3</v>
      </c>
      <c r="M721" s="181">
        <v>10738770.780479999</v>
      </c>
      <c r="N721" s="181">
        <v>155513.23736</v>
      </c>
      <c r="O721" s="181">
        <v>82426.931920000003</v>
      </c>
      <c r="P721" s="181">
        <v>37.845999999999997</v>
      </c>
      <c r="Q721" s="181">
        <v>44952993.964799993</v>
      </c>
      <c r="R721" s="181">
        <v>444089.43439999997</v>
      </c>
      <c r="S721" s="181">
        <v>293328.44559999998</v>
      </c>
      <c r="T721" s="181">
        <v>77.469999999999985</v>
      </c>
      <c r="U721" s="181">
        <v>795002.02289599983</v>
      </c>
      <c r="V721" s="181">
        <v>1458149755.312721</v>
      </c>
    </row>
    <row r="722" spans="1:22">
      <c r="A722" s="2" t="s">
        <v>1462</v>
      </c>
      <c r="B722" s="2" t="s">
        <v>1463</v>
      </c>
      <c r="C722" s="181">
        <v>53.57376</v>
      </c>
      <c r="D722" s="181">
        <v>6838.695999999999</v>
      </c>
      <c r="E722" s="181">
        <v>155.702</v>
      </c>
      <c r="F722" s="181">
        <v>304.79999999999995</v>
      </c>
      <c r="G722" s="181">
        <v>10.921999999999999</v>
      </c>
      <c r="H722" s="181">
        <v>17.018000000000001</v>
      </c>
      <c r="I722" s="181">
        <v>0</v>
      </c>
      <c r="J722" s="181">
        <v>22.669499999999999</v>
      </c>
      <c r="K722" s="181">
        <v>0</v>
      </c>
      <c r="L722" s="181">
        <v>11.3</v>
      </c>
      <c r="M722" s="181">
        <v>9656569.0739199985</v>
      </c>
      <c r="N722" s="181">
        <v>138962.30272000001</v>
      </c>
      <c r="O722" s="181">
        <v>74397.27055999999</v>
      </c>
      <c r="P722" s="181">
        <v>37.591999999999999</v>
      </c>
      <c r="Q722" s="181">
        <v>40582563.995999999</v>
      </c>
      <c r="R722" s="181">
        <v>403121.77439999999</v>
      </c>
      <c r="S722" s="181">
        <v>265470.43679999997</v>
      </c>
      <c r="T722" s="181">
        <v>77.215999999999994</v>
      </c>
      <c r="U722" s="181">
        <v>607697.88137599989</v>
      </c>
      <c r="V722" s="181">
        <v>1092940976.8181908</v>
      </c>
    </row>
    <row r="723" spans="1:22">
      <c r="A723" s="2" t="s">
        <v>1464</v>
      </c>
      <c r="B723" s="2" t="s">
        <v>1465</v>
      </c>
      <c r="C723" s="181">
        <v>48.365199999999994</v>
      </c>
      <c r="D723" s="181">
        <v>6154.826399999999</v>
      </c>
      <c r="E723" s="181">
        <v>153.92399999999998</v>
      </c>
      <c r="F723" s="181">
        <v>304.79999999999995</v>
      </c>
      <c r="G723" s="181">
        <v>9.9060000000000006</v>
      </c>
      <c r="H723" s="181">
        <v>15.366999999999999</v>
      </c>
      <c r="I723" s="181">
        <v>0</v>
      </c>
      <c r="J723" s="181">
        <v>22.732999999999997</v>
      </c>
      <c r="K723" s="181">
        <v>0</v>
      </c>
      <c r="L723" s="181">
        <v>12.5</v>
      </c>
      <c r="M723" s="181">
        <v>8574367.3673599996</v>
      </c>
      <c r="N723" s="181">
        <v>122902.97999999998</v>
      </c>
      <c r="O723" s="181">
        <v>66531.479839999985</v>
      </c>
      <c r="P723" s="181">
        <v>37.337999999999994</v>
      </c>
      <c r="Q723" s="181">
        <v>36295380.312319994</v>
      </c>
      <c r="R723" s="181">
        <v>360515.40799999994</v>
      </c>
      <c r="S723" s="181">
        <v>237612.42799999999</v>
      </c>
      <c r="T723" s="181">
        <v>76.707999999999998</v>
      </c>
      <c r="U723" s="181">
        <v>453692.25390399998</v>
      </c>
      <c r="V723" s="181">
        <v>797551523.62408507</v>
      </c>
    </row>
    <row r="724" spans="1:22">
      <c r="A724" s="2" t="s">
        <v>1466</v>
      </c>
      <c r="B724" s="2" t="s">
        <v>1467</v>
      </c>
      <c r="C724" s="181">
        <v>43.156639999999996</v>
      </c>
      <c r="D724" s="181">
        <v>5496.7631999999994</v>
      </c>
      <c r="E724" s="181">
        <v>154.93999999999997</v>
      </c>
      <c r="F724" s="181">
        <v>254</v>
      </c>
      <c r="G724" s="181">
        <v>9.1439999999999984</v>
      </c>
      <c r="H724" s="181">
        <v>16.256</v>
      </c>
      <c r="I724" s="181">
        <v>0</v>
      </c>
      <c r="J724" s="181">
        <v>21.843999999999994</v>
      </c>
      <c r="K724" s="181">
        <v>0</v>
      </c>
      <c r="L724" s="181">
        <v>13.5</v>
      </c>
      <c r="M724" s="181">
        <v>7950020.22896</v>
      </c>
      <c r="N724" s="181">
        <v>114217.83607999998</v>
      </c>
      <c r="O724" s="181">
        <v>61615.360639999992</v>
      </c>
      <c r="P724" s="181">
        <v>38.099999999999994</v>
      </c>
      <c r="Q724" s="181">
        <v>22268381.269599997</v>
      </c>
      <c r="R724" s="181">
        <v>265470.43679999997</v>
      </c>
      <c r="S724" s="181">
        <v>175341.58479999998</v>
      </c>
      <c r="T724" s="181">
        <v>63.753999999999991</v>
      </c>
      <c r="U724" s="181">
        <v>437042.99687999999</v>
      </c>
      <c r="V724" s="181">
        <v>558554602.40339971</v>
      </c>
    </row>
    <row r="725" spans="1:22">
      <c r="A725" s="2" t="s">
        <v>1468</v>
      </c>
      <c r="B725" s="2" t="s">
        <v>1469</v>
      </c>
      <c r="C725" s="181">
        <v>39.436239999999998</v>
      </c>
      <c r="D725" s="181">
        <v>5019.3447999999999</v>
      </c>
      <c r="E725" s="181">
        <v>153.16200000000001</v>
      </c>
      <c r="F725" s="181">
        <v>253.74599999999998</v>
      </c>
      <c r="G725" s="181">
        <v>8.7629999999999981</v>
      </c>
      <c r="H725" s="181">
        <v>14.604999999999999</v>
      </c>
      <c r="I725" s="181">
        <v>0</v>
      </c>
      <c r="J725" s="181">
        <v>20.32</v>
      </c>
      <c r="K725" s="181">
        <v>0</v>
      </c>
      <c r="L725" s="181">
        <v>14.1</v>
      </c>
      <c r="M725" s="181">
        <v>7367296.2331199991</v>
      </c>
      <c r="N725" s="181">
        <v>105860.43343999999</v>
      </c>
      <c r="O725" s="181">
        <v>58010.206559999999</v>
      </c>
      <c r="P725" s="181">
        <v>38.353999999999999</v>
      </c>
      <c r="Q725" s="181">
        <v>19937485.286239997</v>
      </c>
      <c r="R725" s="181">
        <v>237612.42799999999</v>
      </c>
      <c r="S725" s="181">
        <v>156988.07311999999</v>
      </c>
      <c r="T725" s="181">
        <v>62.991999999999997</v>
      </c>
      <c r="U725" s="181">
        <v>327990.3633728</v>
      </c>
      <c r="V725" s="181">
        <v>410859875.80634689</v>
      </c>
    </row>
    <row r="726" spans="1:22">
      <c r="A726" s="2" t="s">
        <v>1470</v>
      </c>
      <c r="B726" s="2" t="s">
        <v>1471</v>
      </c>
      <c r="C726" s="181">
        <v>37.204000000000001</v>
      </c>
      <c r="D726" s="181">
        <v>4709.6679999999997</v>
      </c>
      <c r="E726" s="181">
        <v>154.93999999999997</v>
      </c>
      <c r="F726" s="181">
        <v>205.232</v>
      </c>
      <c r="G726" s="181">
        <v>9.3979999999999997</v>
      </c>
      <c r="H726" s="181">
        <v>16.256</v>
      </c>
      <c r="I726" s="181">
        <v>0</v>
      </c>
      <c r="J726" s="181">
        <v>21.843999999999994</v>
      </c>
      <c r="K726" s="181">
        <v>0</v>
      </c>
      <c r="L726" s="181">
        <v>13.4</v>
      </c>
      <c r="M726" s="181">
        <v>7783527.6587199988</v>
      </c>
      <c r="N726" s="181">
        <v>112743.00031999999</v>
      </c>
      <c r="O726" s="181">
        <v>62106.972559999995</v>
      </c>
      <c r="P726" s="181">
        <v>40.64</v>
      </c>
      <c r="Q726" s="181">
        <v>11737726.201919999</v>
      </c>
      <c r="R726" s="181">
        <v>173702.87839999999</v>
      </c>
      <c r="S726" s="181">
        <v>114217.83607999998</v>
      </c>
      <c r="T726" s="181">
        <v>49.783999999999999</v>
      </c>
      <c r="U726" s="181">
        <v>355877.86888799997</v>
      </c>
      <c r="V726" s="181">
        <v>330299115.84431803</v>
      </c>
    </row>
    <row r="727" spans="1:22">
      <c r="A727" s="2" t="s">
        <v>1472</v>
      </c>
      <c r="B727" s="2" t="s">
        <v>1473</v>
      </c>
      <c r="C727" s="181">
        <v>33.483599999999996</v>
      </c>
      <c r="D727" s="181">
        <v>4232.2495999999992</v>
      </c>
      <c r="E727" s="181">
        <v>153.16200000000001</v>
      </c>
      <c r="F727" s="181">
        <v>204.47</v>
      </c>
      <c r="G727" s="181">
        <v>8.5090000000000003</v>
      </c>
      <c r="H727" s="181">
        <v>14.604999999999999</v>
      </c>
      <c r="I727" s="181">
        <v>0</v>
      </c>
      <c r="J727" s="181">
        <v>20.32</v>
      </c>
      <c r="K727" s="181">
        <v>0</v>
      </c>
      <c r="L727" s="181">
        <v>14.8</v>
      </c>
      <c r="M727" s="181">
        <v>6909441.6649599997</v>
      </c>
      <c r="N727" s="181">
        <v>99961.090399999986</v>
      </c>
      <c r="O727" s="181">
        <v>55552.146959999998</v>
      </c>
      <c r="P727" s="181">
        <v>40.386000000000003</v>
      </c>
      <c r="Q727" s="181">
        <v>10405785.639999999</v>
      </c>
      <c r="R727" s="181">
        <v>155185.49607999998</v>
      </c>
      <c r="S727" s="181">
        <v>101763.66743999999</v>
      </c>
      <c r="T727" s="181">
        <v>49.529999999999994</v>
      </c>
      <c r="U727" s="181">
        <v>260977.10385119996</v>
      </c>
      <c r="V727" s="181">
        <v>237654241.88798496</v>
      </c>
    </row>
    <row r="728" spans="1:22">
      <c r="A728" s="2" t="s">
        <v>1474</v>
      </c>
      <c r="B728" s="2" t="s">
        <v>1475</v>
      </c>
      <c r="C728" s="181">
        <v>29.763199999999998</v>
      </c>
      <c r="D728" s="181">
        <v>3767.7343999999998</v>
      </c>
      <c r="E728" s="181">
        <v>151.63799999999998</v>
      </c>
      <c r="F728" s="181">
        <v>203.45399999999998</v>
      </c>
      <c r="G728" s="181">
        <v>7.4929999999999994</v>
      </c>
      <c r="H728" s="181">
        <v>13.081</v>
      </c>
      <c r="I728" s="181">
        <v>0</v>
      </c>
      <c r="J728" s="181">
        <v>21.843999999999998</v>
      </c>
      <c r="K728" s="181">
        <v>0</v>
      </c>
      <c r="L728" s="181">
        <v>16.8</v>
      </c>
      <c r="M728" s="181">
        <v>5993732.5286399992</v>
      </c>
      <c r="N728" s="181">
        <v>86523.697919999991</v>
      </c>
      <c r="O728" s="181">
        <v>48341.838799999998</v>
      </c>
      <c r="P728" s="181">
        <v>39.878</v>
      </c>
      <c r="Q728" s="181">
        <v>9157091.3631999996</v>
      </c>
      <c r="R728" s="181">
        <v>137323.59632000001</v>
      </c>
      <c r="S728" s="181">
        <v>90128.851999999984</v>
      </c>
      <c r="T728" s="181">
        <v>49.275999999999996</v>
      </c>
      <c r="U728" s="181">
        <v>188136.6043712</v>
      </c>
      <c r="V728" s="181">
        <v>166492237.25485951</v>
      </c>
    </row>
    <row r="729" spans="1:22">
      <c r="A729" s="2" t="s">
        <v>1476</v>
      </c>
      <c r="B729" s="2" t="s">
        <v>1477</v>
      </c>
      <c r="C729" s="181">
        <v>26.0428</v>
      </c>
      <c r="D729" s="181">
        <v>3335.4771999999998</v>
      </c>
      <c r="E729" s="181">
        <v>158.75</v>
      </c>
      <c r="F729" s="181">
        <v>166.62399999999997</v>
      </c>
      <c r="G729" s="181">
        <v>7.6199999999999992</v>
      </c>
      <c r="H729" s="181">
        <v>13.208</v>
      </c>
      <c r="I729" s="181">
        <v>0</v>
      </c>
      <c r="J729" s="181">
        <v>16.954499999999996</v>
      </c>
      <c r="K729" s="181">
        <v>0</v>
      </c>
      <c r="L729" s="181">
        <v>18.100000000000001</v>
      </c>
      <c r="M729" s="181">
        <v>6659702.8095999993</v>
      </c>
      <c r="N729" s="181">
        <v>93570.135439999984</v>
      </c>
      <c r="O729" s="181">
        <v>52930.216719999997</v>
      </c>
      <c r="P729" s="181">
        <v>44.704000000000001</v>
      </c>
      <c r="Q729" s="181">
        <v>5078023.3923199996</v>
      </c>
      <c r="R729" s="181">
        <v>93897.87672</v>
      </c>
      <c r="S729" s="181">
        <v>61123.748719999996</v>
      </c>
      <c r="T729" s="181">
        <v>39.116</v>
      </c>
      <c r="U729" s="181">
        <v>153589.39604639998</v>
      </c>
      <c r="V729" s="181">
        <v>117350173.67802195</v>
      </c>
    </row>
    <row r="730" spans="1:22">
      <c r="A730" s="2" t="s">
        <v>1478</v>
      </c>
      <c r="B730" s="2" t="s">
        <v>1479</v>
      </c>
      <c r="C730" s="181">
        <v>22.322399999999998</v>
      </c>
      <c r="D730" s="181">
        <v>2838.7040000000002</v>
      </c>
      <c r="E730" s="181">
        <v>156.71799999999999</v>
      </c>
      <c r="F730" s="181">
        <v>165.60799999999998</v>
      </c>
      <c r="G730" s="181">
        <v>6.6040000000000001</v>
      </c>
      <c r="H730" s="181">
        <v>11.176</v>
      </c>
      <c r="I730" s="181">
        <v>0</v>
      </c>
      <c r="J730" s="181">
        <v>17.399000000000001</v>
      </c>
      <c r="K730" s="181">
        <v>0</v>
      </c>
      <c r="L730" s="181">
        <v>20.9</v>
      </c>
      <c r="M730" s="181">
        <v>5619124.2455999991</v>
      </c>
      <c r="N730" s="181">
        <v>79149.519119999997</v>
      </c>
      <c r="O730" s="181">
        <v>45064.425999999992</v>
      </c>
      <c r="P730" s="181">
        <v>44.449999999999996</v>
      </c>
      <c r="Q730" s="181">
        <v>4245560.5411199993</v>
      </c>
      <c r="R730" s="181">
        <v>78330.165919999999</v>
      </c>
      <c r="S730" s="181">
        <v>51127.63968</v>
      </c>
      <c r="T730" s="181">
        <v>38.607999999999997</v>
      </c>
      <c r="U730" s="181">
        <v>94900.765036799989</v>
      </c>
      <c r="V730" s="181">
        <v>71699076.366205633</v>
      </c>
    </row>
    <row r="731" spans="1:22">
      <c r="A731" s="2" t="s">
        <v>1480</v>
      </c>
      <c r="B731" s="2" t="s">
        <v>1481</v>
      </c>
      <c r="C731" s="181">
        <v>19.346080000000001</v>
      </c>
      <c r="D731" s="181">
        <v>2464.5111999999999</v>
      </c>
      <c r="E731" s="181">
        <v>155.19399999999999</v>
      </c>
      <c r="F731" s="181">
        <v>164.846</v>
      </c>
      <c r="G731" s="181">
        <v>5.8419999999999996</v>
      </c>
      <c r="H731" s="181">
        <v>9.6519999999999992</v>
      </c>
      <c r="I731" s="181">
        <v>0</v>
      </c>
      <c r="J731" s="181">
        <v>17.335499999999996</v>
      </c>
      <c r="K731" s="181">
        <v>0</v>
      </c>
      <c r="L731" s="181">
        <v>23.6</v>
      </c>
      <c r="M731" s="181">
        <v>4869907.6795199988</v>
      </c>
      <c r="N731" s="181">
        <v>68825.668799999999</v>
      </c>
      <c r="O731" s="181">
        <v>39328.953599999993</v>
      </c>
      <c r="P731" s="181">
        <v>44.449999999999996</v>
      </c>
      <c r="Q731" s="181">
        <v>3604564.1456959997</v>
      </c>
      <c r="R731" s="181">
        <v>66859.221120000002</v>
      </c>
      <c r="S731" s="181">
        <v>43753.460879999991</v>
      </c>
      <c r="T731" s="181">
        <v>38.353999999999999</v>
      </c>
      <c r="U731" s="181">
        <v>62434.713839999989</v>
      </c>
      <c r="V731" s="181">
        <v>46725240.777976699</v>
      </c>
    </row>
    <row r="732" spans="1:22">
      <c r="A732" s="2" t="s">
        <v>1482</v>
      </c>
      <c r="B732" s="2" t="s">
        <v>1483</v>
      </c>
      <c r="C732" s="181">
        <v>16.369759999999999</v>
      </c>
      <c r="D732" s="181">
        <v>2090.3184000000001</v>
      </c>
      <c r="E732" s="181">
        <v>156.464</v>
      </c>
      <c r="F732" s="181">
        <v>102.36199999999999</v>
      </c>
      <c r="G732" s="181">
        <v>6.6040000000000001</v>
      </c>
      <c r="H732" s="181">
        <v>10.795</v>
      </c>
      <c r="I732" s="181">
        <v>0</v>
      </c>
      <c r="J732" s="181">
        <v>13.0175</v>
      </c>
      <c r="K732" s="181">
        <v>0</v>
      </c>
      <c r="L732" s="181">
        <v>20.9</v>
      </c>
      <c r="M732" s="181">
        <v>4869907.6795199988</v>
      </c>
      <c r="N732" s="181">
        <v>75872.106319999992</v>
      </c>
      <c r="O732" s="181">
        <v>42442.495759999991</v>
      </c>
      <c r="P732" s="181">
        <v>48.26</v>
      </c>
      <c r="Q732" s="181">
        <v>969819.22164799995</v>
      </c>
      <c r="R732" s="181">
        <v>29988.327119999998</v>
      </c>
      <c r="S732" s="181">
        <v>18845.123599999995</v>
      </c>
      <c r="T732" s="181">
        <v>21.5138</v>
      </c>
      <c r="U732" s="181">
        <v>60769.788137599993</v>
      </c>
      <c r="V732" s="181">
        <v>36789413.715993151</v>
      </c>
    </row>
    <row r="733" spans="1:22">
      <c r="A733" s="2" t="s">
        <v>1484</v>
      </c>
      <c r="B733" s="2" t="s">
        <v>1485</v>
      </c>
      <c r="C733" s="181">
        <v>14.137519999999999</v>
      </c>
      <c r="D733" s="181">
        <v>1799.9964</v>
      </c>
      <c r="E733" s="181">
        <v>154.43199999999999</v>
      </c>
      <c r="F733" s="181">
        <v>101.85399999999998</v>
      </c>
      <c r="G733" s="181">
        <v>5.9689999999999994</v>
      </c>
      <c r="H733" s="181">
        <v>8.8899999999999988</v>
      </c>
      <c r="I733" s="181">
        <v>0</v>
      </c>
      <c r="J733" s="181">
        <v>13.334999999999999</v>
      </c>
      <c r="K733" s="181">
        <v>0</v>
      </c>
      <c r="L733" s="181">
        <v>23.1</v>
      </c>
      <c r="M733" s="181">
        <v>4203937.3985599997</v>
      </c>
      <c r="N733" s="181">
        <v>67350.833039999998</v>
      </c>
      <c r="O733" s="181">
        <v>37362.505919999996</v>
      </c>
      <c r="P733" s="181">
        <v>48.26</v>
      </c>
      <c r="Q733" s="181">
        <v>782515.08012799989</v>
      </c>
      <c r="R733" s="181">
        <v>24416.725359999997</v>
      </c>
      <c r="S733" s="181">
        <v>15387.453095999997</v>
      </c>
      <c r="T733" s="181">
        <v>20.853399999999997</v>
      </c>
      <c r="U733" s="181">
        <v>37419.205161439997</v>
      </c>
      <c r="V733" s="181">
        <v>25081249.934844963</v>
      </c>
    </row>
    <row r="734" spans="1:22">
      <c r="A734" s="2" t="s">
        <v>1486</v>
      </c>
      <c r="B734" s="2" t="s">
        <v>1487</v>
      </c>
      <c r="C734" s="181">
        <v>11.905279999999999</v>
      </c>
      <c r="D734" s="181">
        <v>1522.5775999999998</v>
      </c>
      <c r="E734" s="181">
        <v>152.39999999999998</v>
      </c>
      <c r="F734" s="181">
        <v>101.346</v>
      </c>
      <c r="G734" s="181">
        <v>5.5880000000000001</v>
      </c>
      <c r="H734" s="181">
        <v>6.7309999999999999</v>
      </c>
      <c r="I734" s="181">
        <v>0</v>
      </c>
      <c r="J734" s="181">
        <v>13.906499999999999</v>
      </c>
      <c r="K734" s="181">
        <v>0</v>
      </c>
      <c r="L734" s="181">
        <v>24.7</v>
      </c>
      <c r="M734" s="181">
        <v>3621213.4027199992</v>
      </c>
      <c r="N734" s="181">
        <v>60959.878079999995</v>
      </c>
      <c r="O734" s="181">
        <v>33429.610560000001</v>
      </c>
      <c r="P734" s="181">
        <v>48.767999999999994</v>
      </c>
      <c r="Q734" s="181">
        <v>586886.31009599986</v>
      </c>
      <c r="R734" s="181">
        <v>18517.382319999997</v>
      </c>
      <c r="S734" s="181">
        <v>11569.267183999998</v>
      </c>
      <c r="T734" s="181">
        <v>19.6342</v>
      </c>
      <c r="U734" s="181">
        <v>21269.425848159997</v>
      </c>
      <c r="V734" s="181">
        <v>18206731.751418509</v>
      </c>
    </row>
    <row r="735" spans="1:22">
      <c r="A735" s="2" t="s">
        <v>1488</v>
      </c>
      <c r="B735" s="2" t="s">
        <v>1489</v>
      </c>
      <c r="C735" s="181">
        <v>10.417119999999999</v>
      </c>
      <c r="D735" s="181">
        <v>1341.9328</v>
      </c>
      <c r="E735" s="181">
        <v>151.38399999999999</v>
      </c>
      <c r="F735" s="181">
        <v>100.83799999999999</v>
      </c>
      <c r="G735" s="181">
        <v>5.08</v>
      </c>
      <c r="H735" s="181">
        <v>5.7149999999999999</v>
      </c>
      <c r="I735" s="181">
        <v>0</v>
      </c>
      <c r="J735" s="181">
        <v>13.334999999999997</v>
      </c>
      <c r="K735" s="181">
        <v>0</v>
      </c>
      <c r="L735" s="181">
        <v>27.2</v>
      </c>
      <c r="M735" s="181">
        <v>3192495.0343519999</v>
      </c>
      <c r="N735" s="181">
        <v>54405.052479999991</v>
      </c>
      <c r="O735" s="181">
        <v>29988.327119999998</v>
      </c>
      <c r="P735" s="181">
        <v>48.767999999999994</v>
      </c>
      <c r="Q735" s="181">
        <v>491153.08220799995</v>
      </c>
      <c r="R735" s="181">
        <v>15518.549607999998</v>
      </c>
      <c r="S735" s="181">
        <v>9717.5289519999988</v>
      </c>
      <c r="T735" s="181">
        <v>19.126200000000001</v>
      </c>
      <c r="U735" s="181">
        <v>14568.099896</v>
      </c>
      <c r="V735" s="181">
        <v>13238818.220426731</v>
      </c>
    </row>
    <row r="736" spans="1:22">
      <c r="A736" s="2" t="s">
        <v>1490</v>
      </c>
      <c r="B736" s="2" t="s">
        <v>1491</v>
      </c>
      <c r="C736" s="181">
        <v>83.336959999999991</v>
      </c>
      <c r="D736" s="181">
        <v>10645.14</v>
      </c>
      <c r="E736" s="181">
        <v>144.27199999999999</v>
      </c>
      <c r="F736" s="181">
        <v>264.15999999999997</v>
      </c>
      <c r="G736" s="181">
        <v>19.177</v>
      </c>
      <c r="H736" s="181">
        <v>31.75</v>
      </c>
      <c r="I736" s="181">
        <v>0</v>
      </c>
      <c r="J736" s="181">
        <v>17.462499999999999</v>
      </c>
      <c r="K736" s="181">
        <v>0</v>
      </c>
      <c r="L736" s="181">
        <v>5.21</v>
      </c>
      <c r="M736" s="181">
        <v>11904218.772159999</v>
      </c>
      <c r="N736" s="181">
        <v>219586.65759999998</v>
      </c>
      <c r="O736" s="181">
        <v>104877.2096</v>
      </c>
      <c r="P736" s="181">
        <v>33.527999999999999</v>
      </c>
      <c r="Q736" s="181">
        <v>49115308.220799997</v>
      </c>
      <c r="R736" s="181">
        <v>566992.41440000001</v>
      </c>
      <c r="S736" s="181">
        <v>370347.64639999997</v>
      </c>
      <c r="T736" s="181">
        <v>67.817999999999998</v>
      </c>
      <c r="U736" s="181">
        <v>3121735.6919999998</v>
      </c>
      <c r="V736" s="181">
        <v>4538256144.5276222</v>
      </c>
    </row>
    <row r="737" spans="1:22">
      <c r="A737" s="2" t="s">
        <v>1492</v>
      </c>
      <c r="B737" s="2" t="s">
        <v>1493</v>
      </c>
      <c r="C737" s="181">
        <v>74.408000000000001</v>
      </c>
      <c r="D737" s="181">
        <v>9483.851999999999</v>
      </c>
      <c r="E737" s="181">
        <v>140.97</v>
      </c>
      <c r="F737" s="181">
        <v>261.62</v>
      </c>
      <c r="G737" s="181">
        <v>17.272000000000002</v>
      </c>
      <c r="H737" s="181">
        <v>28.448</v>
      </c>
      <c r="I737" s="181">
        <v>0</v>
      </c>
      <c r="J737" s="181">
        <v>17.589499999999994</v>
      </c>
      <c r="K737" s="181">
        <v>0</v>
      </c>
      <c r="L737" s="181">
        <v>5.78</v>
      </c>
      <c r="M737" s="181">
        <v>10197669.927199999</v>
      </c>
      <c r="N737" s="181">
        <v>186812.52959999998</v>
      </c>
      <c r="O737" s="181">
        <v>91112.07583999999</v>
      </c>
      <c r="P737" s="181">
        <v>32.765999999999998</v>
      </c>
      <c r="Q737" s="181">
        <v>42871836.836799994</v>
      </c>
      <c r="R737" s="181">
        <v>499805.45199999993</v>
      </c>
      <c r="S737" s="181">
        <v>327741.27999999997</v>
      </c>
      <c r="T737" s="181">
        <v>67.309999999999988</v>
      </c>
      <c r="U737" s="181">
        <v>2251812.0124959997</v>
      </c>
      <c r="V737" s="181">
        <v>3195576811.8271422</v>
      </c>
    </row>
    <row r="738" spans="1:22">
      <c r="A738" s="2" t="s">
        <v>1494</v>
      </c>
      <c r="B738" s="2" t="s">
        <v>1495</v>
      </c>
      <c r="C738" s="181">
        <v>65.479039999999998</v>
      </c>
      <c r="D738" s="181">
        <v>8322.5640000000003</v>
      </c>
      <c r="E738" s="181">
        <v>137.66799999999998</v>
      </c>
      <c r="F738" s="181">
        <v>261.62</v>
      </c>
      <c r="G738" s="181">
        <v>15.366999999999999</v>
      </c>
      <c r="H738" s="181">
        <v>25.145999999999997</v>
      </c>
      <c r="I738" s="181">
        <v>0</v>
      </c>
      <c r="J738" s="181">
        <v>17.7165</v>
      </c>
      <c r="K738" s="181">
        <v>0</v>
      </c>
      <c r="L738" s="181">
        <v>6.5</v>
      </c>
      <c r="M738" s="181">
        <v>8657613.6524799988</v>
      </c>
      <c r="N738" s="181">
        <v>158135.16759999999</v>
      </c>
      <c r="O738" s="181">
        <v>78166.295279999991</v>
      </c>
      <c r="P738" s="181">
        <v>32.257999999999996</v>
      </c>
      <c r="Q738" s="181">
        <v>37169466.306079999</v>
      </c>
      <c r="R738" s="181">
        <v>434257.19599999994</v>
      </c>
      <c r="S738" s="181">
        <v>285134.91359999997</v>
      </c>
      <c r="T738" s="181">
        <v>66.801999999999992</v>
      </c>
      <c r="U738" s="181">
        <v>1560867.8459999999</v>
      </c>
      <c r="V738" s="181">
        <v>2153657649.6515698</v>
      </c>
    </row>
    <row r="739" spans="1:22">
      <c r="A739" s="2" t="s">
        <v>1496</v>
      </c>
      <c r="B739" s="2" t="s">
        <v>1497</v>
      </c>
      <c r="C739" s="181">
        <v>57.294159999999998</v>
      </c>
      <c r="D739" s="181">
        <v>7290.308</v>
      </c>
      <c r="E739" s="181">
        <v>134.61999999999998</v>
      </c>
      <c r="F739" s="181">
        <v>259.08</v>
      </c>
      <c r="G739" s="181">
        <v>13.462</v>
      </c>
      <c r="H739" s="181">
        <v>22.097999999999999</v>
      </c>
      <c r="I739" s="181">
        <v>0</v>
      </c>
      <c r="J739" s="181">
        <v>17.589500000000001</v>
      </c>
      <c r="K739" s="181">
        <v>0</v>
      </c>
      <c r="L739" s="181">
        <v>7.42</v>
      </c>
      <c r="M739" s="181">
        <v>7242426.8054399984</v>
      </c>
      <c r="N739" s="181">
        <v>132079.73584000001</v>
      </c>
      <c r="O739" s="181">
        <v>66367.609199999992</v>
      </c>
      <c r="P739" s="181">
        <v>31.495999999999999</v>
      </c>
      <c r="Q739" s="181">
        <v>31966573.486079995</v>
      </c>
      <c r="R739" s="181">
        <v>375263.76559999993</v>
      </c>
      <c r="S739" s="181">
        <v>247444.66639999996</v>
      </c>
      <c r="T739" s="181">
        <v>66.039999999999992</v>
      </c>
      <c r="U739" s="181">
        <v>1061390.1352799998</v>
      </c>
      <c r="V739" s="181">
        <v>1425925451.3279095</v>
      </c>
    </row>
    <row r="740" spans="1:22">
      <c r="A740" s="2" t="s">
        <v>1498</v>
      </c>
      <c r="B740" s="2" t="s">
        <v>1499</v>
      </c>
      <c r="C740" s="181">
        <v>50.597439999999999</v>
      </c>
      <c r="D740" s="181">
        <v>6445.1484</v>
      </c>
      <c r="E740" s="181">
        <v>132.07999999999998</v>
      </c>
      <c r="F740" s="181">
        <v>256.53999999999996</v>
      </c>
      <c r="G740" s="181">
        <v>11.937999999999999</v>
      </c>
      <c r="H740" s="181">
        <v>19.558</v>
      </c>
      <c r="I740" s="181">
        <v>0</v>
      </c>
      <c r="J740" s="181">
        <v>16.954499999999996</v>
      </c>
      <c r="K740" s="181">
        <v>0</v>
      </c>
      <c r="L740" s="181">
        <v>8.36</v>
      </c>
      <c r="M740" s="181">
        <v>6201848.2414399991</v>
      </c>
      <c r="N740" s="181">
        <v>112251.38839999998</v>
      </c>
      <c r="O740" s="181">
        <v>57190.853360000001</v>
      </c>
      <c r="P740" s="181">
        <v>30.987999999999996</v>
      </c>
      <c r="Q740" s="181">
        <v>27762636.08752</v>
      </c>
      <c r="R740" s="181">
        <v>327741.27999999997</v>
      </c>
      <c r="S740" s="181">
        <v>216309.24479999996</v>
      </c>
      <c r="T740" s="181">
        <v>65.531999999999996</v>
      </c>
      <c r="U740" s="181">
        <v>740891.93756799994</v>
      </c>
      <c r="V740" s="181">
        <v>972099836.87514746</v>
      </c>
    </row>
    <row r="741" spans="1:22">
      <c r="A741" s="2" t="s">
        <v>1500</v>
      </c>
      <c r="B741" s="2" t="s">
        <v>1501</v>
      </c>
      <c r="C741" s="181">
        <v>44.644799999999996</v>
      </c>
      <c r="D741" s="181">
        <v>5690.3112000000001</v>
      </c>
      <c r="E741" s="181">
        <v>129.79400000000001</v>
      </c>
      <c r="F741" s="181">
        <v>256.53999999999996</v>
      </c>
      <c r="G741" s="181">
        <v>10.667999999999999</v>
      </c>
      <c r="H741" s="181">
        <v>17.272000000000002</v>
      </c>
      <c r="I741" s="181">
        <v>0</v>
      </c>
      <c r="J741" s="181">
        <v>17.652999999999995</v>
      </c>
      <c r="K741" s="181">
        <v>0</v>
      </c>
      <c r="L741" s="181">
        <v>9.36</v>
      </c>
      <c r="M741" s="181">
        <v>5369385.3902399996</v>
      </c>
      <c r="N741" s="181">
        <v>96192.06568</v>
      </c>
      <c r="O741" s="181">
        <v>49816.674559999999</v>
      </c>
      <c r="P741" s="181">
        <v>30.733999999999998</v>
      </c>
      <c r="Q741" s="181">
        <v>24183045.827359997</v>
      </c>
      <c r="R741" s="181">
        <v>286773.62</v>
      </c>
      <c r="S741" s="181">
        <v>188451.23599999998</v>
      </c>
      <c r="T741" s="181">
        <v>65.277999999999992</v>
      </c>
      <c r="U741" s="181">
        <v>511964.65348799992</v>
      </c>
      <c r="V741" s="181">
        <v>660598231.68863606</v>
      </c>
    </row>
    <row r="742" spans="1:22">
      <c r="A742" s="2" t="s">
        <v>1502</v>
      </c>
      <c r="B742" s="2" t="s">
        <v>1503</v>
      </c>
      <c r="C742" s="181">
        <v>40.180319999999995</v>
      </c>
      <c r="D742" s="181">
        <v>5103.2155999999995</v>
      </c>
      <c r="E742" s="181">
        <v>128.26999999999998</v>
      </c>
      <c r="F742" s="181">
        <v>254</v>
      </c>
      <c r="G742" s="181">
        <v>9.3979999999999997</v>
      </c>
      <c r="H742" s="181">
        <v>15.620999999999999</v>
      </c>
      <c r="I742" s="181">
        <v>0</v>
      </c>
      <c r="J742" s="181">
        <v>17.7165</v>
      </c>
      <c r="K742" s="181">
        <v>0</v>
      </c>
      <c r="L742" s="181">
        <v>10.6</v>
      </c>
      <c r="M742" s="181">
        <v>4620168.8241599994</v>
      </c>
      <c r="N742" s="181">
        <v>82754.67319999999</v>
      </c>
      <c r="O742" s="181">
        <v>43261.848959999996</v>
      </c>
      <c r="P742" s="181">
        <v>30.225999999999996</v>
      </c>
      <c r="Q742" s="181">
        <v>21519164.70352</v>
      </c>
      <c r="R742" s="181">
        <v>255638.19839999996</v>
      </c>
      <c r="S742" s="181">
        <v>168786.7592</v>
      </c>
      <c r="T742" s="181">
        <v>65.024000000000001</v>
      </c>
      <c r="U742" s="181">
        <v>378354.36587039998</v>
      </c>
      <c r="V742" s="181">
        <v>477993842.44137084</v>
      </c>
    </row>
    <row r="743" spans="1:22">
      <c r="A743" s="2" t="s">
        <v>1504</v>
      </c>
      <c r="B743" s="2" t="s">
        <v>1505</v>
      </c>
      <c r="C743" s="181">
        <v>36.459919999999997</v>
      </c>
      <c r="D743" s="181">
        <v>4651.6035999999995</v>
      </c>
      <c r="E743" s="181">
        <v>126.746</v>
      </c>
      <c r="F743" s="181">
        <v>254</v>
      </c>
      <c r="G743" s="181">
        <v>8.636000000000001</v>
      </c>
      <c r="H743" s="181">
        <v>14.224</v>
      </c>
      <c r="I743" s="181">
        <v>0</v>
      </c>
      <c r="J743" s="181">
        <v>17.526</v>
      </c>
      <c r="K743" s="181">
        <v>0</v>
      </c>
      <c r="L743" s="181">
        <v>11.6</v>
      </c>
      <c r="M743" s="181">
        <v>4162314.2559999996</v>
      </c>
      <c r="N743" s="181">
        <v>74069.529279999988</v>
      </c>
      <c r="O743" s="181">
        <v>39165.08296</v>
      </c>
      <c r="P743" s="181">
        <v>29.971999999999998</v>
      </c>
      <c r="Q743" s="181">
        <v>19438007.575519998</v>
      </c>
      <c r="R743" s="181">
        <v>231057.60239999997</v>
      </c>
      <c r="S743" s="181">
        <v>153055.17775999999</v>
      </c>
      <c r="T743" s="181">
        <v>64.515999999999991</v>
      </c>
      <c r="U743" s="181">
        <v>288448.37794079992</v>
      </c>
      <c r="V743" s="181">
        <v>357152702.49832767</v>
      </c>
    </row>
    <row r="744" spans="1:22">
      <c r="A744" s="2" t="s">
        <v>1506</v>
      </c>
      <c r="B744" s="2" t="s">
        <v>1507</v>
      </c>
      <c r="C744" s="181">
        <v>33.483599999999996</v>
      </c>
      <c r="D744" s="181">
        <v>4277.4107999999997</v>
      </c>
      <c r="E744" s="181">
        <v>128.26999999999998</v>
      </c>
      <c r="F744" s="181">
        <v>203.70799999999997</v>
      </c>
      <c r="G744" s="181">
        <v>8.8899999999999988</v>
      </c>
      <c r="H744" s="181">
        <v>15.747999999999999</v>
      </c>
      <c r="I744" s="181">
        <v>0</v>
      </c>
      <c r="J744" s="181">
        <v>17.589500000000001</v>
      </c>
      <c r="K744" s="181">
        <v>0</v>
      </c>
      <c r="L744" s="181">
        <v>11.2</v>
      </c>
      <c r="M744" s="181">
        <v>4245560.5411199993</v>
      </c>
      <c r="N744" s="181">
        <v>76199.847599999994</v>
      </c>
      <c r="O744" s="181">
        <v>40476.04808</v>
      </c>
      <c r="P744" s="181">
        <v>31.495999999999999</v>
      </c>
      <c r="Q744" s="181">
        <v>11113379.063519999</v>
      </c>
      <c r="R744" s="181">
        <v>165509.34639999998</v>
      </c>
      <c r="S744" s="181">
        <v>108973.97559999999</v>
      </c>
      <c r="T744" s="181">
        <v>51.053999999999995</v>
      </c>
      <c r="U744" s="181">
        <v>313422.2634768</v>
      </c>
      <c r="V744" s="181">
        <v>263433685.07583416</v>
      </c>
    </row>
    <row r="745" spans="1:22">
      <c r="A745" s="2" t="s">
        <v>1508</v>
      </c>
      <c r="B745" s="2" t="s">
        <v>1509</v>
      </c>
      <c r="C745" s="181">
        <v>29.019119999999997</v>
      </c>
      <c r="D745" s="181">
        <v>3696.7667999999999</v>
      </c>
      <c r="E745" s="181">
        <v>125.98399999999999</v>
      </c>
      <c r="F745" s="181">
        <v>202.946</v>
      </c>
      <c r="G745" s="181">
        <v>8.0009999999999994</v>
      </c>
      <c r="H745" s="181">
        <v>13.462</v>
      </c>
      <c r="I745" s="181">
        <v>0</v>
      </c>
      <c r="J745" s="181">
        <v>16.700499999999998</v>
      </c>
      <c r="K745" s="181">
        <v>0</v>
      </c>
      <c r="L745" s="181">
        <v>12.5</v>
      </c>
      <c r="M745" s="181">
        <v>3679485.8023039997</v>
      </c>
      <c r="N745" s="181">
        <v>65384.38536</v>
      </c>
      <c r="O745" s="181">
        <v>35396.058239999998</v>
      </c>
      <c r="P745" s="181">
        <v>31.495999999999999</v>
      </c>
      <c r="Q745" s="181">
        <v>9365207.0759999994</v>
      </c>
      <c r="R745" s="181">
        <v>140437.13847999999</v>
      </c>
      <c r="S745" s="181">
        <v>92423.040959999984</v>
      </c>
      <c r="T745" s="181">
        <v>50.291999999999994</v>
      </c>
      <c r="U745" s="181">
        <v>202704.70426719997</v>
      </c>
      <c r="V745" s="181">
        <v>165418093.78869912</v>
      </c>
    </row>
    <row r="746" spans="1:22">
      <c r="A746" s="2" t="s">
        <v>1510</v>
      </c>
      <c r="B746" s="2" t="s">
        <v>1511</v>
      </c>
      <c r="C746" s="181">
        <v>24.554639999999999</v>
      </c>
      <c r="D746" s="181">
        <v>3129.0259999999998</v>
      </c>
      <c r="E746" s="181">
        <v>123.69799999999999</v>
      </c>
      <c r="F746" s="181">
        <v>202.184</v>
      </c>
      <c r="G746" s="181">
        <v>7.3659999999999988</v>
      </c>
      <c r="H746" s="181">
        <v>11.048999999999999</v>
      </c>
      <c r="I746" s="181">
        <v>0</v>
      </c>
      <c r="J746" s="181">
        <v>17.526</v>
      </c>
      <c r="K746" s="181">
        <v>0</v>
      </c>
      <c r="L746" s="181">
        <v>13.6</v>
      </c>
      <c r="M746" s="181">
        <v>3209144.2913759998</v>
      </c>
      <c r="N746" s="181">
        <v>57026.982719999993</v>
      </c>
      <c r="O746" s="181">
        <v>31627.033519999997</v>
      </c>
      <c r="P746" s="181">
        <v>32.003999999999998</v>
      </c>
      <c r="Q746" s="181">
        <v>7617035.0884799995</v>
      </c>
      <c r="R746" s="181">
        <v>114709.44799999999</v>
      </c>
      <c r="S746" s="181">
        <v>75380.494399999981</v>
      </c>
      <c r="T746" s="181">
        <v>49.275999999999996</v>
      </c>
      <c r="U746" s="181">
        <v>121123.34484959998</v>
      </c>
      <c r="V746" s="181">
        <v>95598768.488274172</v>
      </c>
    </row>
    <row r="747" spans="1:22">
      <c r="A747" s="2" t="s">
        <v>1512</v>
      </c>
      <c r="B747" s="2" t="s">
        <v>1513</v>
      </c>
      <c r="C747" s="181">
        <v>22.322399999999998</v>
      </c>
      <c r="D747" s="181">
        <v>2851.6071999999999</v>
      </c>
      <c r="E747" s="181">
        <v>133.096</v>
      </c>
      <c r="F747" s="181">
        <v>147.57399999999998</v>
      </c>
      <c r="G747" s="181">
        <v>7.6199999999999992</v>
      </c>
      <c r="H747" s="181">
        <v>12.953999999999999</v>
      </c>
      <c r="I747" s="181">
        <v>0</v>
      </c>
      <c r="J747" s="181">
        <v>15.621</v>
      </c>
      <c r="K747" s="181">
        <v>0</v>
      </c>
      <c r="L747" s="181">
        <v>14.8</v>
      </c>
      <c r="M747" s="181">
        <v>3862627.6295679994</v>
      </c>
      <c r="N747" s="181">
        <v>65712.126639999988</v>
      </c>
      <c r="O747" s="181">
        <v>36707.023359999999</v>
      </c>
      <c r="P747" s="181">
        <v>36.83</v>
      </c>
      <c r="Q747" s="181">
        <v>3475532.4037599997</v>
      </c>
      <c r="R747" s="181">
        <v>72266.952239999999</v>
      </c>
      <c r="S747" s="181">
        <v>47030.873679999997</v>
      </c>
      <c r="T747" s="181">
        <v>34.798000000000002</v>
      </c>
      <c r="U747" s="181">
        <v>129031.74193599999</v>
      </c>
      <c r="V747" s="181">
        <v>73310291.565446213</v>
      </c>
    </row>
    <row r="748" spans="1:22">
      <c r="A748" s="2" t="s">
        <v>1514</v>
      </c>
      <c r="B748" s="2" t="s">
        <v>1515</v>
      </c>
      <c r="C748" s="181">
        <v>19.346080000000001</v>
      </c>
      <c r="D748" s="181">
        <v>2458.0596</v>
      </c>
      <c r="E748" s="181">
        <v>131.31799999999998</v>
      </c>
      <c r="F748" s="181">
        <v>146.55799999999999</v>
      </c>
      <c r="G748" s="181">
        <v>6.6040000000000001</v>
      </c>
      <c r="H748" s="181">
        <v>11.176</v>
      </c>
      <c r="I748" s="181">
        <v>0</v>
      </c>
      <c r="J748" s="181">
        <v>15.811499999999997</v>
      </c>
      <c r="K748" s="181">
        <v>0</v>
      </c>
      <c r="L748" s="181">
        <v>17</v>
      </c>
      <c r="M748" s="181">
        <v>3271579.0052159997</v>
      </c>
      <c r="N748" s="181">
        <v>55552.146959999998</v>
      </c>
      <c r="O748" s="181">
        <v>31299.292239999995</v>
      </c>
      <c r="P748" s="181">
        <v>36.575999999999993</v>
      </c>
      <c r="Q748" s="181">
        <v>2934431.5504799997</v>
      </c>
      <c r="R748" s="181">
        <v>61451.489999999991</v>
      </c>
      <c r="S748" s="181">
        <v>39984.436159999997</v>
      </c>
      <c r="T748" s="181">
        <v>34.544000000000004</v>
      </c>
      <c r="U748" s="181">
        <v>83662.516545599996</v>
      </c>
      <c r="V748" s="181">
        <v>46456704.911436602</v>
      </c>
    </row>
    <row r="749" spans="1:22">
      <c r="A749" s="2" t="s">
        <v>1516</v>
      </c>
      <c r="B749" s="2" t="s">
        <v>1517</v>
      </c>
      <c r="C749" s="181">
        <v>16.369759999999999</v>
      </c>
      <c r="D749" s="181">
        <v>2090.3184000000001</v>
      </c>
      <c r="E749" s="181">
        <v>129.286</v>
      </c>
      <c r="F749" s="181">
        <v>146.04999999999998</v>
      </c>
      <c r="G749" s="181">
        <v>6.0959999999999992</v>
      </c>
      <c r="H749" s="181">
        <v>9.1439999999999984</v>
      </c>
      <c r="I749" s="181">
        <v>0</v>
      </c>
      <c r="J749" s="181">
        <v>14.668500000000002</v>
      </c>
      <c r="K749" s="181">
        <v>0</v>
      </c>
      <c r="L749" s="181">
        <v>18.399999999999999</v>
      </c>
      <c r="M749" s="181">
        <v>2863672.2081279997</v>
      </c>
      <c r="N749" s="181">
        <v>49488.933279999997</v>
      </c>
      <c r="O749" s="181">
        <v>28185.750079999998</v>
      </c>
      <c r="P749" s="181">
        <v>37.083999999999996</v>
      </c>
      <c r="Q749" s="181">
        <v>2376681.4401759999</v>
      </c>
      <c r="R749" s="181">
        <v>49980.545199999993</v>
      </c>
      <c r="S749" s="181">
        <v>32610.257359999996</v>
      </c>
      <c r="T749" s="181">
        <v>33.781999999999996</v>
      </c>
      <c r="U749" s="181">
        <v>49531.539646399993</v>
      </c>
      <c r="V749" s="181">
        <v>28733337.719790269</v>
      </c>
    </row>
    <row r="750" spans="1:22">
      <c r="A750" s="2" t="s">
        <v>1518</v>
      </c>
      <c r="B750" s="2" t="s">
        <v>1519</v>
      </c>
      <c r="C750" s="181">
        <v>14.137519999999999</v>
      </c>
      <c r="D750" s="181">
        <v>1812.8996</v>
      </c>
      <c r="E750" s="181">
        <v>130.048</v>
      </c>
      <c r="F750" s="181">
        <v>102.10799999999999</v>
      </c>
      <c r="G750" s="181">
        <v>6.35</v>
      </c>
      <c r="H750" s="181">
        <v>10.032999999999999</v>
      </c>
      <c r="I750" s="181">
        <v>0</v>
      </c>
      <c r="J750" s="181">
        <v>13.779500000000001</v>
      </c>
      <c r="K750" s="181">
        <v>0</v>
      </c>
      <c r="L750" s="181">
        <v>17.7</v>
      </c>
      <c r="M750" s="181">
        <v>2780425.9230079995</v>
      </c>
      <c r="N750" s="181">
        <v>50799.898399999998</v>
      </c>
      <c r="O750" s="181">
        <v>28513.491359999996</v>
      </c>
      <c r="P750" s="181">
        <v>39.116</v>
      </c>
      <c r="Q750" s="181">
        <v>894897.5650399999</v>
      </c>
      <c r="R750" s="181">
        <v>27366.396879999997</v>
      </c>
      <c r="S750" s="181">
        <v>17534.158479999998</v>
      </c>
      <c r="T750" s="181">
        <v>22.1996</v>
      </c>
      <c r="U750" s="181">
        <v>48282.8453696</v>
      </c>
      <c r="V750" s="181">
        <v>21375454.976591643</v>
      </c>
    </row>
    <row r="751" spans="1:22">
      <c r="A751" s="2" t="s">
        <v>1520</v>
      </c>
      <c r="B751" s="2" t="s">
        <v>1521</v>
      </c>
      <c r="C751" s="181">
        <v>12.64936</v>
      </c>
      <c r="D751" s="181">
        <v>1612.8999999999999</v>
      </c>
      <c r="E751" s="181">
        <v>128.26999999999998</v>
      </c>
      <c r="F751" s="181">
        <v>101.85399999999998</v>
      </c>
      <c r="G751" s="181">
        <v>6.0959999999999992</v>
      </c>
      <c r="H751" s="181">
        <v>8.3819999999999997</v>
      </c>
      <c r="I751" s="181">
        <v>0</v>
      </c>
      <c r="J751" s="181">
        <v>13.842999999999998</v>
      </c>
      <c r="K751" s="181">
        <v>0</v>
      </c>
      <c r="L751" s="181">
        <v>18.399999999999999</v>
      </c>
      <c r="M751" s="181">
        <v>2522362.4391359994</v>
      </c>
      <c r="N751" s="181">
        <v>47522.485599999993</v>
      </c>
      <c r="O751" s="181">
        <v>26547.043679999999</v>
      </c>
      <c r="P751" s="181">
        <v>39.624000000000002</v>
      </c>
      <c r="Q751" s="181">
        <v>740891.93756799994</v>
      </c>
      <c r="R751" s="181">
        <v>22941.889599999995</v>
      </c>
      <c r="S751" s="181">
        <v>14535.325767999999</v>
      </c>
      <c r="T751" s="181">
        <v>21.4376</v>
      </c>
      <c r="U751" s="181">
        <v>32299.55862656</v>
      </c>
      <c r="V751" s="181">
        <v>16380687.858945854</v>
      </c>
    </row>
    <row r="752" spans="1:22">
      <c r="A752" s="2" t="s">
        <v>1522</v>
      </c>
      <c r="B752" s="2" t="s">
        <v>1523</v>
      </c>
      <c r="C752" s="181">
        <v>11.161199999999999</v>
      </c>
      <c r="D752" s="181">
        <v>1425.8036</v>
      </c>
      <c r="E752" s="181">
        <v>127</v>
      </c>
      <c r="F752" s="181">
        <v>101.6</v>
      </c>
      <c r="G752" s="181">
        <v>5.8419999999999996</v>
      </c>
      <c r="H752" s="181">
        <v>6.8579999999999997</v>
      </c>
      <c r="I752" s="181">
        <v>0</v>
      </c>
      <c r="J752" s="181">
        <v>13.779499999999999</v>
      </c>
      <c r="K752" s="181">
        <v>0</v>
      </c>
      <c r="L752" s="181">
        <v>19.2</v>
      </c>
      <c r="M752" s="181">
        <v>2268461.2695199996</v>
      </c>
      <c r="N752" s="181">
        <v>44408.943439999995</v>
      </c>
      <c r="O752" s="181">
        <v>24580.595999999998</v>
      </c>
      <c r="P752" s="181">
        <v>39.878</v>
      </c>
      <c r="Q752" s="181">
        <v>603535.56711999991</v>
      </c>
      <c r="R752" s="181">
        <v>18845.123599999995</v>
      </c>
      <c r="S752" s="181">
        <v>11847.847271999999</v>
      </c>
      <c r="T752" s="181">
        <v>20.574000000000002</v>
      </c>
      <c r="U752" s="181">
        <v>21560.787846079998</v>
      </c>
      <c r="V752" s="181">
        <v>12755453.66065456</v>
      </c>
    </row>
    <row r="753" spans="1:22">
      <c r="A753" s="2" t="s">
        <v>1524</v>
      </c>
      <c r="B753" s="2" t="s">
        <v>1525</v>
      </c>
      <c r="C753" s="181">
        <v>8.92896</v>
      </c>
      <c r="D753" s="181">
        <v>1141.9331999999999</v>
      </c>
      <c r="E753" s="181">
        <v>125.22199999999998</v>
      </c>
      <c r="F753" s="181">
        <v>100.58399999999999</v>
      </c>
      <c r="G753" s="181">
        <v>4.8259999999999996</v>
      </c>
      <c r="H753" s="181">
        <v>5.3339999999999996</v>
      </c>
      <c r="I753" s="181">
        <v>0</v>
      </c>
      <c r="J753" s="181">
        <v>13.715999999999998</v>
      </c>
      <c r="K753" s="181">
        <v>0</v>
      </c>
      <c r="L753" s="181">
        <v>23.3</v>
      </c>
      <c r="M753" s="181">
        <v>1810606.7013599996</v>
      </c>
      <c r="N753" s="181">
        <v>36051.540800000002</v>
      </c>
      <c r="O753" s="181">
        <v>19992.218079999999</v>
      </c>
      <c r="P753" s="181">
        <v>39.878</v>
      </c>
      <c r="Q753" s="181">
        <v>453692.25390399998</v>
      </c>
      <c r="R753" s="181">
        <v>14240.358615999998</v>
      </c>
      <c r="S753" s="181">
        <v>9029.2722639999993</v>
      </c>
      <c r="T753" s="181">
        <v>19.939</v>
      </c>
      <c r="U753" s="181">
        <v>11321.494776319998</v>
      </c>
      <c r="V753" s="181">
        <v>6847664.5967724472</v>
      </c>
    </row>
    <row r="754" spans="1:22">
      <c r="A754" s="2" t="s">
        <v>1526</v>
      </c>
      <c r="B754" s="2" t="s">
        <v>1527</v>
      </c>
      <c r="C754" s="181">
        <v>49.853359999999995</v>
      </c>
      <c r="D754" s="181">
        <v>6348.3743999999997</v>
      </c>
      <c r="E754" s="181">
        <v>114.3</v>
      </c>
      <c r="F754" s="181">
        <v>210.31199999999998</v>
      </c>
      <c r="G754" s="181">
        <v>14.477999999999998</v>
      </c>
      <c r="H754" s="181">
        <v>23.748999999999999</v>
      </c>
      <c r="I754" s="181">
        <v>0</v>
      </c>
      <c r="J754" s="181">
        <v>17.526</v>
      </c>
      <c r="K754" s="181">
        <v>0</v>
      </c>
      <c r="L754" s="181">
        <v>5.56</v>
      </c>
      <c r="M754" s="181">
        <v>4536922.5390399992</v>
      </c>
      <c r="N754" s="181">
        <v>103074.63256</v>
      </c>
      <c r="O754" s="181">
        <v>49980.545199999993</v>
      </c>
      <c r="P754" s="181">
        <v>26.669999999999998</v>
      </c>
      <c r="Q754" s="181">
        <v>18439052.154079996</v>
      </c>
      <c r="R754" s="181">
        <v>267109.14319999999</v>
      </c>
      <c r="S754" s="181">
        <v>175341.58479999998</v>
      </c>
      <c r="T754" s="181">
        <v>53.847999999999999</v>
      </c>
      <c r="U754" s="181">
        <v>1044740.8782559998</v>
      </c>
      <c r="V754" s="181">
        <v>955987684.88274169</v>
      </c>
    </row>
    <row r="755" spans="1:22">
      <c r="A755" s="2" t="s">
        <v>1528</v>
      </c>
      <c r="B755" s="2" t="s">
        <v>1529</v>
      </c>
      <c r="C755" s="181">
        <v>43.156639999999996</v>
      </c>
      <c r="D755" s="181">
        <v>5509.6663999999992</v>
      </c>
      <c r="E755" s="181">
        <v>111.252</v>
      </c>
      <c r="F755" s="181">
        <v>208.78800000000001</v>
      </c>
      <c r="G755" s="181">
        <v>12.953999999999999</v>
      </c>
      <c r="H755" s="181">
        <v>20.574000000000002</v>
      </c>
      <c r="I755" s="181">
        <v>0</v>
      </c>
      <c r="J755" s="181">
        <v>17.525999999999993</v>
      </c>
      <c r="K755" s="181">
        <v>0</v>
      </c>
      <c r="L755" s="181">
        <v>6.22</v>
      </c>
      <c r="M755" s="181">
        <v>3796030.6014719992</v>
      </c>
      <c r="N755" s="181">
        <v>86032.085999999996</v>
      </c>
      <c r="O755" s="181">
        <v>42770.237039999993</v>
      </c>
      <c r="P755" s="181">
        <v>26.161999999999999</v>
      </c>
      <c r="Q755" s="181">
        <v>15608678.459999999</v>
      </c>
      <c r="R755" s="181">
        <v>227780.18959999998</v>
      </c>
      <c r="S755" s="181">
        <v>149613.89431999999</v>
      </c>
      <c r="T755" s="181">
        <v>53.339999999999996</v>
      </c>
      <c r="U755" s="181">
        <v>690944.1664959999</v>
      </c>
      <c r="V755" s="181">
        <v>612261775.71141875</v>
      </c>
    </row>
    <row r="756" spans="1:22">
      <c r="A756" s="2" t="s">
        <v>1530</v>
      </c>
      <c r="B756" s="2" t="s">
        <v>1531</v>
      </c>
      <c r="C756" s="181">
        <v>35.71584</v>
      </c>
      <c r="D756" s="181">
        <v>4548.3779999999997</v>
      </c>
      <c r="E756" s="181">
        <v>107.94999999999999</v>
      </c>
      <c r="F756" s="181">
        <v>205.99399999999997</v>
      </c>
      <c r="G756" s="181">
        <v>10.16</v>
      </c>
      <c r="H756" s="181">
        <v>17.399000000000001</v>
      </c>
      <c r="I756" s="181">
        <v>0</v>
      </c>
      <c r="J756" s="181">
        <v>17.525999999999996</v>
      </c>
      <c r="K756" s="181">
        <v>0</v>
      </c>
      <c r="L756" s="181">
        <v>7.93</v>
      </c>
      <c r="M756" s="181">
        <v>2851185.2653599996</v>
      </c>
      <c r="N756" s="181">
        <v>64565.032159999995</v>
      </c>
      <c r="O756" s="181">
        <v>32282.516079999998</v>
      </c>
      <c r="P756" s="181">
        <v>25.0444</v>
      </c>
      <c r="Q756" s="181">
        <v>12695058.480799999</v>
      </c>
      <c r="R756" s="181">
        <v>186812.52959999998</v>
      </c>
      <c r="S756" s="181">
        <v>123066.85063999999</v>
      </c>
      <c r="T756" s="181">
        <v>52.832000000000001</v>
      </c>
      <c r="U756" s="181">
        <v>406658.10281119996</v>
      </c>
      <c r="V756" s="181">
        <v>349096626.50212479</v>
      </c>
    </row>
    <row r="757" spans="1:22">
      <c r="A757" s="2" t="s">
        <v>1532</v>
      </c>
      <c r="B757" s="2" t="s">
        <v>1533</v>
      </c>
      <c r="C757" s="181">
        <v>29.763199999999998</v>
      </c>
      <c r="D757" s="181">
        <v>3787.0891999999999</v>
      </c>
      <c r="E757" s="181">
        <v>104.90199999999999</v>
      </c>
      <c r="F757" s="181">
        <v>204.97800000000001</v>
      </c>
      <c r="G757" s="181">
        <v>9.1439999999999984</v>
      </c>
      <c r="H757" s="181">
        <v>14.224</v>
      </c>
      <c r="I757" s="181">
        <v>0</v>
      </c>
      <c r="J757" s="181">
        <v>17.526</v>
      </c>
      <c r="K757" s="181">
        <v>0</v>
      </c>
      <c r="L757" s="181">
        <v>8.81</v>
      </c>
      <c r="M757" s="181">
        <v>2385006.0686880001</v>
      </c>
      <c r="N757" s="181">
        <v>53257.957999999999</v>
      </c>
      <c r="O757" s="181">
        <v>27694.138159999995</v>
      </c>
      <c r="P757" s="181">
        <v>25.095199999999998</v>
      </c>
      <c r="Q757" s="181">
        <v>10197669.927199999</v>
      </c>
      <c r="R757" s="181">
        <v>151416.47136</v>
      </c>
      <c r="S757" s="181">
        <v>99633.349119999999</v>
      </c>
      <c r="T757" s="181">
        <v>51.815999999999995</v>
      </c>
      <c r="U757" s="181">
        <v>232257.1354848</v>
      </c>
      <c r="V757" s="181">
        <v>192003144.57616863</v>
      </c>
    </row>
    <row r="758" spans="1:22">
      <c r="A758" s="2" t="s">
        <v>1534</v>
      </c>
      <c r="B758" s="2" t="s">
        <v>1535</v>
      </c>
      <c r="C758" s="181">
        <v>26.0428</v>
      </c>
      <c r="D758" s="181">
        <v>3316.1223999999997</v>
      </c>
      <c r="E758" s="181">
        <v>103.12399999999998</v>
      </c>
      <c r="F758" s="181">
        <v>203.70799999999997</v>
      </c>
      <c r="G758" s="181">
        <v>7.8739999999999997</v>
      </c>
      <c r="H758" s="181">
        <v>12.572999999999999</v>
      </c>
      <c r="I758" s="181">
        <v>0</v>
      </c>
      <c r="J758" s="181">
        <v>17.589500000000001</v>
      </c>
      <c r="K758" s="181">
        <v>0</v>
      </c>
      <c r="L758" s="181">
        <v>10.199999999999999</v>
      </c>
      <c r="M758" s="181">
        <v>2006235.4713919999</v>
      </c>
      <c r="N758" s="181">
        <v>44408.943439999995</v>
      </c>
      <c r="O758" s="181">
        <v>23433.501519999998</v>
      </c>
      <c r="P758" s="181">
        <v>24.587199999999999</v>
      </c>
      <c r="Q758" s="181">
        <v>8865729.3652799986</v>
      </c>
      <c r="R758" s="181">
        <v>131915.8652</v>
      </c>
      <c r="S758" s="181">
        <v>87015.309839999987</v>
      </c>
      <c r="T758" s="181">
        <v>51.561999999999991</v>
      </c>
      <c r="U758" s="181">
        <v>159832.86743039999</v>
      </c>
      <c r="V758" s="181">
        <v>128897215.93924607</v>
      </c>
    </row>
    <row r="759" spans="1:22">
      <c r="A759" s="2" t="s">
        <v>1536</v>
      </c>
      <c r="B759" s="2" t="s">
        <v>1537</v>
      </c>
      <c r="C759" s="181">
        <v>23.066479999999999</v>
      </c>
      <c r="D759" s="181">
        <v>2941.9295999999995</v>
      </c>
      <c r="E759" s="181">
        <v>101.6</v>
      </c>
      <c r="F759" s="181">
        <v>203.2</v>
      </c>
      <c r="G759" s="181">
        <v>7.238999999999999</v>
      </c>
      <c r="H759" s="181">
        <v>11.048999999999999</v>
      </c>
      <c r="I759" s="181">
        <v>0</v>
      </c>
      <c r="J759" s="181">
        <v>17.526</v>
      </c>
      <c r="K759" s="181">
        <v>0</v>
      </c>
      <c r="L759" s="181">
        <v>11.1</v>
      </c>
      <c r="M759" s="181">
        <v>1781470.5015679998</v>
      </c>
      <c r="N759" s="181">
        <v>39165.08296</v>
      </c>
      <c r="O759" s="181">
        <v>20975.441919999997</v>
      </c>
      <c r="P759" s="181">
        <v>24.612599999999997</v>
      </c>
      <c r="Q759" s="181">
        <v>7700281.3735999996</v>
      </c>
      <c r="R759" s="181">
        <v>115201.05992</v>
      </c>
      <c r="S759" s="181">
        <v>76035.976959999985</v>
      </c>
      <c r="T759" s="181">
        <v>51.308</v>
      </c>
      <c r="U759" s="181">
        <v>111133.7906352</v>
      </c>
      <c r="V759" s="181">
        <v>87811228.35861139</v>
      </c>
    </row>
    <row r="760" spans="1:22">
      <c r="A760" s="2" t="s">
        <v>1538</v>
      </c>
      <c r="B760" s="2" t="s">
        <v>1539</v>
      </c>
      <c r="C760" s="181">
        <v>20.834239999999998</v>
      </c>
      <c r="D760" s="181">
        <v>2658.0592000000001</v>
      </c>
      <c r="E760" s="181">
        <v>102.36199999999999</v>
      </c>
      <c r="F760" s="181">
        <v>166.11599999999999</v>
      </c>
      <c r="G760" s="181">
        <v>7.238999999999999</v>
      </c>
      <c r="H760" s="181">
        <v>11.811</v>
      </c>
      <c r="I760" s="181">
        <v>0</v>
      </c>
      <c r="J760" s="181">
        <v>12.0015</v>
      </c>
      <c r="K760" s="181">
        <v>0</v>
      </c>
      <c r="L760" s="181">
        <v>11.1</v>
      </c>
      <c r="M760" s="181">
        <v>1760658.930288</v>
      </c>
      <c r="N760" s="181">
        <v>39001.212319999991</v>
      </c>
      <c r="O760" s="181">
        <v>20975.441919999997</v>
      </c>
      <c r="P760" s="181">
        <v>25.654</v>
      </c>
      <c r="Q760" s="181">
        <v>4495299.3964799996</v>
      </c>
      <c r="R760" s="181">
        <v>82590.802559999996</v>
      </c>
      <c r="S760" s="181">
        <v>54241.181839999997</v>
      </c>
      <c r="T760" s="181">
        <v>41.148000000000003</v>
      </c>
      <c r="U760" s="181">
        <v>111550.02206079999</v>
      </c>
      <c r="V760" s="181">
        <v>61763249.304222077</v>
      </c>
    </row>
    <row r="761" spans="1:22">
      <c r="A761" s="2" t="s">
        <v>1540</v>
      </c>
      <c r="B761" s="2" t="s">
        <v>1541</v>
      </c>
      <c r="C761" s="181">
        <v>17.85792</v>
      </c>
      <c r="D761" s="181">
        <v>2283.8663999999999</v>
      </c>
      <c r="E761" s="181">
        <v>100.83799999999999</v>
      </c>
      <c r="F761" s="181">
        <v>165.1</v>
      </c>
      <c r="G761" s="181">
        <v>6.2229999999999999</v>
      </c>
      <c r="H761" s="181">
        <v>10.16</v>
      </c>
      <c r="I761" s="181">
        <v>0</v>
      </c>
      <c r="J761" s="181">
        <v>12.064999999999998</v>
      </c>
      <c r="K761" s="181">
        <v>0</v>
      </c>
      <c r="L761" s="181">
        <v>12.9</v>
      </c>
      <c r="M761" s="181">
        <v>1469296.9323679998</v>
      </c>
      <c r="N761" s="181">
        <v>32446.386719999995</v>
      </c>
      <c r="O761" s="181">
        <v>17698.029119999999</v>
      </c>
      <c r="P761" s="181">
        <v>25.374599999999997</v>
      </c>
      <c r="Q761" s="181">
        <v>3804355.2299839999</v>
      </c>
      <c r="R761" s="181">
        <v>70136.633919999993</v>
      </c>
      <c r="S761" s="181">
        <v>46047.649839999998</v>
      </c>
      <c r="T761" s="181">
        <v>40.893999999999998</v>
      </c>
      <c r="U761" s="181">
        <v>72008.036628799993</v>
      </c>
      <c r="V761" s="181">
        <v>38669164.781773821</v>
      </c>
    </row>
    <row r="762" spans="1:22">
      <c r="A762" s="2" t="s">
        <v>1542</v>
      </c>
      <c r="B762" s="2" t="s">
        <v>1543</v>
      </c>
      <c r="C762" s="181">
        <v>15.625679999999999</v>
      </c>
      <c r="D762" s="181">
        <v>1987.0927999999999</v>
      </c>
      <c r="E762" s="181">
        <v>105.15599999999999</v>
      </c>
      <c r="F762" s="181">
        <v>133.85799999999998</v>
      </c>
      <c r="G762" s="181">
        <v>6.35</v>
      </c>
      <c r="H762" s="181">
        <v>10.16</v>
      </c>
      <c r="I762" s="181">
        <v>0</v>
      </c>
      <c r="J762" s="181">
        <v>12.064999999999998</v>
      </c>
      <c r="K762" s="181">
        <v>0</v>
      </c>
      <c r="L762" s="181">
        <v>13.8</v>
      </c>
      <c r="M762" s="181">
        <v>1623302.5598399998</v>
      </c>
      <c r="N762" s="181">
        <v>34576.705039999993</v>
      </c>
      <c r="O762" s="181">
        <v>19336.735519999998</v>
      </c>
      <c r="P762" s="181">
        <v>28.448</v>
      </c>
      <c r="Q762" s="181">
        <v>2031209.3569279998</v>
      </c>
      <c r="R762" s="181">
        <v>46539.261759999994</v>
      </c>
      <c r="S762" s="181">
        <v>30316.0684</v>
      </c>
      <c r="T762" s="181">
        <v>32.003999999999998</v>
      </c>
      <c r="U762" s="181">
        <v>58688.631009599987</v>
      </c>
      <c r="V762" s="181">
        <v>24597885.375072792</v>
      </c>
    </row>
    <row r="763" spans="1:22">
      <c r="A763" s="2" t="s">
        <v>1544</v>
      </c>
      <c r="B763" s="2" t="s">
        <v>1545</v>
      </c>
      <c r="C763" s="181">
        <v>13.39344</v>
      </c>
      <c r="D763" s="181">
        <v>1696.7707999999998</v>
      </c>
      <c r="E763" s="181">
        <v>103.378</v>
      </c>
      <c r="F763" s="181">
        <v>133.35</v>
      </c>
      <c r="G763" s="181">
        <v>5.8419999999999996</v>
      </c>
      <c r="H763" s="181">
        <v>8.3819999999999997</v>
      </c>
      <c r="I763" s="181">
        <v>0</v>
      </c>
      <c r="J763" s="181">
        <v>12.2555</v>
      </c>
      <c r="K763" s="181">
        <v>0</v>
      </c>
      <c r="L763" s="181">
        <v>15</v>
      </c>
      <c r="M763" s="181">
        <v>1419349.161296</v>
      </c>
      <c r="N763" s="181">
        <v>30479.939039999997</v>
      </c>
      <c r="O763" s="181">
        <v>17206.4172</v>
      </c>
      <c r="P763" s="181">
        <v>28.955999999999996</v>
      </c>
      <c r="Q763" s="181">
        <v>1656601.0738879999</v>
      </c>
      <c r="R763" s="181">
        <v>38181.859120000001</v>
      </c>
      <c r="S763" s="181">
        <v>24908.33728</v>
      </c>
      <c r="T763" s="181">
        <v>31.241999999999997</v>
      </c>
      <c r="U763" s="181">
        <v>35587.786888800001</v>
      </c>
      <c r="V763" s="181">
        <v>15091715.699553395</v>
      </c>
    </row>
    <row r="764" spans="1:22">
      <c r="A764" s="2" t="s">
        <v>1546</v>
      </c>
      <c r="B764" s="2" t="s">
        <v>1547</v>
      </c>
      <c r="C764" s="181">
        <v>11.161199999999999</v>
      </c>
      <c r="D764" s="181">
        <v>1432.2552000000001</v>
      </c>
      <c r="E764" s="181">
        <v>102.86999999999999</v>
      </c>
      <c r="F764" s="181">
        <v>101.85399999999998</v>
      </c>
      <c r="G764" s="181">
        <v>6.2229999999999999</v>
      </c>
      <c r="H764" s="181">
        <v>8.0009999999999994</v>
      </c>
      <c r="I764" s="181">
        <v>0</v>
      </c>
      <c r="J764" s="181">
        <v>12.6365</v>
      </c>
      <c r="K764" s="181">
        <v>0</v>
      </c>
      <c r="L764" s="181">
        <v>14</v>
      </c>
      <c r="M764" s="181">
        <v>1365239.0759679999</v>
      </c>
      <c r="N764" s="181">
        <v>31299.292239999995</v>
      </c>
      <c r="O764" s="181">
        <v>17534.158479999998</v>
      </c>
      <c r="P764" s="181">
        <v>30.987999999999996</v>
      </c>
      <c r="Q764" s="181">
        <v>707593.42351999995</v>
      </c>
      <c r="R764" s="181">
        <v>21794.795119999999</v>
      </c>
      <c r="S764" s="181">
        <v>13912.617335999998</v>
      </c>
      <c r="T764" s="181">
        <v>22.250399999999999</v>
      </c>
      <c r="U764" s="181">
        <v>28262.11379824</v>
      </c>
      <c r="V764" s="181">
        <v>10258070.101831665</v>
      </c>
    </row>
    <row r="765" spans="1:22">
      <c r="A765" s="2" t="s">
        <v>1548</v>
      </c>
      <c r="B765" s="2" t="s">
        <v>1549</v>
      </c>
      <c r="C765" s="181">
        <v>9.6730400000000003</v>
      </c>
      <c r="D765" s="181">
        <v>1238.7071999999998</v>
      </c>
      <c r="E765" s="181">
        <v>101.6</v>
      </c>
      <c r="F765" s="181">
        <v>101.6</v>
      </c>
      <c r="G765" s="181">
        <v>5.8419999999999996</v>
      </c>
      <c r="H765" s="181">
        <v>6.4769999999999994</v>
      </c>
      <c r="I765" s="181">
        <v>0</v>
      </c>
      <c r="J765" s="181">
        <v>12.572999999999997</v>
      </c>
      <c r="K765" s="181">
        <v>0</v>
      </c>
      <c r="L765" s="181">
        <v>15</v>
      </c>
      <c r="M765" s="181">
        <v>1202908.8199839999</v>
      </c>
      <c r="N765" s="181">
        <v>28513.491359999996</v>
      </c>
      <c r="O765" s="181">
        <v>15961.000335999997</v>
      </c>
      <c r="P765" s="181">
        <v>31.241999999999997</v>
      </c>
      <c r="Q765" s="181">
        <v>566074.73881599994</v>
      </c>
      <c r="R765" s="181">
        <v>17534.158479999998</v>
      </c>
      <c r="S765" s="181">
        <v>11175.977648</v>
      </c>
      <c r="T765" s="181">
        <v>21.412199999999999</v>
      </c>
      <c r="U765" s="181">
        <v>18022.820728479997</v>
      </c>
      <c r="V765" s="181">
        <v>7223614.809928582</v>
      </c>
    </row>
    <row r="766" spans="1:22">
      <c r="A766" s="2" t="s">
        <v>1550</v>
      </c>
      <c r="B766" s="2" t="s">
        <v>1551</v>
      </c>
      <c r="C766" s="181">
        <v>7.4407999999999994</v>
      </c>
      <c r="D766" s="181">
        <v>954.83679999999993</v>
      </c>
      <c r="E766" s="181">
        <v>100.33</v>
      </c>
      <c r="F766" s="181">
        <v>100.07599999999999</v>
      </c>
      <c r="G766" s="181">
        <v>4.3180000000000005</v>
      </c>
      <c r="H766" s="181">
        <v>5.206999999999999</v>
      </c>
      <c r="I766" s="181">
        <v>0</v>
      </c>
      <c r="J766" s="181">
        <v>12.2555</v>
      </c>
      <c r="K766" s="181">
        <v>0</v>
      </c>
      <c r="L766" s="181">
        <v>20.2</v>
      </c>
      <c r="M766" s="181">
        <v>894897.5650399999</v>
      </c>
      <c r="N766" s="181">
        <v>20811.57128</v>
      </c>
      <c r="O766" s="181">
        <v>11749.524887999998</v>
      </c>
      <c r="P766" s="181">
        <v>30.479999999999997</v>
      </c>
      <c r="Q766" s="181">
        <v>437042.99687999999</v>
      </c>
      <c r="R766" s="181">
        <v>13535.714863999998</v>
      </c>
      <c r="S766" s="181">
        <v>8701.5309839999991</v>
      </c>
      <c r="T766" s="181">
        <v>21.335999999999999</v>
      </c>
      <c r="U766" s="181">
        <v>8824.10622272</v>
      </c>
      <c r="V766" s="181">
        <v>3061308.8785570944</v>
      </c>
    </row>
    <row r="767" spans="1:22">
      <c r="A767" s="2" t="s">
        <v>1552</v>
      </c>
      <c r="B767" s="2" t="s">
        <v>1553</v>
      </c>
      <c r="C767" s="181">
        <v>18.602</v>
      </c>
      <c r="D767" s="181">
        <v>2374.1887999999999</v>
      </c>
      <c r="E767" s="181">
        <v>81.025999999999996</v>
      </c>
      <c r="F767" s="181">
        <v>154.43199999999999</v>
      </c>
      <c r="G767" s="181">
        <v>8.1280000000000001</v>
      </c>
      <c r="H767" s="181">
        <v>11.557</v>
      </c>
      <c r="I767" s="181">
        <v>0</v>
      </c>
      <c r="J767" s="181">
        <v>12.2555</v>
      </c>
      <c r="K767" s="181">
        <v>0</v>
      </c>
      <c r="L767" s="181">
        <v>7.61</v>
      </c>
      <c r="M767" s="181">
        <v>953169.9646239999</v>
      </c>
      <c r="N767" s="181">
        <v>27694.138159999995</v>
      </c>
      <c r="O767" s="181">
        <v>14518.938703999998</v>
      </c>
      <c r="P767" s="181">
        <v>20.0152</v>
      </c>
      <c r="Q767" s="181">
        <v>3550454.0603679996</v>
      </c>
      <c r="R767" s="181">
        <v>70136.633919999993</v>
      </c>
      <c r="S767" s="181">
        <v>46047.649839999998</v>
      </c>
      <c r="T767" s="181">
        <v>38.607999999999997</v>
      </c>
      <c r="U767" s="181">
        <v>97398.15359039999</v>
      </c>
      <c r="V767" s="181">
        <v>45919633.178356417</v>
      </c>
    </row>
    <row r="768" spans="1:22">
      <c r="A768" s="2" t="s">
        <v>1554</v>
      </c>
      <c r="B768" s="2" t="s">
        <v>1555</v>
      </c>
      <c r="C768" s="181">
        <v>14.881599999999999</v>
      </c>
      <c r="D768" s="181">
        <v>1903.222</v>
      </c>
      <c r="E768" s="181">
        <v>78.739999999999995</v>
      </c>
      <c r="F768" s="181">
        <v>152.90799999999999</v>
      </c>
      <c r="G768" s="181">
        <v>6.6040000000000001</v>
      </c>
      <c r="H768" s="181">
        <v>9.270999999999999</v>
      </c>
      <c r="I768" s="181">
        <v>0</v>
      </c>
      <c r="J768" s="181">
        <v>12.953999999999999</v>
      </c>
      <c r="K768" s="181">
        <v>0</v>
      </c>
      <c r="L768" s="181">
        <v>9.3699999999999992</v>
      </c>
      <c r="M768" s="181">
        <v>732567.30905599997</v>
      </c>
      <c r="N768" s="181">
        <v>21139.312559999998</v>
      </c>
      <c r="O768" s="181">
        <v>11356.235351999998</v>
      </c>
      <c r="P768" s="181">
        <v>19.6342</v>
      </c>
      <c r="Q768" s="181">
        <v>2763776.6659839996</v>
      </c>
      <c r="R768" s="181">
        <v>55060.535039999995</v>
      </c>
      <c r="S768" s="181">
        <v>36215.411439999996</v>
      </c>
      <c r="T768" s="181">
        <v>38.099999999999994</v>
      </c>
      <c r="U768" s="181">
        <v>51196.465348799997</v>
      </c>
      <c r="V768" s="181">
        <v>23040377.349140234</v>
      </c>
    </row>
    <row r="769" spans="1:22">
      <c r="A769" s="2" t="s">
        <v>1556</v>
      </c>
      <c r="B769" s="2" t="s">
        <v>1557</v>
      </c>
      <c r="C769" s="181">
        <v>11.161199999999999</v>
      </c>
      <c r="D769" s="181">
        <v>1432.2552000000001</v>
      </c>
      <c r="E769" s="181">
        <v>76.199999999999989</v>
      </c>
      <c r="F769" s="181">
        <v>152.14599999999999</v>
      </c>
      <c r="G769" s="181">
        <v>5.8419999999999996</v>
      </c>
      <c r="H769" s="181">
        <v>6.6040000000000001</v>
      </c>
      <c r="I769" s="181">
        <v>0</v>
      </c>
      <c r="J769" s="181">
        <v>12.445999999999998</v>
      </c>
      <c r="K769" s="181">
        <v>0</v>
      </c>
      <c r="L769" s="181">
        <v>10.6</v>
      </c>
      <c r="M769" s="181">
        <v>586886.31009599986</v>
      </c>
      <c r="N769" s="181">
        <v>16878.675919999998</v>
      </c>
      <c r="O769" s="181">
        <v>9455.3359279999986</v>
      </c>
      <c r="P769" s="181">
        <v>20.193000000000001</v>
      </c>
      <c r="Q769" s="181">
        <v>1939638.4432959999</v>
      </c>
      <c r="R769" s="181">
        <v>38837.341679999998</v>
      </c>
      <c r="S769" s="181">
        <v>25563.81984</v>
      </c>
      <c r="T769" s="181">
        <v>36.83</v>
      </c>
      <c r="U769" s="181">
        <v>21768.903558879996</v>
      </c>
      <c r="V769" s="181">
        <v>9183926.6356712822</v>
      </c>
    </row>
    <row r="770" spans="1:22">
      <c r="A770" s="2" t="s">
        <v>1558</v>
      </c>
      <c r="B770" s="2" t="s">
        <v>1559</v>
      </c>
      <c r="C770" s="181">
        <v>11.905279999999999</v>
      </c>
      <c r="D770" s="181">
        <v>1529.0291999999999</v>
      </c>
      <c r="E770" s="181">
        <v>79.756</v>
      </c>
      <c r="F770" s="181">
        <v>102.36199999999999</v>
      </c>
      <c r="G770" s="181">
        <v>6.6040000000000001</v>
      </c>
      <c r="H770" s="181">
        <v>10.287000000000001</v>
      </c>
      <c r="I770" s="181">
        <v>0</v>
      </c>
      <c r="J770" s="181">
        <v>11.937999999999997</v>
      </c>
      <c r="K770" s="181">
        <v>0</v>
      </c>
      <c r="L770" s="181">
        <v>9.56</v>
      </c>
      <c r="M770" s="181">
        <v>703431.10926399985</v>
      </c>
      <c r="N770" s="181">
        <v>20483.829999999998</v>
      </c>
      <c r="O770" s="181">
        <v>11225.13884</v>
      </c>
      <c r="P770" s="181">
        <v>21.4376</v>
      </c>
      <c r="Q770" s="181">
        <v>919871.45057599992</v>
      </c>
      <c r="R770" s="181">
        <v>27694.138159999995</v>
      </c>
      <c r="S770" s="181">
        <v>18025.770400000001</v>
      </c>
      <c r="T770" s="181">
        <v>24.536399999999997</v>
      </c>
      <c r="U770" s="181">
        <v>46201.688241599993</v>
      </c>
      <c r="V770" s="181">
        <v>11439627.914608089</v>
      </c>
    </row>
    <row r="771" spans="1:22">
      <c r="A771" s="2" t="s">
        <v>1560</v>
      </c>
      <c r="B771" s="2" t="s">
        <v>1561</v>
      </c>
      <c r="C771" s="181">
        <v>8.92896</v>
      </c>
      <c r="D771" s="181">
        <v>1148.3848</v>
      </c>
      <c r="E771" s="181">
        <v>76.707999999999998</v>
      </c>
      <c r="F771" s="181">
        <v>101.6</v>
      </c>
      <c r="G771" s="181">
        <v>5.8419999999999996</v>
      </c>
      <c r="H771" s="181">
        <v>7.1120000000000001</v>
      </c>
      <c r="I771" s="181">
        <v>0</v>
      </c>
      <c r="J771" s="181">
        <v>11.937999999999997</v>
      </c>
      <c r="K771" s="181">
        <v>0</v>
      </c>
      <c r="L771" s="181">
        <v>10.8</v>
      </c>
      <c r="M771" s="181">
        <v>549425.48179200001</v>
      </c>
      <c r="N771" s="181">
        <v>16550.934639999999</v>
      </c>
      <c r="O771" s="181">
        <v>9242.304095999998</v>
      </c>
      <c r="P771" s="181">
        <v>21.8948</v>
      </c>
      <c r="Q771" s="181">
        <v>624347.13839999994</v>
      </c>
      <c r="R771" s="181">
        <v>19008.994239999996</v>
      </c>
      <c r="S771" s="181">
        <v>12257.523871999998</v>
      </c>
      <c r="T771" s="181">
        <v>23.3172</v>
      </c>
      <c r="U771" s="181">
        <v>18688.791009439999</v>
      </c>
      <c r="V771" s="181">
        <v>4779938.424413708</v>
      </c>
    </row>
    <row r="772" spans="1:22">
      <c r="A772" s="2" t="s">
        <v>1562</v>
      </c>
      <c r="B772" s="2" t="s">
        <v>1563</v>
      </c>
      <c r="C772" s="181">
        <v>6.69672</v>
      </c>
      <c r="D772" s="181">
        <v>864.51440000000002</v>
      </c>
      <c r="E772" s="181">
        <v>74.930000000000007</v>
      </c>
      <c r="F772" s="181">
        <v>100.07599999999999</v>
      </c>
      <c r="G772" s="181">
        <v>4.3180000000000005</v>
      </c>
      <c r="H772" s="181">
        <v>5.4609999999999994</v>
      </c>
      <c r="I772" s="181">
        <v>0</v>
      </c>
      <c r="J772" s="181">
        <v>12.0015</v>
      </c>
      <c r="K772" s="181">
        <v>0</v>
      </c>
      <c r="L772" s="181">
        <v>14.6</v>
      </c>
      <c r="M772" s="181">
        <v>395419.85431999993</v>
      </c>
      <c r="N772" s="181">
        <v>11798.686079999998</v>
      </c>
      <c r="O772" s="181">
        <v>6685.9221119999993</v>
      </c>
      <c r="P772" s="181">
        <v>21.386799999999997</v>
      </c>
      <c r="Q772" s="181">
        <v>457854.56815999997</v>
      </c>
      <c r="R772" s="181">
        <v>14027.326783999999</v>
      </c>
      <c r="S772" s="181">
        <v>9127.5946480000002</v>
      </c>
      <c r="T772" s="181">
        <v>22.986999999999998</v>
      </c>
      <c r="U772" s="181">
        <v>8407.8747971199991</v>
      </c>
      <c r="V772" s="181">
        <v>1976423.9777351066</v>
      </c>
    </row>
    <row r="773" spans="1:22">
      <c r="A773" s="2" t="s">
        <v>1564</v>
      </c>
      <c r="B773" s="2" t="s">
        <v>1565</v>
      </c>
      <c r="C773" s="181">
        <v>6.3246799999999999</v>
      </c>
      <c r="D773" s="181">
        <v>806.44999999999993</v>
      </c>
      <c r="E773" s="181">
        <v>74.167999999999992</v>
      </c>
      <c r="F773" s="181">
        <v>100.07599999999999</v>
      </c>
      <c r="G773" s="181">
        <v>4.3180000000000005</v>
      </c>
      <c r="H773" s="181">
        <v>4.9276</v>
      </c>
      <c r="I773" s="181">
        <v>0</v>
      </c>
      <c r="J773" s="181">
        <v>12.534899999999999</v>
      </c>
      <c r="K773" s="181">
        <v>0</v>
      </c>
      <c r="L773" s="181">
        <v>14.5</v>
      </c>
      <c r="M773" s="181">
        <v>376273.20874239999</v>
      </c>
      <c r="N773" s="181">
        <v>11470.944799999997</v>
      </c>
      <c r="O773" s="181">
        <v>6505.6644079999996</v>
      </c>
      <c r="P773" s="181">
        <v>21.564599999999999</v>
      </c>
      <c r="Q773" s="181">
        <v>412069.11134399998</v>
      </c>
      <c r="R773" s="181">
        <v>12683.587535999999</v>
      </c>
      <c r="S773" s="181">
        <v>8242.6931919999988</v>
      </c>
      <c r="T773" s="181">
        <v>22.5806</v>
      </c>
      <c r="U773" s="181">
        <v>6826.19537984</v>
      </c>
      <c r="V773" s="181">
        <v>1654180.9378869911</v>
      </c>
    </row>
    <row r="774" spans="1:22">
      <c r="A774" s="2" t="s">
        <v>1566</v>
      </c>
      <c r="B774" s="2" t="s">
        <v>1567</v>
      </c>
      <c r="C774" s="181">
        <v>14.137519999999999</v>
      </c>
      <c r="D774" s="181">
        <v>1793.5447999999999</v>
      </c>
      <c r="E774" s="181">
        <v>65.531999999999996</v>
      </c>
      <c r="F774" s="181">
        <v>127.762</v>
      </c>
      <c r="G774" s="181">
        <v>6.8579999999999997</v>
      </c>
      <c r="H774" s="181">
        <v>10.921999999999999</v>
      </c>
      <c r="I774" s="181">
        <v>0</v>
      </c>
      <c r="J774" s="181">
        <v>9.7155000000000005</v>
      </c>
      <c r="K774" s="181">
        <v>0</v>
      </c>
      <c r="L774" s="181">
        <v>6.83</v>
      </c>
      <c r="M774" s="181">
        <v>420393.73985599994</v>
      </c>
      <c r="N774" s="181">
        <v>15895.452079999997</v>
      </c>
      <c r="O774" s="181">
        <v>7947.7260399999986</v>
      </c>
      <c r="P774" s="181">
        <v>15.341599999999998</v>
      </c>
      <c r="Q774" s="181">
        <v>1898015.3007359996</v>
      </c>
      <c r="R774" s="181">
        <v>45228.296639999993</v>
      </c>
      <c r="S774" s="181">
        <v>29660.58584</v>
      </c>
      <c r="T774" s="181">
        <v>32.512</v>
      </c>
      <c r="U774" s="181">
        <v>65348.333819199994</v>
      </c>
      <c r="V774" s="181">
        <v>20811529.656857438</v>
      </c>
    </row>
    <row r="775" spans="1:22">
      <c r="A775" s="2" t="s">
        <v>1568</v>
      </c>
      <c r="B775" s="2" t="s">
        <v>1569</v>
      </c>
      <c r="C775" s="181">
        <v>11.905279999999999</v>
      </c>
      <c r="D775" s="181">
        <v>1516.126</v>
      </c>
      <c r="E775" s="181">
        <v>63.753999999999991</v>
      </c>
      <c r="F775" s="181">
        <v>127</v>
      </c>
      <c r="G775" s="181">
        <v>6.0959999999999992</v>
      </c>
      <c r="H775" s="181">
        <v>9.1439999999999984</v>
      </c>
      <c r="I775" s="181">
        <v>0</v>
      </c>
      <c r="J775" s="181">
        <v>9.9059999999999988</v>
      </c>
      <c r="K775" s="181">
        <v>0</v>
      </c>
      <c r="L775" s="181">
        <v>7.69</v>
      </c>
      <c r="M775" s="181">
        <v>351715.55463199993</v>
      </c>
      <c r="N775" s="181">
        <v>13126.038263999999</v>
      </c>
      <c r="O775" s="181">
        <v>6767.8574319999989</v>
      </c>
      <c r="P775" s="181">
        <v>15.214599999999999</v>
      </c>
      <c r="Q775" s="181">
        <v>1560867.8459999999</v>
      </c>
      <c r="R775" s="181">
        <v>37362.505919999996</v>
      </c>
      <c r="S775" s="181">
        <v>24580.595999999998</v>
      </c>
      <c r="T775" s="181">
        <v>32.003999999999998</v>
      </c>
      <c r="U775" s="181">
        <v>39874.970572479993</v>
      </c>
      <c r="V775" s="181">
        <v>12164674.754266348</v>
      </c>
    </row>
    <row r="776" spans="1:22">
      <c r="A776" s="2" t="s">
        <v>1570</v>
      </c>
      <c r="B776" s="2" t="s">
        <v>1571</v>
      </c>
      <c r="C776" s="181">
        <v>9.6730400000000003</v>
      </c>
      <c r="D776" s="181">
        <v>1232.2556</v>
      </c>
      <c r="E776" s="181">
        <v>52.832000000000001</v>
      </c>
      <c r="F776" s="181">
        <v>103.12399999999998</v>
      </c>
      <c r="G776" s="181">
        <v>7.1120000000000001</v>
      </c>
      <c r="H776" s="181">
        <v>8.7629999999999981</v>
      </c>
      <c r="I776" s="181">
        <v>0</v>
      </c>
      <c r="J776" s="181">
        <v>10.286999999999999</v>
      </c>
      <c r="K776" s="181">
        <v>0</v>
      </c>
      <c r="L776" s="181">
        <v>5.3</v>
      </c>
      <c r="M776" s="181">
        <v>218937.72986559998</v>
      </c>
      <c r="N776" s="181">
        <v>10094.431423999999</v>
      </c>
      <c r="O776" s="181">
        <v>5260.2475439999998</v>
      </c>
      <c r="P776" s="181">
        <v>13.3096</v>
      </c>
      <c r="Q776" s="181">
        <v>803326.65140799992</v>
      </c>
      <c r="R776" s="181">
        <v>23925.113439999997</v>
      </c>
      <c r="S776" s="181">
        <v>15567.710799999997</v>
      </c>
      <c r="T776" s="181">
        <v>25.4</v>
      </c>
      <c r="U776" s="181">
        <v>31217.356919999995</v>
      </c>
      <c r="V776" s="181">
        <v>6256885.6903842371</v>
      </c>
    </row>
    <row r="777" spans="1:22">
      <c r="A777" s="2" t="s">
        <v>1572</v>
      </c>
      <c r="B777" s="2" t="s">
        <v>1573</v>
      </c>
      <c r="C777" s="181">
        <v>8.7801439999999999</v>
      </c>
      <c r="D777" s="181">
        <v>1109.6751999999999</v>
      </c>
      <c r="E777" s="181">
        <v>152.39999999999998</v>
      </c>
      <c r="F777" s="181">
        <v>77.977999999999994</v>
      </c>
      <c r="G777" s="181">
        <v>4.4957999999999991</v>
      </c>
      <c r="H777" s="181">
        <v>5.7149999999999999</v>
      </c>
      <c r="I777" s="181">
        <v>0</v>
      </c>
      <c r="J777" s="181">
        <v>8.5724999999999998</v>
      </c>
      <c r="K777" s="181">
        <v>0</v>
      </c>
      <c r="L777" s="181">
        <v>31.3</v>
      </c>
      <c r="M777" s="181">
        <v>2751289.723216</v>
      </c>
      <c r="N777" s="181">
        <v>47358.614959999999</v>
      </c>
      <c r="O777" s="181">
        <v>26383.173039999998</v>
      </c>
      <c r="P777" s="181">
        <v>49.783999999999999</v>
      </c>
      <c r="Q777" s="181">
        <v>226013.6641008</v>
      </c>
      <c r="R777" s="181">
        <v>9422.5617999999977</v>
      </c>
      <c r="S777" s="181">
        <v>5801.0206559999988</v>
      </c>
      <c r="T777" s="181">
        <v>14.249400000000001</v>
      </c>
      <c r="U777" s="181">
        <v>10364.162497439998</v>
      </c>
      <c r="V777" s="181">
        <v>9049658.7024012357</v>
      </c>
    </row>
    <row r="778" spans="1:22">
      <c r="A778" s="2" t="s">
        <v>1574</v>
      </c>
      <c r="B778" s="2" t="s">
        <v>1575</v>
      </c>
      <c r="C778" s="181">
        <v>8.0360639999999997</v>
      </c>
      <c r="D778" s="181">
        <v>1019.3528</v>
      </c>
      <c r="E778" s="181">
        <v>152.14599999999999</v>
      </c>
      <c r="F778" s="181">
        <v>77.977999999999994</v>
      </c>
      <c r="G778" s="181">
        <v>4.0640000000000001</v>
      </c>
      <c r="H778" s="181">
        <v>5.3339999999999996</v>
      </c>
      <c r="I778" s="181">
        <v>0</v>
      </c>
      <c r="J778" s="181">
        <v>8.9535</v>
      </c>
      <c r="K778" s="181">
        <v>0</v>
      </c>
      <c r="L778" s="181">
        <v>34.6</v>
      </c>
      <c r="M778" s="181">
        <v>2509875.4963679998</v>
      </c>
      <c r="N778" s="181">
        <v>43097.978319999995</v>
      </c>
      <c r="O778" s="181">
        <v>23925.113439999997</v>
      </c>
      <c r="P778" s="181">
        <v>49.529999999999994</v>
      </c>
      <c r="Q778" s="181">
        <v>210613.10135359998</v>
      </c>
      <c r="R778" s="181">
        <v>8717.9180479999995</v>
      </c>
      <c r="S778" s="181">
        <v>5407.7311199999995</v>
      </c>
      <c r="T778" s="181">
        <v>14.376399999999999</v>
      </c>
      <c r="U778" s="181">
        <v>8158.1359417599988</v>
      </c>
      <c r="V778" s="181">
        <v>6713396.6635023998</v>
      </c>
    </row>
    <row r="779" spans="1:22">
      <c r="A779" s="2" t="s">
        <v>1576</v>
      </c>
      <c r="B779" s="2" t="s">
        <v>1577</v>
      </c>
      <c r="C779" s="181">
        <v>7.4407999999999994</v>
      </c>
      <c r="D779" s="181">
        <v>941.93359999999996</v>
      </c>
      <c r="E779" s="181">
        <v>152.14599999999999</v>
      </c>
      <c r="F779" s="181">
        <v>82.55</v>
      </c>
      <c r="G779" s="181">
        <v>3.7845999999999997</v>
      </c>
      <c r="H779" s="181">
        <v>4.5719999999999992</v>
      </c>
      <c r="I779" s="181">
        <v>0</v>
      </c>
      <c r="J779" s="181">
        <v>8.1280000000000001</v>
      </c>
      <c r="K779" s="181">
        <v>0</v>
      </c>
      <c r="L779" s="181">
        <v>37.299999999999997</v>
      </c>
      <c r="M779" s="181">
        <v>2339220.6118719997</v>
      </c>
      <c r="N779" s="181">
        <v>40148.306799999998</v>
      </c>
      <c r="O779" s="181">
        <v>22286.407039999998</v>
      </c>
      <c r="P779" s="181">
        <v>49.783999999999999</v>
      </c>
      <c r="Q779" s="181">
        <v>215191.64703519997</v>
      </c>
      <c r="R779" s="181">
        <v>8341.0155759999998</v>
      </c>
      <c r="S779" s="181">
        <v>5211.0863519999994</v>
      </c>
      <c r="T779" s="181">
        <v>15.087599999999998</v>
      </c>
      <c r="U779" s="181">
        <v>6035.3556712</v>
      </c>
      <c r="V779" s="181">
        <v>5424424.5041099386</v>
      </c>
    </row>
    <row r="780" spans="1:22">
      <c r="A780" s="2" t="s">
        <v>1578</v>
      </c>
      <c r="B780" s="2" t="s">
        <v>1579</v>
      </c>
      <c r="C780" s="181">
        <v>6.69672</v>
      </c>
      <c r="D780" s="181">
        <v>851.61120000000005</v>
      </c>
      <c r="E780" s="181">
        <v>127</v>
      </c>
      <c r="F780" s="181">
        <v>68.325999999999993</v>
      </c>
      <c r="G780" s="181">
        <v>3.9878</v>
      </c>
      <c r="H780" s="181">
        <v>5.2323999999999993</v>
      </c>
      <c r="I780" s="181">
        <v>0</v>
      </c>
      <c r="J780" s="181">
        <v>9.0550999999999995</v>
      </c>
      <c r="K780" s="181">
        <v>0</v>
      </c>
      <c r="L780" s="181">
        <v>29.2</v>
      </c>
      <c r="M780" s="181">
        <v>1444323.0468319999</v>
      </c>
      <c r="N780" s="181">
        <v>29660.58584</v>
      </c>
      <c r="O780" s="181">
        <v>16387.063999999998</v>
      </c>
      <c r="P780" s="181">
        <v>41.148000000000003</v>
      </c>
      <c r="Q780" s="181">
        <v>139853.7590016</v>
      </c>
      <c r="R780" s="181">
        <v>6603.9867919999997</v>
      </c>
      <c r="S780" s="181">
        <v>4096.7659999999996</v>
      </c>
      <c r="T780" s="181">
        <v>12.827</v>
      </c>
      <c r="U780" s="181">
        <v>6493.2102393599989</v>
      </c>
      <c r="V780" s="181">
        <v>3705794.9582533245</v>
      </c>
    </row>
    <row r="781" spans="1:22">
      <c r="A781" s="2" t="s">
        <v>1580</v>
      </c>
      <c r="B781" s="2" t="s">
        <v>1581</v>
      </c>
      <c r="C781" s="181">
        <v>5.9526399999999997</v>
      </c>
      <c r="D781" s="181">
        <v>754.83719999999994</v>
      </c>
      <c r="E781" s="181">
        <v>126.23799999999999</v>
      </c>
      <c r="F781" s="181">
        <v>68.325999999999993</v>
      </c>
      <c r="G781" s="181">
        <v>3.5813999999999995</v>
      </c>
      <c r="H781" s="181">
        <v>4.6227999999999998</v>
      </c>
      <c r="I781" s="181">
        <v>0</v>
      </c>
      <c r="J781" s="181">
        <v>9.6646999999999998</v>
      </c>
      <c r="K781" s="181">
        <v>0</v>
      </c>
      <c r="L781" s="181">
        <v>32.5</v>
      </c>
      <c r="M781" s="181">
        <v>1281992.790848</v>
      </c>
      <c r="N781" s="181">
        <v>26383.173039999998</v>
      </c>
      <c r="O781" s="181">
        <v>14650.035215999998</v>
      </c>
      <c r="P781" s="181">
        <v>41.148000000000003</v>
      </c>
      <c r="Q781" s="181">
        <v>123204.50197759998</v>
      </c>
      <c r="R781" s="181">
        <v>5801.0206559999988</v>
      </c>
      <c r="S781" s="181">
        <v>3605.1540799999998</v>
      </c>
      <c r="T781" s="181">
        <v>12.7508</v>
      </c>
      <c r="U781" s="181">
        <v>4661.7919667199994</v>
      </c>
      <c r="V781" s="181">
        <v>2655819.7200815491</v>
      </c>
    </row>
    <row r="782" spans="1:22">
      <c r="A782" s="2" t="s">
        <v>1582</v>
      </c>
      <c r="B782" s="2" t="s">
        <v>1583</v>
      </c>
      <c r="C782" s="181">
        <v>5.5805999999999996</v>
      </c>
      <c r="D782" s="181">
        <v>709.67600000000004</v>
      </c>
      <c r="E782" s="181">
        <v>127</v>
      </c>
      <c r="F782" s="181">
        <v>68.325999999999993</v>
      </c>
      <c r="G782" s="181">
        <v>3.302</v>
      </c>
      <c r="H782" s="181">
        <v>4.3941999999999997</v>
      </c>
      <c r="I782" s="181">
        <v>0</v>
      </c>
      <c r="J782" s="181">
        <v>6.7182999999999993</v>
      </c>
      <c r="K782" s="181">
        <v>0</v>
      </c>
      <c r="L782" s="181">
        <v>35.5</v>
      </c>
      <c r="M782" s="181">
        <v>1211233.4484959999</v>
      </c>
      <c r="N782" s="181">
        <v>24744.466639999999</v>
      </c>
      <c r="O782" s="181">
        <v>13699.585503999999</v>
      </c>
      <c r="P782" s="181">
        <v>41.401999999999994</v>
      </c>
      <c r="Q782" s="181">
        <v>116961.03059359999</v>
      </c>
      <c r="R782" s="181">
        <v>5473.2793759999995</v>
      </c>
      <c r="S782" s="181">
        <v>3424.8963759999997</v>
      </c>
      <c r="T782" s="181">
        <v>12.827</v>
      </c>
      <c r="U782" s="181">
        <v>3879.2768865919998</v>
      </c>
      <c r="V782" s="181">
        <v>2126804.06299756</v>
      </c>
    </row>
    <row r="783" spans="1:22">
      <c r="A783" s="2" t="s">
        <v>1584</v>
      </c>
      <c r="B783" s="2" t="s">
        <v>1585</v>
      </c>
      <c r="C783" s="181">
        <v>4.8365200000000002</v>
      </c>
      <c r="D783" s="181">
        <v>614.83747999999991</v>
      </c>
      <c r="E783" s="181">
        <v>101.6</v>
      </c>
      <c r="F783" s="181">
        <v>57.911999999999992</v>
      </c>
      <c r="G783" s="181">
        <v>3.4289999999999998</v>
      </c>
      <c r="H783" s="181">
        <v>4.8006000000000002</v>
      </c>
      <c r="I783" s="181">
        <v>0</v>
      </c>
      <c r="J783" s="181">
        <v>9.4868999999999986</v>
      </c>
      <c r="K783" s="181">
        <v>0</v>
      </c>
      <c r="L783" s="181">
        <v>26.9</v>
      </c>
      <c r="M783" s="181">
        <v>653483.33819199994</v>
      </c>
      <c r="N783" s="181">
        <v>16550.934639999999</v>
      </c>
      <c r="O783" s="181">
        <v>9143.9817120000007</v>
      </c>
      <c r="P783" s="181">
        <v>32.765999999999998</v>
      </c>
      <c r="Q783" s="181">
        <v>78251.508012799997</v>
      </c>
      <c r="R783" s="181">
        <v>4326.1848959999998</v>
      </c>
      <c r="S783" s="181">
        <v>2703.8655599999997</v>
      </c>
      <c r="T783" s="181">
        <v>11.2776</v>
      </c>
      <c r="U783" s="181">
        <v>3816.8421727519994</v>
      </c>
      <c r="V783" s="181">
        <v>1243321.0620806443</v>
      </c>
    </row>
    <row r="784" spans="1:22">
      <c r="A784" s="2" t="s">
        <v>1586</v>
      </c>
      <c r="B784" s="2" t="s">
        <v>1587</v>
      </c>
      <c r="C784" s="181">
        <v>4.6132960000000001</v>
      </c>
      <c r="D784" s="181">
        <v>583.22464000000002</v>
      </c>
      <c r="E784" s="181">
        <v>101.6</v>
      </c>
      <c r="F784" s="181">
        <v>57.911999999999992</v>
      </c>
      <c r="G784" s="181">
        <v>3.2765999999999997</v>
      </c>
      <c r="H784" s="181">
        <v>4.4957999999999991</v>
      </c>
      <c r="I784" s="181">
        <v>0</v>
      </c>
      <c r="J784" s="181">
        <v>6.6166999999999998</v>
      </c>
      <c r="K784" s="181">
        <v>0</v>
      </c>
      <c r="L784" s="181">
        <v>28.2</v>
      </c>
      <c r="M784" s="181">
        <v>624347.13839999994</v>
      </c>
      <c r="N784" s="181">
        <v>15846.290887999998</v>
      </c>
      <c r="O784" s="181">
        <v>8734.305112</v>
      </c>
      <c r="P784" s="181">
        <v>32.765999999999998</v>
      </c>
      <c r="Q784" s="181">
        <v>73256.730905599994</v>
      </c>
      <c r="R784" s="181">
        <v>4047.6048079999996</v>
      </c>
      <c r="S784" s="181">
        <v>2523.6078559999996</v>
      </c>
      <c r="T784" s="181">
        <v>11.2014</v>
      </c>
      <c r="U784" s="181">
        <v>3238.2804911679996</v>
      </c>
      <c r="V784" s="181">
        <v>1082199.5421565867</v>
      </c>
    </row>
    <row r="785" spans="1:22">
      <c r="A785" s="2" t="s">
        <v>1588</v>
      </c>
      <c r="B785" s="2" t="s">
        <v>1589</v>
      </c>
      <c r="C785" s="181">
        <v>3.273952</v>
      </c>
      <c r="D785" s="181">
        <v>414.83787999999998</v>
      </c>
      <c r="E785" s="181">
        <v>76.199999999999989</v>
      </c>
      <c r="F785" s="181">
        <v>46.735999999999997</v>
      </c>
      <c r="G785" s="181">
        <v>2.8956</v>
      </c>
      <c r="H785" s="181">
        <v>4.3433999999999999</v>
      </c>
      <c r="I785" s="181">
        <v>0</v>
      </c>
      <c r="J785" s="181">
        <v>5.1815999999999987</v>
      </c>
      <c r="K785" s="181">
        <v>0</v>
      </c>
      <c r="L785" s="181">
        <v>23.5</v>
      </c>
      <c r="M785" s="181">
        <v>240997.99542239995</v>
      </c>
      <c r="N785" s="181">
        <v>7914.9519119999986</v>
      </c>
      <c r="O785" s="181">
        <v>4391.7331519999998</v>
      </c>
      <c r="P785" s="181">
        <v>24.104599999999998</v>
      </c>
      <c r="Q785" s="181">
        <v>37335.958876319994</v>
      </c>
      <c r="R785" s="181">
        <v>2539.9949199999996</v>
      </c>
      <c r="S785" s="181">
        <v>1594.4613271999999</v>
      </c>
      <c r="T785" s="181">
        <v>9.4995999999999992</v>
      </c>
      <c r="U785" s="181">
        <v>2056.1832424639997</v>
      </c>
      <c r="V785" s="181">
        <v>332984.474509719</v>
      </c>
    </row>
    <row r="786" spans="1:22">
      <c r="A786" s="2" t="s">
        <v>1590</v>
      </c>
      <c r="B786" s="2" t="s">
        <v>1591</v>
      </c>
      <c r="C786" s="181">
        <v>2.7530960000000002</v>
      </c>
      <c r="D786" s="181">
        <v>348.38639999999998</v>
      </c>
      <c r="E786" s="181">
        <v>75.183999999999997</v>
      </c>
      <c r="F786" s="181">
        <v>50.8</v>
      </c>
      <c r="G786" s="181">
        <v>2.4891999999999999</v>
      </c>
      <c r="H786" s="181">
        <v>3.2765999999999997</v>
      </c>
      <c r="I786" s="181">
        <v>0</v>
      </c>
      <c r="J786" s="181">
        <v>4.6608999999999998</v>
      </c>
      <c r="K786" s="181">
        <v>0</v>
      </c>
      <c r="L786" s="181">
        <v>27.4</v>
      </c>
      <c r="M786" s="181">
        <v>201039.77856479998</v>
      </c>
      <c r="N786" s="181">
        <v>6702.3091759999988</v>
      </c>
      <c r="O786" s="181">
        <v>3703.4764639999999</v>
      </c>
      <c r="P786" s="181">
        <v>24.028399999999998</v>
      </c>
      <c r="Q786" s="181">
        <v>35920.77202928</v>
      </c>
      <c r="R786" s="181">
        <v>2228.6407039999999</v>
      </c>
      <c r="S786" s="181">
        <v>1414.2036231999998</v>
      </c>
      <c r="T786" s="181">
        <v>10.16</v>
      </c>
      <c r="U786" s="181">
        <v>1103.01327784</v>
      </c>
      <c r="V786" s="181">
        <v>202744.57923777247</v>
      </c>
    </row>
    <row r="787" spans="1:22">
      <c r="A787" s="2" t="s">
        <v>1592</v>
      </c>
      <c r="B787" s="2" t="s">
        <v>1593</v>
      </c>
      <c r="C787" s="181">
        <v>14.063111999999999</v>
      </c>
      <c r="D787" s="181">
        <v>1793.5447999999999</v>
      </c>
      <c r="E787" s="181">
        <v>63.5</v>
      </c>
      <c r="F787" s="181">
        <v>127</v>
      </c>
      <c r="G787" s="181">
        <v>8.0263999999999989</v>
      </c>
      <c r="H787" s="181">
        <v>10.5664</v>
      </c>
      <c r="I787" s="181">
        <v>0</v>
      </c>
      <c r="J787" s="181">
        <v>10.071099999999999</v>
      </c>
      <c r="K787" s="181">
        <v>0</v>
      </c>
      <c r="L787" s="181">
        <v>5.61</v>
      </c>
      <c r="M787" s="181">
        <v>437042.99687999999</v>
      </c>
      <c r="N787" s="181">
        <v>16878.675919999998</v>
      </c>
      <c r="O787" s="181">
        <v>8635.982727999999</v>
      </c>
      <c r="P787" s="181">
        <v>15.620999999999999</v>
      </c>
      <c r="Q787" s="181">
        <v>1635789.5026079998</v>
      </c>
      <c r="R787" s="181">
        <v>43589.590239999998</v>
      </c>
      <c r="S787" s="181">
        <v>25727.690479999997</v>
      </c>
      <c r="T787" s="181">
        <v>30.225999999999996</v>
      </c>
      <c r="U787" s="181">
        <v>68678.185224000001</v>
      </c>
      <c r="V787" s="181">
        <v>19656825.430735026</v>
      </c>
    </row>
    <row r="788" spans="1:22">
      <c r="A788" s="2" t="s">
        <v>1594</v>
      </c>
      <c r="B788" s="2" t="s">
        <v>1595</v>
      </c>
      <c r="C788" s="181">
        <v>4.46448</v>
      </c>
      <c r="D788" s="181">
        <v>551.61180000000002</v>
      </c>
      <c r="E788" s="181">
        <v>48.26</v>
      </c>
      <c r="F788" s="181">
        <v>96.52</v>
      </c>
      <c r="G788" s="181">
        <v>3.302</v>
      </c>
      <c r="H788" s="181">
        <v>4.0640000000000001</v>
      </c>
      <c r="I788" s="181">
        <v>0</v>
      </c>
      <c r="J788" s="181">
        <v>8.6359999999999992</v>
      </c>
      <c r="K788" s="181">
        <v>0</v>
      </c>
      <c r="L788" s="181">
        <v>11</v>
      </c>
      <c r="M788" s="181">
        <v>86576.136524799993</v>
      </c>
      <c r="N788" s="181">
        <v>3949.2824239999995</v>
      </c>
      <c r="O788" s="181">
        <v>2179.4795119999999</v>
      </c>
      <c r="P788" s="181">
        <v>12.5222</v>
      </c>
      <c r="Q788" s="181">
        <v>304681.40353919996</v>
      </c>
      <c r="R788" s="181">
        <v>9635.5936319999983</v>
      </c>
      <c r="S788" s="181">
        <v>6309.0196399999995</v>
      </c>
      <c r="T788" s="181">
        <v>23.520399999999999</v>
      </c>
      <c r="U788" s="181">
        <v>3825.1668012639998</v>
      </c>
      <c r="V788" s="181">
        <v>518274.2224223853</v>
      </c>
    </row>
    <row r="789" spans="1:22">
      <c r="A789" s="2" t="s">
        <v>1596</v>
      </c>
      <c r="B789" s="2" t="s">
        <v>1597</v>
      </c>
      <c r="C789" s="181">
        <v>90.03367999999999</v>
      </c>
      <c r="D789" s="181">
        <v>11483.848</v>
      </c>
      <c r="E789" s="181">
        <v>312.42</v>
      </c>
      <c r="F789" s="181">
        <v>204.47</v>
      </c>
      <c r="G789" s="181">
        <v>20.32</v>
      </c>
      <c r="H789" s="181">
        <v>27.686</v>
      </c>
      <c r="I789" s="181">
        <v>0</v>
      </c>
      <c r="J789" s="181">
        <v>23.113999999999997</v>
      </c>
      <c r="K789" s="181">
        <v>0</v>
      </c>
      <c r="L789" s="181">
        <v>13.2</v>
      </c>
      <c r="M789" s="181">
        <v>107803939.2304</v>
      </c>
      <c r="N789" s="181">
        <v>893094.9879999999</v>
      </c>
      <c r="O789" s="181">
        <v>493250.62639999995</v>
      </c>
      <c r="P789" s="181">
        <v>97.027999999999992</v>
      </c>
      <c r="Q789" s="181">
        <v>17273604.1624</v>
      </c>
      <c r="R789" s="181">
        <v>296605.85839999997</v>
      </c>
      <c r="S789" s="181">
        <v>168786.7592</v>
      </c>
      <c r="T789" s="181">
        <v>38.862000000000002</v>
      </c>
      <c r="U789" s="181">
        <v>2655556.4953279998</v>
      </c>
      <c r="V789" s="181">
        <v>7384736329.8526392</v>
      </c>
    </row>
    <row r="790" spans="1:22">
      <c r="A790" s="2" t="s">
        <v>1598</v>
      </c>
      <c r="B790" s="2" t="s">
        <v>1599</v>
      </c>
      <c r="C790" s="181">
        <v>78.872479999999996</v>
      </c>
      <c r="D790" s="181">
        <v>10064.495999999999</v>
      </c>
      <c r="E790" s="181">
        <v>312.42</v>
      </c>
      <c r="F790" s="181">
        <v>199.898</v>
      </c>
      <c r="G790" s="181">
        <v>15.747999999999999</v>
      </c>
      <c r="H790" s="181">
        <v>27.686</v>
      </c>
      <c r="I790" s="181">
        <v>0</v>
      </c>
      <c r="J790" s="181">
        <v>23.113999999999997</v>
      </c>
      <c r="K790" s="181">
        <v>0</v>
      </c>
      <c r="L790" s="181">
        <v>17</v>
      </c>
      <c r="M790" s="181">
        <v>89905987.929599985</v>
      </c>
      <c r="N790" s="181">
        <v>709559.87119999994</v>
      </c>
      <c r="O790" s="181">
        <v>394928.24239999999</v>
      </c>
      <c r="P790" s="181">
        <v>94.488</v>
      </c>
      <c r="Q790" s="181">
        <v>15983286.743039997</v>
      </c>
      <c r="R790" s="181">
        <v>273663.96879999997</v>
      </c>
      <c r="S790" s="181">
        <v>159937.74463999999</v>
      </c>
      <c r="T790" s="181">
        <v>39.878</v>
      </c>
      <c r="U790" s="181">
        <v>2101968.6992799998</v>
      </c>
      <c r="V790" s="181">
        <v>4028037998.10144</v>
      </c>
    </row>
    <row r="791" spans="1:22">
      <c r="A791" s="2" t="s">
        <v>1600</v>
      </c>
      <c r="B791" s="2" t="s">
        <v>1601</v>
      </c>
      <c r="C791" s="181">
        <v>74.408000000000001</v>
      </c>
      <c r="D791" s="181">
        <v>9483.851999999999</v>
      </c>
      <c r="E791" s="181">
        <v>304.79999999999995</v>
      </c>
      <c r="F791" s="181">
        <v>184.14999999999998</v>
      </c>
      <c r="G791" s="181">
        <v>18.922999999999998</v>
      </c>
      <c r="H791" s="181">
        <v>22.097999999999999</v>
      </c>
      <c r="I791" s="181">
        <v>0</v>
      </c>
      <c r="J791" s="181">
        <v>22.351999999999997</v>
      </c>
      <c r="K791" s="181">
        <v>0</v>
      </c>
      <c r="L791" s="181">
        <v>14.1</v>
      </c>
      <c r="M791" s="181">
        <v>89489756.503999993</v>
      </c>
      <c r="N791" s="181">
        <v>778385.53999999992</v>
      </c>
      <c r="O791" s="181">
        <v>430979.78319999995</v>
      </c>
      <c r="P791" s="181">
        <v>97.281999999999996</v>
      </c>
      <c r="Q791" s="181">
        <v>9864684.7867199983</v>
      </c>
      <c r="R791" s="181">
        <v>196644.76799999998</v>
      </c>
      <c r="S791" s="181">
        <v>107335.26919999998</v>
      </c>
      <c r="T791" s="181">
        <v>32.257999999999996</v>
      </c>
      <c r="U791" s="181">
        <v>1565030.1602559998</v>
      </c>
      <c r="V791" s="181">
        <v>5236449397.5318718</v>
      </c>
    </row>
    <row r="792" spans="1:22">
      <c r="A792" s="2" t="s">
        <v>1602</v>
      </c>
      <c r="B792" s="2" t="s">
        <v>1603</v>
      </c>
      <c r="C792" s="181">
        <v>66.967199999999991</v>
      </c>
      <c r="D792" s="181">
        <v>8516.1119999999992</v>
      </c>
      <c r="E792" s="181">
        <v>304.79999999999995</v>
      </c>
      <c r="F792" s="181">
        <v>181.10199999999998</v>
      </c>
      <c r="G792" s="181">
        <v>15.875</v>
      </c>
      <c r="H792" s="181">
        <v>22.097999999999999</v>
      </c>
      <c r="I792" s="181">
        <v>0</v>
      </c>
      <c r="J792" s="181">
        <v>22.351999999999997</v>
      </c>
      <c r="K792" s="181">
        <v>0</v>
      </c>
      <c r="L792" s="181">
        <v>16.8</v>
      </c>
      <c r="M792" s="181">
        <v>79083970.863999993</v>
      </c>
      <c r="N792" s="181">
        <v>673508.33039999998</v>
      </c>
      <c r="O792" s="181">
        <v>370347.64639999997</v>
      </c>
      <c r="P792" s="181">
        <v>96.265999999999991</v>
      </c>
      <c r="Q792" s="181">
        <v>9281960.7908800002</v>
      </c>
      <c r="R792" s="181">
        <v>183535.11679999996</v>
      </c>
      <c r="S792" s="181">
        <v>102746.89127999998</v>
      </c>
      <c r="T792" s="181">
        <v>33.019999999999996</v>
      </c>
      <c r="U792" s="181">
        <v>1252856.5910559997</v>
      </c>
      <c r="V792" s="181">
        <v>3249283985.1351614</v>
      </c>
    </row>
    <row r="793" spans="1:22">
      <c r="A793" s="2" t="s">
        <v>1604</v>
      </c>
      <c r="B793" s="2" t="s">
        <v>1605</v>
      </c>
      <c r="C793" s="181">
        <v>59.526399999999995</v>
      </c>
      <c r="D793" s="181">
        <v>7548.3719999999994</v>
      </c>
      <c r="E793" s="181">
        <v>304.79999999999995</v>
      </c>
      <c r="F793" s="181">
        <v>177.79999999999998</v>
      </c>
      <c r="G793" s="181">
        <v>12.7</v>
      </c>
      <c r="H793" s="181">
        <v>22.097999999999999</v>
      </c>
      <c r="I793" s="181">
        <v>0</v>
      </c>
      <c r="J793" s="181">
        <v>22.351999999999997</v>
      </c>
      <c r="K793" s="181">
        <v>0</v>
      </c>
      <c r="L793" s="181">
        <v>21.1</v>
      </c>
      <c r="M793" s="181">
        <v>67429490.9472</v>
      </c>
      <c r="N793" s="181">
        <v>550605.3504</v>
      </c>
      <c r="O793" s="181">
        <v>304799.39039999997</v>
      </c>
      <c r="P793" s="181">
        <v>94.488</v>
      </c>
      <c r="Q793" s="181">
        <v>8740859.9375999998</v>
      </c>
      <c r="R793" s="181">
        <v>170425.4656</v>
      </c>
      <c r="S793" s="181">
        <v>98322.383999999991</v>
      </c>
      <c r="T793" s="181">
        <v>34.036000000000001</v>
      </c>
      <c r="U793" s="181">
        <v>1015604.6784639999</v>
      </c>
      <c r="V793" s="181">
        <v>1863638913.7882662</v>
      </c>
    </row>
    <row r="794" spans="1:22">
      <c r="A794" s="2" t="s">
        <v>1606</v>
      </c>
      <c r="B794" s="2" t="s">
        <v>1607</v>
      </c>
      <c r="C794" s="181">
        <v>71.43168</v>
      </c>
      <c r="D794" s="181">
        <v>9096.7559999999994</v>
      </c>
      <c r="E794" s="181">
        <v>259.08</v>
      </c>
      <c r="F794" s="181">
        <v>182.88</v>
      </c>
      <c r="G794" s="181">
        <v>20.32</v>
      </c>
      <c r="H794" s="181">
        <v>23.367999999999999</v>
      </c>
      <c r="I794" s="181">
        <v>0</v>
      </c>
      <c r="J794" s="181">
        <v>21.081999999999997</v>
      </c>
      <c r="K794" s="181">
        <v>0</v>
      </c>
      <c r="L794" s="181">
        <v>10.8</v>
      </c>
      <c r="M794" s="181">
        <v>59521093.860799991</v>
      </c>
      <c r="N794" s="181">
        <v>604682.66159999988</v>
      </c>
      <c r="O794" s="181">
        <v>332657.39919999999</v>
      </c>
      <c r="P794" s="181">
        <v>80.772000000000006</v>
      </c>
      <c r="Q794" s="181">
        <v>10405785.639999999</v>
      </c>
      <c r="R794" s="181">
        <v>204838.3</v>
      </c>
      <c r="S794" s="181">
        <v>113562.35351999999</v>
      </c>
      <c r="T794" s="181">
        <v>33.781999999999996</v>
      </c>
      <c r="U794" s="181">
        <v>1731522.7304959998</v>
      </c>
      <c r="V794" s="181">
        <v>4028037998.10144</v>
      </c>
    </row>
    <row r="795" spans="1:22">
      <c r="A795" s="2" t="s">
        <v>1608</v>
      </c>
      <c r="B795" s="2" t="s">
        <v>1609</v>
      </c>
      <c r="C795" s="181">
        <v>63.990879999999997</v>
      </c>
      <c r="D795" s="181">
        <v>8193.5319999999992</v>
      </c>
      <c r="E795" s="181">
        <v>259.08</v>
      </c>
      <c r="F795" s="181">
        <v>179.32399999999998</v>
      </c>
      <c r="G795" s="181">
        <v>16.763999999999999</v>
      </c>
      <c r="H795" s="181">
        <v>23.367999999999999</v>
      </c>
      <c r="I795" s="181">
        <v>0</v>
      </c>
      <c r="J795" s="181">
        <v>21.081999999999997</v>
      </c>
      <c r="K795" s="181">
        <v>0</v>
      </c>
      <c r="L795" s="181">
        <v>13.1</v>
      </c>
      <c r="M795" s="181">
        <v>51612696.774399996</v>
      </c>
      <c r="N795" s="181">
        <v>509637.69039999996</v>
      </c>
      <c r="O795" s="181">
        <v>281857.50079999998</v>
      </c>
      <c r="P795" s="181">
        <v>79.501999999999995</v>
      </c>
      <c r="Q795" s="181">
        <v>9698192.2164799999</v>
      </c>
      <c r="R795" s="181">
        <v>190089.94239999997</v>
      </c>
      <c r="S795" s="181">
        <v>107990.75175999998</v>
      </c>
      <c r="T795" s="181">
        <v>34.544000000000004</v>
      </c>
      <c r="U795" s="181">
        <v>1373563.7044799998</v>
      </c>
      <c r="V795" s="181">
        <v>2462473896.1726804</v>
      </c>
    </row>
    <row r="796" spans="1:22">
      <c r="A796" s="2" t="s">
        <v>1610</v>
      </c>
      <c r="B796" s="2" t="s">
        <v>1611</v>
      </c>
      <c r="C796" s="181">
        <v>55.805999999999997</v>
      </c>
      <c r="D796" s="181">
        <v>7096.7599999999993</v>
      </c>
      <c r="E796" s="181">
        <v>254</v>
      </c>
      <c r="F796" s="181">
        <v>162.30599999999998</v>
      </c>
      <c r="G796" s="181">
        <v>16.128999999999998</v>
      </c>
      <c r="H796" s="181">
        <v>20.193000000000001</v>
      </c>
      <c r="I796" s="181">
        <v>0</v>
      </c>
      <c r="J796" s="181">
        <v>21.081999999999997</v>
      </c>
      <c r="K796" s="181">
        <v>0</v>
      </c>
      <c r="L796" s="181">
        <v>13.6</v>
      </c>
      <c r="M796" s="181">
        <v>45369225.390399992</v>
      </c>
      <c r="N796" s="181">
        <v>468670.03039999999</v>
      </c>
      <c r="O796" s="181">
        <v>258915.61119999998</v>
      </c>
      <c r="P796" s="181">
        <v>80.009999999999991</v>
      </c>
      <c r="Q796" s="181">
        <v>6160225.0988799995</v>
      </c>
      <c r="R796" s="181">
        <v>136995.85503999997</v>
      </c>
      <c r="S796" s="181">
        <v>75708.235679999998</v>
      </c>
      <c r="T796" s="181">
        <v>29.463999999999995</v>
      </c>
      <c r="U796" s="181">
        <v>949007.6503679998</v>
      </c>
      <c r="V796" s="181">
        <v>1936143597.754092</v>
      </c>
    </row>
    <row r="797" spans="1:22">
      <c r="A797" s="2" t="s">
        <v>1612</v>
      </c>
      <c r="B797" s="2" t="s">
        <v>1613</v>
      </c>
      <c r="C797" s="181">
        <v>49.109279999999998</v>
      </c>
      <c r="D797" s="181">
        <v>6251.6003999999994</v>
      </c>
      <c r="E797" s="181">
        <v>254</v>
      </c>
      <c r="F797" s="181">
        <v>159.00399999999999</v>
      </c>
      <c r="G797" s="181">
        <v>12.827</v>
      </c>
      <c r="H797" s="181">
        <v>20.193000000000001</v>
      </c>
      <c r="I797" s="181">
        <v>0</v>
      </c>
      <c r="J797" s="181">
        <v>21.081999999999997</v>
      </c>
      <c r="K797" s="181">
        <v>0</v>
      </c>
      <c r="L797" s="181">
        <v>17</v>
      </c>
      <c r="M797" s="181">
        <v>38667899.438239999</v>
      </c>
      <c r="N797" s="181">
        <v>383457.29759999993</v>
      </c>
      <c r="O797" s="181">
        <v>211393.1256</v>
      </c>
      <c r="P797" s="181">
        <v>78.739999999999995</v>
      </c>
      <c r="Q797" s="181">
        <v>5702370.5307199992</v>
      </c>
      <c r="R797" s="181">
        <v>126180.39279999999</v>
      </c>
      <c r="S797" s="181">
        <v>71939.210959999982</v>
      </c>
      <c r="T797" s="181">
        <v>30.225999999999996</v>
      </c>
      <c r="U797" s="181">
        <v>740891.93756799994</v>
      </c>
      <c r="V797" s="181">
        <v>1079514183.4911857</v>
      </c>
    </row>
    <row r="798" spans="1:22">
      <c r="A798" s="2" t="s">
        <v>1614</v>
      </c>
      <c r="B798" s="2" t="s">
        <v>1615</v>
      </c>
      <c r="C798" s="181">
        <v>52.085599999999999</v>
      </c>
      <c r="D798" s="181">
        <v>6645.1480000000001</v>
      </c>
      <c r="E798" s="181">
        <v>228.6</v>
      </c>
      <c r="F798" s="181">
        <v>158.75</v>
      </c>
      <c r="G798" s="181">
        <v>18.059399999999997</v>
      </c>
      <c r="H798" s="181">
        <v>17.551399999999997</v>
      </c>
      <c r="I798" s="181">
        <v>0</v>
      </c>
      <c r="J798" s="181">
        <v>20.548599999999997</v>
      </c>
      <c r="K798" s="181">
        <v>0</v>
      </c>
      <c r="L798" s="181">
        <v>11</v>
      </c>
      <c r="M798" s="181">
        <v>35171555.463199995</v>
      </c>
      <c r="N798" s="181">
        <v>411315.3064</v>
      </c>
      <c r="O798" s="181">
        <v>229418.89599999998</v>
      </c>
      <c r="P798" s="181">
        <v>72.897999999999996</v>
      </c>
      <c r="Q798" s="181">
        <v>4994777.1071999995</v>
      </c>
      <c r="R798" s="181">
        <v>117495.24887999998</v>
      </c>
      <c r="S798" s="181">
        <v>62926.325759999992</v>
      </c>
      <c r="T798" s="181">
        <v>27.431999999999999</v>
      </c>
      <c r="U798" s="181">
        <v>840787.47971199988</v>
      </c>
      <c r="V798" s="181">
        <v>1887807141.7768748</v>
      </c>
    </row>
    <row r="799" spans="1:22">
      <c r="A799" s="2" t="s">
        <v>1616</v>
      </c>
      <c r="B799" s="2" t="s">
        <v>1617</v>
      </c>
      <c r="C799" s="181">
        <v>40.701175999999997</v>
      </c>
      <c r="D799" s="181">
        <v>5174.1831999999995</v>
      </c>
      <c r="E799" s="181">
        <v>228.6</v>
      </c>
      <c r="F799" s="181">
        <v>152.39999999999998</v>
      </c>
      <c r="G799" s="181">
        <v>11.7094</v>
      </c>
      <c r="H799" s="181">
        <v>17.551399999999997</v>
      </c>
      <c r="I799" s="181">
        <v>0</v>
      </c>
      <c r="J799" s="181">
        <v>20.548599999999997</v>
      </c>
      <c r="K799" s="181">
        <v>0</v>
      </c>
      <c r="L799" s="181">
        <v>16.899999999999999</v>
      </c>
      <c r="M799" s="181">
        <v>25931217.814879995</v>
      </c>
      <c r="N799" s="181">
        <v>283496.2072</v>
      </c>
      <c r="O799" s="181">
        <v>157315.81439999997</v>
      </c>
      <c r="P799" s="181">
        <v>70.866</v>
      </c>
      <c r="Q799" s="181">
        <v>4328806.8262399994</v>
      </c>
      <c r="R799" s="181">
        <v>99305.607839999982</v>
      </c>
      <c r="S799" s="181">
        <v>56535.370799999997</v>
      </c>
      <c r="T799" s="181">
        <v>28.955999999999996</v>
      </c>
      <c r="U799" s="181">
        <v>482828.45369599992</v>
      </c>
      <c r="V799" s="181">
        <v>606891058.3806169</v>
      </c>
    </row>
    <row r="800" spans="1:22">
      <c r="A800" s="2" t="s">
        <v>1618</v>
      </c>
      <c r="B800" s="2" t="s">
        <v>1619</v>
      </c>
      <c r="C800" s="181">
        <v>37.204000000000001</v>
      </c>
      <c r="D800" s="181">
        <v>4735.4744000000001</v>
      </c>
      <c r="E800" s="181">
        <v>190.5</v>
      </c>
      <c r="F800" s="181">
        <v>143.25599999999997</v>
      </c>
      <c r="G800" s="181">
        <v>13.97</v>
      </c>
      <c r="H800" s="181">
        <v>15.798799999999998</v>
      </c>
      <c r="I800" s="181">
        <v>0</v>
      </c>
      <c r="J800" s="181">
        <v>19.126199999999997</v>
      </c>
      <c r="K800" s="181">
        <v>0</v>
      </c>
      <c r="L800" s="181">
        <v>11.6</v>
      </c>
      <c r="M800" s="181">
        <v>16857372.7368</v>
      </c>
      <c r="N800" s="181">
        <v>229418.89599999998</v>
      </c>
      <c r="O800" s="181">
        <v>126508.13407999999</v>
      </c>
      <c r="P800" s="181">
        <v>59.69</v>
      </c>
      <c r="Q800" s="181">
        <v>3242442.8054239997</v>
      </c>
      <c r="R800" s="181">
        <v>81771.449359999999</v>
      </c>
      <c r="S800" s="181">
        <v>45228.296639999993</v>
      </c>
      <c r="T800" s="181">
        <v>26.161999999999999</v>
      </c>
      <c r="U800" s="181">
        <v>437042.99687999999</v>
      </c>
      <c r="V800" s="181">
        <v>542442450.41099393</v>
      </c>
    </row>
    <row r="801" spans="1:22">
      <c r="A801" s="2" t="s">
        <v>1620</v>
      </c>
      <c r="B801" s="2" t="s">
        <v>1621</v>
      </c>
      <c r="C801" s="181">
        <v>31.921031999999997</v>
      </c>
      <c r="D801" s="181">
        <v>4064.5079999999998</v>
      </c>
      <c r="E801" s="181">
        <v>190.5</v>
      </c>
      <c r="F801" s="181">
        <v>139.69999999999999</v>
      </c>
      <c r="G801" s="181">
        <v>10.439399999999999</v>
      </c>
      <c r="H801" s="181">
        <v>15.798799999999998</v>
      </c>
      <c r="I801" s="181">
        <v>0</v>
      </c>
      <c r="J801" s="181">
        <v>19.126199999999997</v>
      </c>
      <c r="K801" s="181">
        <v>0</v>
      </c>
      <c r="L801" s="181">
        <v>15.5</v>
      </c>
      <c r="M801" s="181">
        <v>13694013.902239999</v>
      </c>
      <c r="N801" s="181">
        <v>176980.29120000001</v>
      </c>
      <c r="O801" s="181">
        <v>98158.513359999997</v>
      </c>
      <c r="P801" s="181">
        <v>58.165999999999997</v>
      </c>
      <c r="Q801" s="181">
        <v>2967730.0645279996</v>
      </c>
      <c r="R801" s="181">
        <v>74397.27055999999</v>
      </c>
      <c r="S801" s="181">
        <v>42442.495759999991</v>
      </c>
      <c r="T801" s="181">
        <v>26.923999999999999</v>
      </c>
      <c r="U801" s="181">
        <v>318417.040584</v>
      </c>
      <c r="V801" s="181">
        <v>267193187.20739549</v>
      </c>
    </row>
    <row r="802" spans="1:22">
      <c r="A802" s="2" t="s">
        <v>1622</v>
      </c>
      <c r="B802" s="2" t="s">
        <v>1623</v>
      </c>
      <c r="C802" s="181">
        <v>37.204000000000001</v>
      </c>
      <c r="D802" s="181">
        <v>4722.5712000000003</v>
      </c>
      <c r="E802" s="181">
        <v>152.39999999999998</v>
      </c>
      <c r="F802" s="181">
        <v>139.19200000000001</v>
      </c>
      <c r="G802" s="181">
        <v>17.4498</v>
      </c>
      <c r="H802" s="181">
        <v>16.738599999999998</v>
      </c>
      <c r="I802" s="181">
        <v>0</v>
      </c>
      <c r="J802" s="181">
        <v>19.773899999999998</v>
      </c>
      <c r="K802" s="181">
        <v>0</v>
      </c>
      <c r="L802" s="181">
        <v>7.05</v>
      </c>
      <c r="M802" s="181">
        <v>10447408.78256</v>
      </c>
      <c r="N802" s="181">
        <v>180257.70399999997</v>
      </c>
      <c r="O802" s="181">
        <v>98977.866559999995</v>
      </c>
      <c r="P802" s="181">
        <v>46.99</v>
      </c>
      <c r="Q802" s="181">
        <v>3242442.8054239997</v>
      </c>
      <c r="R802" s="181">
        <v>84557.250239999994</v>
      </c>
      <c r="S802" s="181">
        <v>46539.261759999994</v>
      </c>
      <c r="T802" s="181">
        <v>26.161999999999999</v>
      </c>
      <c r="U802" s="181">
        <v>566074.73881599994</v>
      </c>
      <c r="V802" s="181">
        <v>529015657.08398908</v>
      </c>
    </row>
    <row r="803" spans="1:22">
      <c r="A803" s="2" t="s">
        <v>1624</v>
      </c>
      <c r="B803" s="2" t="s">
        <v>1625</v>
      </c>
      <c r="C803" s="181">
        <v>30.358463999999998</v>
      </c>
      <c r="D803" s="181">
        <v>3845.1535999999996</v>
      </c>
      <c r="E803" s="181">
        <v>152.39999999999998</v>
      </c>
      <c r="F803" s="181">
        <v>133.35</v>
      </c>
      <c r="G803" s="181">
        <v>11.7348</v>
      </c>
      <c r="H803" s="181">
        <v>16.738599999999998</v>
      </c>
      <c r="I803" s="181">
        <v>0</v>
      </c>
      <c r="J803" s="181">
        <v>19.773899999999998</v>
      </c>
      <c r="K803" s="181">
        <v>0</v>
      </c>
      <c r="L803" s="181">
        <v>10.6</v>
      </c>
      <c r="M803" s="181">
        <v>7866773.9438399989</v>
      </c>
      <c r="N803" s="181">
        <v>126344.26343999998</v>
      </c>
      <c r="O803" s="181">
        <v>69972.763279999985</v>
      </c>
      <c r="P803" s="181">
        <v>45.211999999999996</v>
      </c>
      <c r="Q803" s="181">
        <v>2805399.8085439997</v>
      </c>
      <c r="R803" s="181">
        <v>72594.693519999986</v>
      </c>
      <c r="S803" s="181">
        <v>42114.754479999996</v>
      </c>
      <c r="T803" s="181">
        <v>26.923999999999999</v>
      </c>
      <c r="U803" s="181">
        <v>350466.86035519995</v>
      </c>
      <c r="V803" s="181">
        <v>211337726.96705556</v>
      </c>
    </row>
    <row r="804" spans="1:22">
      <c r="A804" s="2" t="s">
        <v>1626</v>
      </c>
      <c r="B804" s="2" t="s">
        <v>1627</v>
      </c>
      <c r="C804" s="181">
        <v>26.0428</v>
      </c>
      <c r="D804" s="181">
        <v>3303.2192</v>
      </c>
      <c r="E804" s="181">
        <v>152.39999999999998</v>
      </c>
      <c r="F804" s="181">
        <v>129.03199999999998</v>
      </c>
      <c r="G804" s="181">
        <v>10.8712</v>
      </c>
      <c r="H804" s="181">
        <v>13.817600000000001</v>
      </c>
      <c r="I804" s="181">
        <v>0</v>
      </c>
      <c r="J804" s="181">
        <v>16.344899999999996</v>
      </c>
      <c r="K804" s="181">
        <v>0</v>
      </c>
      <c r="L804" s="181">
        <v>11.9</v>
      </c>
      <c r="M804" s="181">
        <v>7159180.5203199992</v>
      </c>
      <c r="N804" s="181">
        <v>116675.89567999999</v>
      </c>
      <c r="O804" s="181">
        <v>64728.902799999996</v>
      </c>
      <c r="P804" s="181">
        <v>46.481999999999999</v>
      </c>
      <c r="Q804" s="181">
        <v>2047858.6139519997</v>
      </c>
      <c r="R804" s="181">
        <v>55716.017599999992</v>
      </c>
      <c r="S804" s="181">
        <v>31790.904159999995</v>
      </c>
      <c r="T804" s="181">
        <v>24.891999999999999</v>
      </c>
      <c r="U804" s="181">
        <v>218105.26701439999</v>
      </c>
      <c r="V804" s="181">
        <v>149305941.79629338</v>
      </c>
    </row>
    <row r="805" spans="1:22">
      <c r="A805" s="2" t="s">
        <v>1628</v>
      </c>
      <c r="B805" s="2" t="s">
        <v>1629</v>
      </c>
      <c r="C805" s="181">
        <v>23.661743999999999</v>
      </c>
      <c r="D805" s="181">
        <v>2999.9940000000001</v>
      </c>
      <c r="E805" s="181">
        <v>152.39999999999998</v>
      </c>
      <c r="F805" s="181">
        <v>127</v>
      </c>
      <c r="G805" s="181">
        <v>8.8899999999999988</v>
      </c>
      <c r="H805" s="181">
        <v>13.817600000000001</v>
      </c>
      <c r="I805" s="181">
        <v>0</v>
      </c>
      <c r="J805" s="181">
        <v>16.344899999999996</v>
      </c>
      <c r="K805" s="181">
        <v>0</v>
      </c>
      <c r="L805" s="181">
        <v>14.5</v>
      </c>
      <c r="M805" s="181">
        <v>6160225.0988799995</v>
      </c>
      <c r="N805" s="181">
        <v>97339.160159999999</v>
      </c>
      <c r="O805" s="181">
        <v>54077.311199999989</v>
      </c>
      <c r="P805" s="181">
        <v>45.211999999999996</v>
      </c>
      <c r="Q805" s="181">
        <v>1939638.4432959999</v>
      </c>
      <c r="R805" s="181">
        <v>52766.346079999996</v>
      </c>
      <c r="S805" s="181">
        <v>30643.809679999998</v>
      </c>
      <c r="T805" s="181">
        <v>25.4</v>
      </c>
      <c r="U805" s="181">
        <v>182309.36441279997</v>
      </c>
      <c r="V805" s="181">
        <v>97747055.420594931</v>
      </c>
    </row>
    <row r="806" spans="1:22">
      <c r="A806" s="2" t="s">
        <v>1630</v>
      </c>
      <c r="B806" s="2" t="s">
        <v>1631</v>
      </c>
      <c r="C806" s="181">
        <v>26.0428</v>
      </c>
      <c r="D806" s="181">
        <v>3316.1223999999997</v>
      </c>
      <c r="E806" s="181">
        <v>127</v>
      </c>
      <c r="F806" s="181">
        <v>125.476</v>
      </c>
      <c r="G806" s="181">
        <v>15.087599999999998</v>
      </c>
      <c r="H806" s="181">
        <v>12.471399999999999</v>
      </c>
      <c r="I806" s="181">
        <v>0</v>
      </c>
      <c r="J806" s="181">
        <v>16.1036</v>
      </c>
      <c r="K806" s="181">
        <v>0</v>
      </c>
      <c r="L806" s="181">
        <v>6.9</v>
      </c>
      <c r="M806" s="181">
        <v>5202892.8199999994</v>
      </c>
      <c r="N806" s="181">
        <v>107826.88111999999</v>
      </c>
      <c r="O806" s="181">
        <v>59321.171679999999</v>
      </c>
      <c r="P806" s="181">
        <v>39.624000000000002</v>
      </c>
      <c r="Q806" s="181">
        <v>1727360.4162399999</v>
      </c>
      <c r="R806" s="181">
        <v>50799.898399999998</v>
      </c>
      <c r="S806" s="181">
        <v>27530.267519999998</v>
      </c>
      <c r="T806" s="181">
        <v>22.834599999999998</v>
      </c>
      <c r="U806" s="181">
        <v>263474.49240479997</v>
      </c>
      <c r="V806" s="181">
        <v>194688503.24156958</v>
      </c>
    </row>
    <row r="807" spans="1:22">
      <c r="A807" s="2" t="s">
        <v>1632</v>
      </c>
      <c r="B807" s="2" t="s">
        <v>1633</v>
      </c>
      <c r="C807" s="181">
        <v>18.899631999999997</v>
      </c>
      <c r="D807" s="181">
        <v>2406.4467999999997</v>
      </c>
      <c r="E807" s="181">
        <v>127</v>
      </c>
      <c r="F807" s="181">
        <v>118.36399999999999</v>
      </c>
      <c r="G807" s="181">
        <v>7.8993999999999991</v>
      </c>
      <c r="H807" s="181">
        <v>12.471399999999999</v>
      </c>
      <c r="I807" s="181">
        <v>0</v>
      </c>
      <c r="J807" s="181">
        <v>16.1036</v>
      </c>
      <c r="K807" s="181">
        <v>0</v>
      </c>
      <c r="L807" s="181">
        <v>13.2</v>
      </c>
      <c r="M807" s="181">
        <v>3242442.8054239997</v>
      </c>
      <c r="N807" s="181">
        <v>60632.1368</v>
      </c>
      <c r="O807" s="181">
        <v>33593.481199999995</v>
      </c>
      <c r="P807" s="181">
        <v>36.83</v>
      </c>
      <c r="Q807" s="181">
        <v>1398537.5900159997</v>
      </c>
      <c r="R807" s="181">
        <v>40803.789360000002</v>
      </c>
      <c r="S807" s="181">
        <v>23597.372159999995</v>
      </c>
      <c r="T807" s="181">
        <v>24.13</v>
      </c>
      <c r="U807" s="181">
        <v>124869.42767999998</v>
      </c>
      <c r="V807" s="181">
        <v>46456704.911436602</v>
      </c>
    </row>
    <row r="808" spans="1:22">
      <c r="A808" s="2" t="s">
        <v>1634</v>
      </c>
      <c r="B808" s="2" t="s">
        <v>1635</v>
      </c>
      <c r="C808" s="181">
        <v>17.11384</v>
      </c>
      <c r="D808" s="181">
        <v>2180.6407999999997</v>
      </c>
      <c r="E808" s="181">
        <v>101.6</v>
      </c>
      <c r="F808" s="181">
        <v>105.91799999999999</v>
      </c>
      <c r="G808" s="181">
        <v>11.2014</v>
      </c>
      <c r="H808" s="181">
        <v>10.795</v>
      </c>
      <c r="I808" s="181">
        <v>0</v>
      </c>
      <c r="J808" s="181">
        <v>14.604999999999999</v>
      </c>
      <c r="K808" s="181">
        <v>0</v>
      </c>
      <c r="L808" s="181">
        <v>7.27</v>
      </c>
      <c r="M808" s="181">
        <v>2081157.1279999998</v>
      </c>
      <c r="N808" s="181">
        <v>52274.734159999993</v>
      </c>
      <c r="O808" s="181">
        <v>28841.232639999998</v>
      </c>
      <c r="P808" s="181">
        <v>30.987999999999996</v>
      </c>
      <c r="Q808" s="181">
        <v>886572.93652799982</v>
      </c>
      <c r="R808" s="181">
        <v>30152.197759999999</v>
      </c>
      <c r="S808" s="181">
        <v>16714.80528</v>
      </c>
      <c r="T808" s="181">
        <v>20.193000000000001</v>
      </c>
      <c r="U808" s="181">
        <v>112798.7163376</v>
      </c>
      <c r="V808" s="181">
        <v>45114025.578736126</v>
      </c>
    </row>
    <row r="809" spans="1:22">
      <c r="A809" s="2" t="s">
        <v>1636</v>
      </c>
      <c r="B809" s="2" t="s">
        <v>1637</v>
      </c>
      <c r="C809" s="181">
        <v>13.691071999999998</v>
      </c>
      <c r="D809" s="181">
        <v>1741.932</v>
      </c>
      <c r="E809" s="181">
        <v>101.6</v>
      </c>
      <c r="F809" s="181">
        <v>101.6</v>
      </c>
      <c r="G809" s="181">
        <v>6.8834</v>
      </c>
      <c r="H809" s="181">
        <v>10.795</v>
      </c>
      <c r="I809" s="181">
        <v>0</v>
      </c>
      <c r="J809" s="181">
        <v>14.604999999999999</v>
      </c>
      <c r="K809" s="181">
        <v>0</v>
      </c>
      <c r="L809" s="181">
        <v>11.8</v>
      </c>
      <c r="M809" s="181">
        <v>1452647.6753439999</v>
      </c>
      <c r="N809" s="181">
        <v>33921.222479999997</v>
      </c>
      <c r="O809" s="181">
        <v>18681.252959999998</v>
      </c>
      <c r="P809" s="181">
        <v>28.955999999999996</v>
      </c>
      <c r="Q809" s="181">
        <v>765865.82310399995</v>
      </c>
      <c r="R809" s="181">
        <v>26055.431759999999</v>
      </c>
      <c r="S809" s="181">
        <v>15108.873007999999</v>
      </c>
      <c r="T809" s="181">
        <v>21.005799999999997</v>
      </c>
      <c r="U809" s="181">
        <v>69510.648075199992</v>
      </c>
      <c r="V809" s="181">
        <v>17240002.631874159</v>
      </c>
    </row>
    <row r="810" spans="1:22">
      <c r="A810" s="2" t="s">
        <v>1638</v>
      </c>
      <c r="B810" s="2" t="s">
        <v>1639</v>
      </c>
      <c r="C810" s="181">
        <v>12.835379999999999</v>
      </c>
      <c r="D810" s="181">
        <v>1632.2547999999997</v>
      </c>
      <c r="E810" s="181">
        <v>76.199999999999989</v>
      </c>
      <c r="F810" s="181">
        <v>90.677999999999997</v>
      </c>
      <c r="G810" s="181">
        <v>11.811</v>
      </c>
      <c r="H810" s="181">
        <v>9.1185999999999989</v>
      </c>
      <c r="I810" s="181">
        <v>0</v>
      </c>
      <c r="J810" s="181">
        <v>11.5189</v>
      </c>
      <c r="K810" s="181">
        <v>0</v>
      </c>
      <c r="L810" s="181">
        <v>5.01</v>
      </c>
      <c r="M810" s="181">
        <v>882410.62227199995</v>
      </c>
      <c r="N810" s="181">
        <v>30316.0684</v>
      </c>
      <c r="O810" s="181">
        <v>16714.80528</v>
      </c>
      <c r="P810" s="181">
        <v>23.241</v>
      </c>
      <c r="Q810" s="181">
        <v>474503.8251839999</v>
      </c>
      <c r="R810" s="181">
        <v>19172.864879999997</v>
      </c>
      <c r="S810" s="181">
        <v>10520.495088</v>
      </c>
      <c r="T810" s="181">
        <v>17.094200000000001</v>
      </c>
      <c r="U810" s="181">
        <v>75337.888033599986</v>
      </c>
      <c r="V810" s="181">
        <v>20730968.896895412</v>
      </c>
    </row>
    <row r="811" spans="1:22">
      <c r="A811" s="2" t="s">
        <v>1640</v>
      </c>
      <c r="B811" s="2" t="s">
        <v>1641</v>
      </c>
      <c r="C811" s="181">
        <v>9.3010000000000002</v>
      </c>
      <c r="D811" s="181">
        <v>1180.6428000000001</v>
      </c>
      <c r="E811" s="181">
        <v>76.199999999999989</v>
      </c>
      <c r="F811" s="181">
        <v>84.581999999999994</v>
      </c>
      <c r="G811" s="181">
        <v>5.8928000000000003</v>
      </c>
      <c r="H811" s="181">
        <v>9.1185999999999989</v>
      </c>
      <c r="I811" s="181">
        <v>0</v>
      </c>
      <c r="J811" s="181">
        <v>11.5189</v>
      </c>
      <c r="K811" s="181">
        <v>0</v>
      </c>
      <c r="L811" s="181">
        <v>10</v>
      </c>
      <c r="M811" s="181">
        <v>524451.59625599999</v>
      </c>
      <c r="N811" s="181">
        <v>16550.934639999999</v>
      </c>
      <c r="O811" s="181">
        <v>8963.7240079999992</v>
      </c>
      <c r="P811" s="181">
        <v>21.107399999999998</v>
      </c>
      <c r="Q811" s="181">
        <v>375024.51446559996</v>
      </c>
      <c r="R811" s="181">
        <v>15239.969519999999</v>
      </c>
      <c r="S811" s="181">
        <v>8865.4016240000001</v>
      </c>
      <c r="T811" s="181">
        <v>17.830799999999996</v>
      </c>
      <c r="U811" s="181">
        <v>34547.208324799998</v>
      </c>
      <c r="V811" s="181">
        <v>5290156.5708398903</v>
      </c>
    </row>
    <row r="812" spans="1:22">
      <c r="A812" s="2" t="s">
        <v>1642</v>
      </c>
      <c r="B812" s="2" t="s">
        <v>1643</v>
      </c>
      <c r="C812" s="181">
        <v>7.4407999999999994</v>
      </c>
      <c r="D812" s="181">
        <v>948.38519999999994</v>
      </c>
      <c r="E812" s="181">
        <v>63.5</v>
      </c>
      <c r="F812" s="181">
        <v>76.199999999999989</v>
      </c>
      <c r="G812" s="181">
        <v>5.4356</v>
      </c>
      <c r="H812" s="181">
        <v>8.2804000000000002</v>
      </c>
      <c r="I812" s="181">
        <v>0</v>
      </c>
      <c r="J812" s="181">
        <v>10.769599999999997</v>
      </c>
      <c r="K812" s="181">
        <v>0</v>
      </c>
      <c r="L812" s="181">
        <v>8.7100000000000009</v>
      </c>
      <c r="M812" s="181">
        <v>279291.2865776</v>
      </c>
      <c r="N812" s="181">
        <v>10651.5916</v>
      </c>
      <c r="O812" s="181">
        <v>5702.6982719999987</v>
      </c>
      <c r="P812" s="181">
        <v>17.195800000000002</v>
      </c>
      <c r="Q812" s="181">
        <v>248490.16108319996</v>
      </c>
      <c r="R812" s="181">
        <v>11241.525904</v>
      </c>
      <c r="S812" s="181">
        <v>6522.0514720000001</v>
      </c>
      <c r="T812" s="181">
        <v>16.205199999999998</v>
      </c>
      <c r="U812" s="181">
        <v>23641.944974079997</v>
      </c>
      <c r="V812" s="181">
        <v>2685358.66540096</v>
      </c>
    </row>
    <row r="813" spans="1:22">
      <c r="A813" s="2" t="s">
        <v>1644</v>
      </c>
      <c r="B813" s="2" t="s">
        <v>1645</v>
      </c>
      <c r="C813" s="181">
        <v>7.0687599999999993</v>
      </c>
      <c r="D813" s="181">
        <v>896.77239999999995</v>
      </c>
      <c r="E813" s="181">
        <v>50.8</v>
      </c>
      <c r="F813" s="181">
        <v>71.11999999999999</v>
      </c>
      <c r="G813" s="181">
        <v>8.2804000000000002</v>
      </c>
      <c r="H813" s="181">
        <v>7.4421999999999988</v>
      </c>
      <c r="I813" s="181">
        <v>0</v>
      </c>
      <c r="J813" s="181">
        <v>11.607799999999997</v>
      </c>
      <c r="K813" s="181">
        <v>0</v>
      </c>
      <c r="L813" s="181">
        <v>4.34</v>
      </c>
      <c r="M813" s="181">
        <v>192298.91862719998</v>
      </c>
      <c r="N813" s="181">
        <v>9701.1418879999983</v>
      </c>
      <c r="O813" s="181">
        <v>5227.4734159999998</v>
      </c>
      <c r="P813" s="181">
        <v>14.604999999999999</v>
      </c>
      <c r="Q813" s="181">
        <v>184806.75296639997</v>
      </c>
      <c r="R813" s="181">
        <v>9258.6911599999985</v>
      </c>
      <c r="S813" s="181">
        <v>5194.6992879999998</v>
      </c>
      <c r="T813" s="181">
        <v>14.325599999999998</v>
      </c>
      <c r="U813" s="181">
        <v>24557.654110399995</v>
      </c>
      <c r="V813" s="181">
        <v>2671931.8720739554</v>
      </c>
    </row>
    <row r="814" spans="1:22">
      <c r="A814" s="2" t="s">
        <v>1646</v>
      </c>
      <c r="B814" s="2" t="s">
        <v>1647</v>
      </c>
      <c r="C814" s="181">
        <v>5.7294159999999996</v>
      </c>
      <c r="D814" s="181">
        <v>729.03079999999989</v>
      </c>
      <c r="E814" s="181">
        <v>50.8</v>
      </c>
      <c r="F814" s="181">
        <v>67.563999999999993</v>
      </c>
      <c r="G814" s="181">
        <v>4.9021999999999997</v>
      </c>
      <c r="H814" s="181">
        <v>7.4421999999999988</v>
      </c>
      <c r="I814" s="181">
        <v>0</v>
      </c>
      <c r="J814" s="181">
        <v>11.607799999999997</v>
      </c>
      <c r="K814" s="181">
        <v>0</v>
      </c>
      <c r="L814" s="181">
        <v>7.34</v>
      </c>
      <c r="M814" s="181">
        <v>127783.04765919999</v>
      </c>
      <c r="N814" s="181">
        <v>6243.4713839999995</v>
      </c>
      <c r="O814" s="181">
        <v>3244.638672</v>
      </c>
      <c r="P814" s="181">
        <v>13.258799999999999</v>
      </c>
      <c r="Q814" s="181">
        <v>155670.55317439997</v>
      </c>
      <c r="R814" s="181">
        <v>7947.7260399999986</v>
      </c>
      <c r="S814" s="181">
        <v>4604.7649840000004</v>
      </c>
      <c r="T814" s="181">
        <v>14.630399999999998</v>
      </c>
      <c r="U814" s="181">
        <v>15150.823891839998</v>
      </c>
      <c r="V814" s="181">
        <v>1227208.9100882388</v>
      </c>
    </row>
    <row r="815" spans="1:22">
      <c r="A815" s="2" t="s">
        <v>1648</v>
      </c>
      <c r="B815" s="2" t="s">
        <v>1649</v>
      </c>
      <c r="C815" s="181">
        <v>5.5805999999999996</v>
      </c>
      <c r="D815" s="181">
        <v>709.67600000000004</v>
      </c>
      <c r="E815" s="181">
        <v>38.099999999999994</v>
      </c>
      <c r="F815" s="181">
        <v>63.753999999999991</v>
      </c>
      <c r="G815" s="181">
        <v>8.8645999999999994</v>
      </c>
      <c r="H815" s="181">
        <v>6.6040000000000001</v>
      </c>
      <c r="I815" s="181">
        <v>0</v>
      </c>
      <c r="J815" s="181">
        <v>9.2710000000000008</v>
      </c>
      <c r="K815" s="181">
        <v>0</v>
      </c>
      <c r="L815" s="181">
        <v>2.84</v>
      </c>
      <c r="M815" s="181">
        <v>83246.28512</v>
      </c>
      <c r="N815" s="181">
        <v>5751.8594639999992</v>
      </c>
      <c r="O815" s="181">
        <v>3064.3809679999995</v>
      </c>
      <c r="P815" s="181">
        <v>10.820399999999999</v>
      </c>
      <c r="Q815" s="181">
        <v>120290.88199839999</v>
      </c>
      <c r="R815" s="181">
        <v>6735.0833039999989</v>
      </c>
      <c r="S815" s="181">
        <v>3769.0247199999999</v>
      </c>
      <c r="T815" s="181">
        <v>13.030199999999999</v>
      </c>
      <c r="U815" s="181">
        <v>17981.197585919999</v>
      </c>
      <c r="V815" s="181">
        <v>1331937.898038876</v>
      </c>
    </row>
    <row r="816" spans="1:22">
      <c r="A816" s="2" t="s">
        <v>1650</v>
      </c>
      <c r="B816" s="2" t="s">
        <v>1651</v>
      </c>
      <c r="C816" s="181">
        <v>4.2412559999999999</v>
      </c>
      <c r="D816" s="181">
        <v>535.4828</v>
      </c>
      <c r="E816" s="181">
        <v>38.099999999999994</v>
      </c>
      <c r="F816" s="181">
        <v>59.181999999999995</v>
      </c>
      <c r="G816" s="181">
        <v>4.3180000000000005</v>
      </c>
      <c r="H816" s="181">
        <v>6.6040000000000001</v>
      </c>
      <c r="I816" s="181">
        <v>0</v>
      </c>
      <c r="J816" s="181">
        <v>9.2710000000000008</v>
      </c>
      <c r="K816" s="181">
        <v>0</v>
      </c>
      <c r="L816" s="181">
        <v>5.82</v>
      </c>
      <c r="M816" s="181">
        <v>47450.382518399994</v>
      </c>
      <c r="N816" s="181">
        <v>3211.864544</v>
      </c>
      <c r="O816" s="181">
        <v>1589.545208</v>
      </c>
      <c r="P816" s="181">
        <v>9.3979999999999997</v>
      </c>
      <c r="Q816" s="181">
        <v>92819.607908799997</v>
      </c>
      <c r="R816" s="181">
        <v>5374.9569919999994</v>
      </c>
      <c r="S816" s="181">
        <v>3146.316288</v>
      </c>
      <c r="T816" s="181">
        <v>13.1572</v>
      </c>
      <c r="U816" s="181">
        <v>8990.5987929599996</v>
      </c>
      <c r="V816" s="181">
        <v>507532.78776078142</v>
      </c>
    </row>
    <row r="817" spans="1:22">
      <c r="A817" s="2" t="s">
        <v>1652</v>
      </c>
      <c r="B817" s="2" t="s">
        <v>1653</v>
      </c>
      <c r="C817" s="181">
        <v>169.65024</v>
      </c>
      <c r="D817" s="181">
        <v>21677.376</v>
      </c>
      <c r="E817" s="181">
        <v>203.2</v>
      </c>
      <c r="F817" s="181">
        <v>0</v>
      </c>
      <c r="G817" s="181">
        <v>0</v>
      </c>
      <c r="H817" s="181">
        <v>0</v>
      </c>
      <c r="I817" s="181">
        <v>28.574999999999999</v>
      </c>
      <c r="J817" s="181">
        <v>0</v>
      </c>
      <c r="K817" s="181">
        <v>0</v>
      </c>
      <c r="L817" s="181">
        <v>0</v>
      </c>
      <c r="M817" s="181">
        <v>81581359.417599991</v>
      </c>
      <c r="N817" s="181">
        <v>1035662.4447999999</v>
      </c>
      <c r="O817" s="181">
        <v>573547.24</v>
      </c>
      <c r="P817" s="181">
        <v>61.213999999999999</v>
      </c>
      <c r="Q817" s="181">
        <v>0</v>
      </c>
      <c r="R817" s="181">
        <v>0</v>
      </c>
      <c r="S817" s="181">
        <v>0</v>
      </c>
      <c r="T817" s="181">
        <v>86.614000000000004</v>
      </c>
      <c r="U817" s="181">
        <v>0</v>
      </c>
      <c r="V817" s="181">
        <v>0</v>
      </c>
    </row>
    <row r="818" spans="1:22">
      <c r="A818" s="2" t="s">
        <v>1654</v>
      </c>
      <c r="B818" s="2" t="s">
        <v>1655</v>
      </c>
      <c r="C818" s="181">
        <v>169.65024</v>
      </c>
      <c r="D818" s="181">
        <v>21677.376</v>
      </c>
      <c r="E818" s="181">
        <v>203.2</v>
      </c>
      <c r="F818" s="181">
        <v>0</v>
      </c>
      <c r="G818" s="181">
        <v>0</v>
      </c>
      <c r="H818" s="181">
        <v>0</v>
      </c>
      <c r="I818" s="181">
        <v>28.574999999999999</v>
      </c>
      <c r="J818" s="181">
        <v>0</v>
      </c>
      <c r="K818" s="181">
        <v>0</v>
      </c>
      <c r="L818" s="181">
        <v>0</v>
      </c>
      <c r="M818" s="181">
        <v>81581359.417599991</v>
      </c>
      <c r="N818" s="181">
        <v>1035662.4447999999</v>
      </c>
      <c r="O818" s="181">
        <v>573547.24</v>
      </c>
      <c r="P818" s="181">
        <v>61.213999999999999</v>
      </c>
      <c r="Q818" s="181">
        <v>0</v>
      </c>
      <c r="R818" s="181">
        <v>0</v>
      </c>
      <c r="S818" s="181">
        <v>0</v>
      </c>
      <c r="T818" s="181">
        <v>89.915999999999997</v>
      </c>
      <c r="U818" s="181">
        <v>0</v>
      </c>
      <c r="V818" s="181">
        <v>0</v>
      </c>
    </row>
    <row r="819" spans="1:22">
      <c r="A819" s="2" t="s">
        <v>1656</v>
      </c>
      <c r="B819" s="2" t="s">
        <v>1657</v>
      </c>
      <c r="C819" s="181">
        <v>169.65024</v>
      </c>
      <c r="D819" s="181">
        <v>21677.376</v>
      </c>
      <c r="E819" s="181">
        <v>203.2</v>
      </c>
      <c r="F819" s="181">
        <v>0</v>
      </c>
      <c r="G819" s="181">
        <v>0</v>
      </c>
      <c r="H819" s="181">
        <v>0</v>
      </c>
      <c r="I819" s="181">
        <v>28.574999999999999</v>
      </c>
      <c r="J819" s="181">
        <v>0</v>
      </c>
      <c r="K819" s="181">
        <v>0</v>
      </c>
      <c r="L819" s="181">
        <v>0</v>
      </c>
      <c r="M819" s="181">
        <v>81581359.417599991</v>
      </c>
      <c r="N819" s="181">
        <v>1035662.4447999999</v>
      </c>
      <c r="O819" s="181">
        <v>573547.24</v>
      </c>
      <c r="P819" s="181">
        <v>61.213999999999999</v>
      </c>
      <c r="Q819" s="181">
        <v>0</v>
      </c>
      <c r="R819" s="181">
        <v>0</v>
      </c>
      <c r="S819" s="181">
        <v>0</v>
      </c>
      <c r="T819" s="181">
        <v>93.471999999999994</v>
      </c>
      <c r="U819" s="181">
        <v>0</v>
      </c>
      <c r="V819" s="181">
        <v>0</v>
      </c>
    </row>
    <row r="820" spans="1:22">
      <c r="A820" s="2" t="s">
        <v>1658</v>
      </c>
      <c r="B820" s="2" t="s">
        <v>1659</v>
      </c>
      <c r="C820" s="181">
        <v>153.28047999999998</v>
      </c>
      <c r="D820" s="181">
        <v>19483.831999999999</v>
      </c>
      <c r="E820" s="181">
        <v>203.2</v>
      </c>
      <c r="F820" s="181">
        <v>0</v>
      </c>
      <c r="G820" s="181">
        <v>0</v>
      </c>
      <c r="H820" s="181">
        <v>0</v>
      </c>
      <c r="I820" s="181">
        <v>25.4</v>
      </c>
      <c r="J820" s="181">
        <v>0</v>
      </c>
      <c r="K820" s="181">
        <v>0</v>
      </c>
      <c r="L820" s="181">
        <v>0</v>
      </c>
      <c r="M820" s="181">
        <v>74089193.756799996</v>
      </c>
      <c r="N820" s="181">
        <v>934062.64799999993</v>
      </c>
      <c r="O820" s="181">
        <v>517831.22239999997</v>
      </c>
      <c r="P820" s="181">
        <v>61.722000000000001</v>
      </c>
      <c r="Q820" s="181">
        <v>0</v>
      </c>
      <c r="R820" s="181">
        <v>0</v>
      </c>
      <c r="S820" s="181">
        <v>0</v>
      </c>
      <c r="T820" s="181">
        <v>86.105999999999995</v>
      </c>
      <c r="U820" s="181">
        <v>0</v>
      </c>
      <c r="V820" s="181">
        <v>0</v>
      </c>
    </row>
    <row r="821" spans="1:22">
      <c r="A821" s="2" t="s">
        <v>1660</v>
      </c>
      <c r="B821" s="2" t="s">
        <v>1661</v>
      </c>
      <c r="C821" s="181">
        <v>153.28047999999998</v>
      </c>
      <c r="D821" s="181">
        <v>19483.831999999999</v>
      </c>
      <c r="E821" s="181">
        <v>203.2</v>
      </c>
      <c r="F821" s="181">
        <v>0</v>
      </c>
      <c r="G821" s="181">
        <v>0</v>
      </c>
      <c r="H821" s="181">
        <v>0</v>
      </c>
      <c r="I821" s="181">
        <v>25.4</v>
      </c>
      <c r="J821" s="181">
        <v>0</v>
      </c>
      <c r="K821" s="181">
        <v>0</v>
      </c>
      <c r="L821" s="181">
        <v>0</v>
      </c>
      <c r="M821" s="181">
        <v>74089193.756799996</v>
      </c>
      <c r="N821" s="181">
        <v>934062.64799999993</v>
      </c>
      <c r="O821" s="181">
        <v>517831.22239999997</v>
      </c>
      <c r="P821" s="181">
        <v>61.722000000000001</v>
      </c>
      <c r="Q821" s="181">
        <v>0</v>
      </c>
      <c r="R821" s="181">
        <v>0</v>
      </c>
      <c r="S821" s="181">
        <v>0</v>
      </c>
      <c r="T821" s="181">
        <v>89.408000000000001</v>
      </c>
      <c r="U821" s="181">
        <v>0</v>
      </c>
      <c r="V821" s="181">
        <v>0</v>
      </c>
    </row>
    <row r="822" spans="1:22">
      <c r="A822" s="2" t="s">
        <v>1662</v>
      </c>
      <c r="B822" s="2" t="s">
        <v>1663</v>
      </c>
      <c r="C822" s="181">
        <v>153.28047999999998</v>
      </c>
      <c r="D822" s="181">
        <v>19483.831999999999</v>
      </c>
      <c r="E822" s="181">
        <v>203.2</v>
      </c>
      <c r="F822" s="181">
        <v>0</v>
      </c>
      <c r="G822" s="181">
        <v>0</v>
      </c>
      <c r="H822" s="181">
        <v>0</v>
      </c>
      <c r="I822" s="181">
        <v>25.4</v>
      </c>
      <c r="J822" s="181">
        <v>0</v>
      </c>
      <c r="K822" s="181">
        <v>0</v>
      </c>
      <c r="L822" s="181">
        <v>0</v>
      </c>
      <c r="M822" s="181">
        <v>74089193.756799996</v>
      </c>
      <c r="N822" s="181">
        <v>934062.64799999993</v>
      </c>
      <c r="O822" s="181">
        <v>517831.22239999997</v>
      </c>
      <c r="P822" s="181">
        <v>61.722000000000001</v>
      </c>
      <c r="Q822" s="181">
        <v>0</v>
      </c>
      <c r="R822" s="181">
        <v>0</v>
      </c>
      <c r="S822" s="181">
        <v>0</v>
      </c>
      <c r="T822" s="181">
        <v>92.963999999999999</v>
      </c>
      <c r="U822" s="181">
        <v>0</v>
      </c>
      <c r="V822" s="181">
        <v>0</v>
      </c>
    </row>
    <row r="823" spans="1:22">
      <c r="A823" s="2" t="s">
        <v>1664</v>
      </c>
      <c r="B823" s="2" t="s">
        <v>1665</v>
      </c>
      <c r="C823" s="181">
        <v>134.82729599999999</v>
      </c>
      <c r="D823" s="181">
        <v>17161.256000000001</v>
      </c>
      <c r="E823" s="181">
        <v>203.2</v>
      </c>
      <c r="F823" s="181">
        <v>0</v>
      </c>
      <c r="G823" s="181">
        <v>0</v>
      </c>
      <c r="H823" s="181">
        <v>0</v>
      </c>
      <c r="I823" s="181">
        <v>22.224999999999998</v>
      </c>
      <c r="J823" s="181">
        <v>0</v>
      </c>
      <c r="K823" s="181">
        <v>0</v>
      </c>
      <c r="L823" s="181">
        <v>0</v>
      </c>
      <c r="M823" s="181">
        <v>66180796.670399994</v>
      </c>
      <c r="N823" s="181">
        <v>827546.73199999996</v>
      </c>
      <c r="O823" s="181">
        <v>458837.79199999996</v>
      </c>
      <c r="P823" s="181">
        <v>62.230000000000004</v>
      </c>
      <c r="Q823" s="181">
        <v>0</v>
      </c>
      <c r="R823" s="181">
        <v>0</v>
      </c>
      <c r="S823" s="181">
        <v>0</v>
      </c>
      <c r="T823" s="181">
        <v>85.343999999999994</v>
      </c>
      <c r="U823" s="181">
        <v>0</v>
      </c>
      <c r="V823" s="181">
        <v>0</v>
      </c>
    </row>
    <row r="824" spans="1:22">
      <c r="A824" s="2" t="s">
        <v>1666</v>
      </c>
      <c r="B824" s="2" t="s">
        <v>1667</v>
      </c>
      <c r="C824" s="181">
        <v>134.82729599999999</v>
      </c>
      <c r="D824" s="181">
        <v>17161.256000000001</v>
      </c>
      <c r="E824" s="181">
        <v>203.2</v>
      </c>
      <c r="F824" s="181">
        <v>0</v>
      </c>
      <c r="G824" s="181">
        <v>0</v>
      </c>
      <c r="H824" s="181">
        <v>0</v>
      </c>
      <c r="I824" s="181">
        <v>22.224999999999998</v>
      </c>
      <c r="J824" s="181">
        <v>0</v>
      </c>
      <c r="K824" s="181">
        <v>0</v>
      </c>
      <c r="L824" s="181">
        <v>0</v>
      </c>
      <c r="M824" s="181">
        <v>66180796.670399994</v>
      </c>
      <c r="N824" s="181">
        <v>827546.73199999996</v>
      </c>
      <c r="O824" s="181">
        <v>458837.79199999996</v>
      </c>
      <c r="P824" s="181">
        <v>62.230000000000004</v>
      </c>
      <c r="Q824" s="181">
        <v>0</v>
      </c>
      <c r="R824" s="181">
        <v>0</v>
      </c>
      <c r="S824" s="181">
        <v>0</v>
      </c>
      <c r="T824" s="181">
        <v>88.899999999999991</v>
      </c>
      <c r="U824" s="181">
        <v>0</v>
      </c>
      <c r="V824" s="181">
        <v>0</v>
      </c>
    </row>
    <row r="825" spans="1:22">
      <c r="A825" s="2" t="s">
        <v>1668</v>
      </c>
      <c r="B825" s="2" t="s">
        <v>1669</v>
      </c>
      <c r="C825" s="181">
        <v>134.82729599999999</v>
      </c>
      <c r="D825" s="181">
        <v>17161.256000000001</v>
      </c>
      <c r="E825" s="181">
        <v>203.2</v>
      </c>
      <c r="F825" s="181">
        <v>0</v>
      </c>
      <c r="G825" s="181">
        <v>0</v>
      </c>
      <c r="H825" s="181">
        <v>0</v>
      </c>
      <c r="I825" s="181">
        <v>22.224999999999998</v>
      </c>
      <c r="J825" s="181">
        <v>0</v>
      </c>
      <c r="K825" s="181">
        <v>0</v>
      </c>
      <c r="L825" s="181">
        <v>0</v>
      </c>
      <c r="M825" s="181">
        <v>66180796.670399994</v>
      </c>
      <c r="N825" s="181">
        <v>827546.73199999996</v>
      </c>
      <c r="O825" s="181">
        <v>458837.79199999996</v>
      </c>
      <c r="P825" s="181">
        <v>62.230000000000004</v>
      </c>
      <c r="Q825" s="181">
        <v>0</v>
      </c>
      <c r="R825" s="181">
        <v>0</v>
      </c>
      <c r="S825" s="181">
        <v>0</v>
      </c>
      <c r="T825" s="181">
        <v>92.201999999999998</v>
      </c>
      <c r="U825" s="181">
        <v>0</v>
      </c>
      <c r="V825" s="181">
        <v>0</v>
      </c>
    </row>
    <row r="826" spans="1:22">
      <c r="A826" s="2" t="s">
        <v>1670</v>
      </c>
      <c r="B826" s="2" t="s">
        <v>1671</v>
      </c>
      <c r="C826" s="181">
        <v>116.671744</v>
      </c>
      <c r="D826" s="181">
        <v>14838.679999999998</v>
      </c>
      <c r="E826" s="181">
        <v>203.2</v>
      </c>
      <c r="F826" s="181">
        <v>0</v>
      </c>
      <c r="G826" s="181">
        <v>0</v>
      </c>
      <c r="H826" s="181">
        <v>0</v>
      </c>
      <c r="I826" s="181">
        <v>19.049999999999997</v>
      </c>
      <c r="J826" s="181">
        <v>0</v>
      </c>
      <c r="K826" s="181">
        <v>0</v>
      </c>
      <c r="L826" s="181">
        <v>0</v>
      </c>
      <c r="M826" s="181">
        <v>58272399.583999991</v>
      </c>
      <c r="N826" s="181">
        <v>719392.10959999997</v>
      </c>
      <c r="O826" s="181">
        <v>399844.36159999995</v>
      </c>
      <c r="P826" s="181">
        <v>62.483999999999995</v>
      </c>
      <c r="Q826" s="181">
        <v>0</v>
      </c>
      <c r="R826" s="181">
        <v>0</v>
      </c>
      <c r="S826" s="181">
        <v>0</v>
      </c>
      <c r="T826" s="181">
        <v>84.835999999999999</v>
      </c>
      <c r="U826" s="181">
        <v>0</v>
      </c>
      <c r="V826" s="181">
        <v>0</v>
      </c>
    </row>
    <row r="827" spans="1:22">
      <c r="A827" s="2" t="s">
        <v>1672</v>
      </c>
      <c r="B827" s="2" t="s">
        <v>1673</v>
      </c>
      <c r="C827" s="181">
        <v>116.671744</v>
      </c>
      <c r="D827" s="181">
        <v>14838.679999999998</v>
      </c>
      <c r="E827" s="181">
        <v>203.2</v>
      </c>
      <c r="F827" s="181">
        <v>0</v>
      </c>
      <c r="G827" s="181">
        <v>0</v>
      </c>
      <c r="H827" s="181">
        <v>0</v>
      </c>
      <c r="I827" s="181">
        <v>19.049999999999997</v>
      </c>
      <c r="J827" s="181">
        <v>0</v>
      </c>
      <c r="K827" s="181">
        <v>0</v>
      </c>
      <c r="L827" s="181">
        <v>0</v>
      </c>
      <c r="M827" s="181">
        <v>58272399.583999991</v>
      </c>
      <c r="N827" s="181">
        <v>719392.10959999997</v>
      </c>
      <c r="O827" s="181">
        <v>399844.36159999995</v>
      </c>
      <c r="P827" s="181">
        <v>62.483999999999995</v>
      </c>
      <c r="Q827" s="181">
        <v>0</v>
      </c>
      <c r="R827" s="181">
        <v>0</v>
      </c>
      <c r="S827" s="181">
        <v>0</v>
      </c>
      <c r="T827" s="181">
        <v>88.138000000000005</v>
      </c>
      <c r="U827" s="181">
        <v>0</v>
      </c>
      <c r="V827" s="181">
        <v>0</v>
      </c>
    </row>
    <row r="828" spans="1:22">
      <c r="A828" s="2" t="s">
        <v>1674</v>
      </c>
      <c r="B828" s="2" t="s">
        <v>1675</v>
      </c>
      <c r="C828" s="181">
        <v>116.671744</v>
      </c>
      <c r="D828" s="181">
        <v>14838.679999999998</v>
      </c>
      <c r="E828" s="181">
        <v>203.2</v>
      </c>
      <c r="F828" s="181">
        <v>0</v>
      </c>
      <c r="G828" s="181">
        <v>0</v>
      </c>
      <c r="H828" s="181">
        <v>0</v>
      </c>
      <c r="I828" s="181">
        <v>19.049999999999997</v>
      </c>
      <c r="J828" s="181">
        <v>0</v>
      </c>
      <c r="K828" s="181">
        <v>0</v>
      </c>
      <c r="L828" s="181">
        <v>0</v>
      </c>
      <c r="M828" s="181">
        <v>58272399.583999991</v>
      </c>
      <c r="N828" s="181">
        <v>719392.10959999997</v>
      </c>
      <c r="O828" s="181">
        <v>399844.36159999995</v>
      </c>
      <c r="P828" s="181">
        <v>62.483999999999995</v>
      </c>
      <c r="Q828" s="181">
        <v>0</v>
      </c>
      <c r="R828" s="181">
        <v>0</v>
      </c>
      <c r="S828" s="181">
        <v>0</v>
      </c>
      <c r="T828" s="181">
        <v>91.693999999999988</v>
      </c>
      <c r="U828" s="181">
        <v>0</v>
      </c>
      <c r="V828" s="181">
        <v>0</v>
      </c>
    </row>
    <row r="829" spans="1:22">
      <c r="A829" s="2" t="s">
        <v>1676</v>
      </c>
      <c r="B829" s="2" t="s">
        <v>1677</v>
      </c>
      <c r="C829" s="181">
        <v>98.218559999999997</v>
      </c>
      <c r="D829" s="181">
        <v>12516.103999999999</v>
      </c>
      <c r="E829" s="181">
        <v>203.2</v>
      </c>
      <c r="F829" s="181">
        <v>0</v>
      </c>
      <c r="G829" s="181">
        <v>0</v>
      </c>
      <c r="H829" s="181">
        <v>0</v>
      </c>
      <c r="I829" s="181">
        <v>15.875</v>
      </c>
      <c r="J829" s="181">
        <v>0</v>
      </c>
      <c r="K829" s="181">
        <v>0</v>
      </c>
      <c r="L829" s="181">
        <v>0</v>
      </c>
      <c r="M829" s="181">
        <v>49531539.646399997</v>
      </c>
      <c r="N829" s="181">
        <v>607960.07439999992</v>
      </c>
      <c r="O829" s="181">
        <v>337573.5184</v>
      </c>
      <c r="P829" s="181">
        <v>62.991999999999997</v>
      </c>
      <c r="Q829" s="181">
        <v>0</v>
      </c>
      <c r="R829" s="181">
        <v>0</v>
      </c>
      <c r="S829" s="181">
        <v>0</v>
      </c>
      <c r="T829" s="181">
        <v>84.327999999999989</v>
      </c>
      <c r="U829" s="181">
        <v>0</v>
      </c>
      <c r="V829" s="181">
        <v>0</v>
      </c>
    </row>
    <row r="830" spans="1:22">
      <c r="A830" s="2" t="s">
        <v>1678</v>
      </c>
      <c r="B830" s="2" t="s">
        <v>1679</v>
      </c>
      <c r="C830" s="181">
        <v>98.218559999999997</v>
      </c>
      <c r="D830" s="181">
        <v>12516.103999999999</v>
      </c>
      <c r="E830" s="181">
        <v>203.2</v>
      </c>
      <c r="F830" s="181">
        <v>0</v>
      </c>
      <c r="G830" s="181">
        <v>0</v>
      </c>
      <c r="H830" s="181">
        <v>0</v>
      </c>
      <c r="I830" s="181">
        <v>15.875</v>
      </c>
      <c r="J830" s="181">
        <v>0</v>
      </c>
      <c r="K830" s="181">
        <v>0</v>
      </c>
      <c r="L830" s="181">
        <v>0</v>
      </c>
      <c r="M830" s="181">
        <v>49531539.646399997</v>
      </c>
      <c r="N830" s="181">
        <v>607960.07439999992</v>
      </c>
      <c r="O830" s="181">
        <v>337573.5184</v>
      </c>
      <c r="P830" s="181">
        <v>62.991999999999997</v>
      </c>
      <c r="Q830" s="181">
        <v>0</v>
      </c>
      <c r="R830" s="181">
        <v>0</v>
      </c>
      <c r="S830" s="181">
        <v>0</v>
      </c>
      <c r="T830" s="181">
        <v>87.63</v>
      </c>
      <c r="U830" s="181">
        <v>0</v>
      </c>
      <c r="V830" s="181">
        <v>0</v>
      </c>
    </row>
    <row r="831" spans="1:22">
      <c r="A831" s="2" t="s">
        <v>1680</v>
      </c>
      <c r="B831" s="2" t="s">
        <v>1681</v>
      </c>
      <c r="C831" s="181">
        <v>98.218559999999997</v>
      </c>
      <c r="D831" s="181">
        <v>12516.103999999999</v>
      </c>
      <c r="E831" s="181">
        <v>203.2</v>
      </c>
      <c r="F831" s="181">
        <v>0</v>
      </c>
      <c r="G831" s="181">
        <v>0</v>
      </c>
      <c r="H831" s="181">
        <v>0</v>
      </c>
      <c r="I831" s="181">
        <v>15.875</v>
      </c>
      <c r="J831" s="181">
        <v>0</v>
      </c>
      <c r="K831" s="181">
        <v>0</v>
      </c>
      <c r="L831" s="181">
        <v>0</v>
      </c>
      <c r="M831" s="181">
        <v>49531539.646399997</v>
      </c>
      <c r="N831" s="181">
        <v>607960.07439999992</v>
      </c>
      <c r="O831" s="181">
        <v>337573.5184</v>
      </c>
      <c r="P831" s="181">
        <v>62.991999999999997</v>
      </c>
      <c r="Q831" s="181">
        <v>0</v>
      </c>
      <c r="R831" s="181">
        <v>0</v>
      </c>
      <c r="S831" s="181">
        <v>0</v>
      </c>
      <c r="T831" s="181">
        <v>90.932000000000002</v>
      </c>
      <c r="U831" s="181">
        <v>0</v>
      </c>
      <c r="V831" s="181">
        <v>0</v>
      </c>
    </row>
    <row r="832" spans="1:22">
      <c r="A832" s="2" t="s">
        <v>1682</v>
      </c>
      <c r="B832" s="2" t="s">
        <v>1683</v>
      </c>
      <c r="C832" s="181">
        <v>88.843152000000003</v>
      </c>
      <c r="D832" s="181">
        <v>11290.3</v>
      </c>
      <c r="E832" s="181">
        <v>203.2</v>
      </c>
      <c r="F832" s="181">
        <v>0</v>
      </c>
      <c r="G832" s="181">
        <v>0</v>
      </c>
      <c r="H832" s="181">
        <v>0</v>
      </c>
      <c r="I832" s="181">
        <v>14.2875</v>
      </c>
      <c r="J832" s="181">
        <v>0</v>
      </c>
      <c r="K832" s="181">
        <v>0</v>
      </c>
      <c r="L832" s="181">
        <v>0</v>
      </c>
      <c r="M832" s="181">
        <v>44952993.964799993</v>
      </c>
      <c r="N832" s="181">
        <v>552244.05680000002</v>
      </c>
      <c r="O832" s="181">
        <v>306438.09679999994</v>
      </c>
      <c r="P832" s="181">
        <v>63.246000000000002</v>
      </c>
      <c r="Q832" s="181">
        <v>0</v>
      </c>
      <c r="R832" s="181">
        <v>0</v>
      </c>
      <c r="S832" s="181">
        <v>0</v>
      </c>
      <c r="T832" s="181">
        <v>84.073999999999998</v>
      </c>
      <c r="U832" s="181">
        <v>0</v>
      </c>
      <c r="V832" s="181">
        <v>0</v>
      </c>
    </row>
    <row r="833" spans="1:22">
      <c r="A833" s="2" t="s">
        <v>1684</v>
      </c>
      <c r="B833" s="2" t="s">
        <v>1685</v>
      </c>
      <c r="C833" s="181">
        <v>88.843152000000003</v>
      </c>
      <c r="D833" s="181">
        <v>11290.3</v>
      </c>
      <c r="E833" s="181">
        <v>203.2</v>
      </c>
      <c r="F833" s="181">
        <v>0</v>
      </c>
      <c r="G833" s="181">
        <v>0</v>
      </c>
      <c r="H833" s="181">
        <v>0</v>
      </c>
      <c r="I833" s="181">
        <v>14.2875</v>
      </c>
      <c r="J833" s="181">
        <v>0</v>
      </c>
      <c r="K833" s="181">
        <v>0</v>
      </c>
      <c r="L833" s="181">
        <v>0</v>
      </c>
      <c r="M833" s="181">
        <v>44952993.964799993</v>
      </c>
      <c r="N833" s="181">
        <v>552244.05680000002</v>
      </c>
      <c r="O833" s="181">
        <v>306438.09679999994</v>
      </c>
      <c r="P833" s="181">
        <v>63.246000000000002</v>
      </c>
      <c r="Q833" s="181">
        <v>0</v>
      </c>
      <c r="R833" s="181">
        <v>0</v>
      </c>
      <c r="S833" s="181">
        <v>0</v>
      </c>
      <c r="T833" s="181">
        <v>87.375999999999991</v>
      </c>
      <c r="U833" s="181">
        <v>0</v>
      </c>
      <c r="V833" s="181">
        <v>0</v>
      </c>
    </row>
    <row r="834" spans="1:22">
      <c r="A834" s="2" t="s">
        <v>1686</v>
      </c>
      <c r="B834" s="2" t="s">
        <v>1687</v>
      </c>
      <c r="C834" s="181">
        <v>88.843152000000003</v>
      </c>
      <c r="D834" s="181">
        <v>11290.3</v>
      </c>
      <c r="E834" s="181">
        <v>203.2</v>
      </c>
      <c r="F834" s="181">
        <v>0</v>
      </c>
      <c r="G834" s="181">
        <v>0</v>
      </c>
      <c r="H834" s="181">
        <v>0</v>
      </c>
      <c r="I834" s="181">
        <v>14.2875</v>
      </c>
      <c r="J834" s="181">
        <v>0</v>
      </c>
      <c r="K834" s="181">
        <v>0</v>
      </c>
      <c r="L834" s="181">
        <v>0</v>
      </c>
      <c r="M834" s="181">
        <v>44952993.964799993</v>
      </c>
      <c r="N834" s="181">
        <v>552244.05680000002</v>
      </c>
      <c r="O834" s="181">
        <v>306438.09679999994</v>
      </c>
      <c r="P834" s="181">
        <v>63.246000000000002</v>
      </c>
      <c r="Q834" s="181">
        <v>0</v>
      </c>
      <c r="R834" s="181">
        <v>0</v>
      </c>
      <c r="S834" s="181">
        <v>0</v>
      </c>
      <c r="T834" s="181">
        <v>90.677999999999997</v>
      </c>
      <c r="U834" s="181">
        <v>0</v>
      </c>
      <c r="V834" s="181">
        <v>0</v>
      </c>
    </row>
    <row r="835" spans="1:22">
      <c r="A835" s="2" t="s">
        <v>1688</v>
      </c>
      <c r="B835" s="2" t="s">
        <v>1689</v>
      </c>
      <c r="C835" s="181">
        <v>79.318927999999985</v>
      </c>
      <c r="D835" s="181">
        <v>10129.011999999999</v>
      </c>
      <c r="E835" s="181">
        <v>203.2</v>
      </c>
      <c r="F835" s="181">
        <v>0</v>
      </c>
      <c r="G835" s="181">
        <v>0</v>
      </c>
      <c r="H835" s="181">
        <v>0</v>
      </c>
      <c r="I835" s="181">
        <v>12.7</v>
      </c>
      <c r="J835" s="181">
        <v>0</v>
      </c>
      <c r="K835" s="181">
        <v>0</v>
      </c>
      <c r="L835" s="181">
        <v>0</v>
      </c>
      <c r="M835" s="181">
        <v>40582563.995999999</v>
      </c>
      <c r="N835" s="181">
        <v>493250.62639999995</v>
      </c>
      <c r="O835" s="181">
        <v>273663.96879999997</v>
      </c>
      <c r="P835" s="181">
        <v>63.246000000000002</v>
      </c>
      <c r="Q835" s="181">
        <v>0</v>
      </c>
      <c r="R835" s="181">
        <v>0</v>
      </c>
      <c r="S835" s="181">
        <v>0</v>
      </c>
      <c r="T835" s="181">
        <v>83.82</v>
      </c>
      <c r="U835" s="181">
        <v>0</v>
      </c>
      <c r="V835" s="181">
        <v>0</v>
      </c>
    </row>
    <row r="836" spans="1:22">
      <c r="A836" s="2" t="s">
        <v>1690</v>
      </c>
      <c r="B836" s="2" t="s">
        <v>1691</v>
      </c>
      <c r="C836" s="181">
        <v>79.318927999999985</v>
      </c>
      <c r="D836" s="181">
        <v>10129.011999999999</v>
      </c>
      <c r="E836" s="181">
        <v>203.2</v>
      </c>
      <c r="F836" s="181">
        <v>0</v>
      </c>
      <c r="G836" s="181">
        <v>0</v>
      </c>
      <c r="H836" s="181">
        <v>0</v>
      </c>
      <c r="I836" s="181">
        <v>12.7</v>
      </c>
      <c r="J836" s="181">
        <v>0</v>
      </c>
      <c r="K836" s="181">
        <v>0</v>
      </c>
      <c r="L836" s="181">
        <v>0</v>
      </c>
      <c r="M836" s="181">
        <v>40582563.995999999</v>
      </c>
      <c r="N836" s="181">
        <v>493250.62639999995</v>
      </c>
      <c r="O836" s="181">
        <v>273663.96879999997</v>
      </c>
      <c r="P836" s="181">
        <v>63.246000000000002</v>
      </c>
      <c r="Q836" s="181">
        <v>0</v>
      </c>
      <c r="R836" s="181">
        <v>0</v>
      </c>
      <c r="S836" s="181">
        <v>0</v>
      </c>
      <c r="T836" s="181">
        <v>87.122</v>
      </c>
      <c r="U836" s="181">
        <v>0</v>
      </c>
      <c r="V836" s="181">
        <v>0</v>
      </c>
    </row>
    <row r="837" spans="1:22">
      <c r="A837" s="2" t="s">
        <v>1692</v>
      </c>
      <c r="B837" s="2" t="s">
        <v>1693</v>
      </c>
      <c r="C837" s="181">
        <v>79.318927999999985</v>
      </c>
      <c r="D837" s="181">
        <v>10129.011999999999</v>
      </c>
      <c r="E837" s="181">
        <v>203.2</v>
      </c>
      <c r="F837" s="181">
        <v>0</v>
      </c>
      <c r="G837" s="181">
        <v>0</v>
      </c>
      <c r="H837" s="181">
        <v>0</v>
      </c>
      <c r="I837" s="181">
        <v>12.7</v>
      </c>
      <c r="J837" s="181">
        <v>0</v>
      </c>
      <c r="K837" s="181">
        <v>0</v>
      </c>
      <c r="L837" s="181">
        <v>0</v>
      </c>
      <c r="M837" s="181">
        <v>40582563.995999999</v>
      </c>
      <c r="N837" s="181">
        <v>493250.62639999995</v>
      </c>
      <c r="O837" s="181">
        <v>273663.96879999997</v>
      </c>
      <c r="P837" s="181">
        <v>63.246000000000002</v>
      </c>
      <c r="Q837" s="181">
        <v>0</v>
      </c>
      <c r="R837" s="181">
        <v>0</v>
      </c>
      <c r="S837" s="181">
        <v>0</v>
      </c>
      <c r="T837" s="181">
        <v>90.423999999999992</v>
      </c>
      <c r="U837" s="181">
        <v>0</v>
      </c>
      <c r="V837" s="181">
        <v>0</v>
      </c>
    </row>
    <row r="838" spans="1:22">
      <c r="A838" s="2" t="s">
        <v>1694</v>
      </c>
      <c r="B838" s="2" t="s">
        <v>1695</v>
      </c>
      <c r="C838" s="181">
        <v>111.61199999999999</v>
      </c>
      <c r="D838" s="181">
        <v>14193.519999999999</v>
      </c>
      <c r="E838" s="181">
        <v>152.39999999999998</v>
      </c>
      <c r="F838" s="181">
        <v>0</v>
      </c>
      <c r="G838" s="181">
        <v>0</v>
      </c>
      <c r="H838" s="181">
        <v>0</v>
      </c>
      <c r="I838" s="181">
        <v>25.4</v>
      </c>
      <c r="J838" s="181">
        <v>0</v>
      </c>
      <c r="K838" s="181">
        <v>0</v>
      </c>
      <c r="L838" s="181">
        <v>0</v>
      </c>
      <c r="M838" s="181">
        <v>29469184.932479996</v>
      </c>
      <c r="N838" s="181">
        <v>504721.57119999995</v>
      </c>
      <c r="O838" s="181">
        <v>280218.79440000001</v>
      </c>
      <c r="P838" s="181">
        <v>45.466000000000001</v>
      </c>
      <c r="Q838" s="181">
        <v>0</v>
      </c>
      <c r="R838" s="181">
        <v>0</v>
      </c>
      <c r="S838" s="181">
        <v>0</v>
      </c>
      <c r="T838" s="181">
        <v>65.531999999999996</v>
      </c>
      <c r="U838" s="181">
        <v>0</v>
      </c>
      <c r="V838" s="181">
        <v>0</v>
      </c>
    </row>
    <row r="839" spans="1:22">
      <c r="A839" s="2" t="s">
        <v>1696</v>
      </c>
      <c r="B839" s="2" t="s">
        <v>1697</v>
      </c>
      <c r="C839" s="181">
        <v>111.61199999999999</v>
      </c>
      <c r="D839" s="181">
        <v>14193.519999999999</v>
      </c>
      <c r="E839" s="181">
        <v>152.39999999999998</v>
      </c>
      <c r="F839" s="181">
        <v>0</v>
      </c>
      <c r="G839" s="181">
        <v>0</v>
      </c>
      <c r="H839" s="181">
        <v>0</v>
      </c>
      <c r="I839" s="181">
        <v>25.4</v>
      </c>
      <c r="J839" s="181">
        <v>0</v>
      </c>
      <c r="K839" s="181">
        <v>0</v>
      </c>
      <c r="L839" s="181">
        <v>0</v>
      </c>
      <c r="M839" s="181">
        <v>29469184.932479996</v>
      </c>
      <c r="N839" s="181">
        <v>504721.57119999995</v>
      </c>
      <c r="O839" s="181">
        <v>280218.79440000001</v>
      </c>
      <c r="P839" s="181">
        <v>45.466000000000001</v>
      </c>
      <c r="Q839" s="181">
        <v>0</v>
      </c>
      <c r="R839" s="181">
        <v>0</v>
      </c>
      <c r="S839" s="181">
        <v>0</v>
      </c>
      <c r="T839" s="181">
        <v>69.088000000000008</v>
      </c>
      <c r="U839" s="181">
        <v>0</v>
      </c>
      <c r="V839" s="181">
        <v>0</v>
      </c>
    </row>
    <row r="840" spans="1:22">
      <c r="A840" s="2" t="s">
        <v>1698</v>
      </c>
      <c r="B840" s="2" t="s">
        <v>1699</v>
      </c>
      <c r="C840" s="181">
        <v>111.61199999999999</v>
      </c>
      <c r="D840" s="181">
        <v>14193.519999999999</v>
      </c>
      <c r="E840" s="181">
        <v>152.39999999999998</v>
      </c>
      <c r="F840" s="181">
        <v>0</v>
      </c>
      <c r="G840" s="181">
        <v>0</v>
      </c>
      <c r="H840" s="181">
        <v>0</v>
      </c>
      <c r="I840" s="181">
        <v>25.4</v>
      </c>
      <c r="J840" s="181">
        <v>0</v>
      </c>
      <c r="K840" s="181">
        <v>0</v>
      </c>
      <c r="L840" s="181">
        <v>0</v>
      </c>
      <c r="M840" s="181">
        <v>29469184.932479996</v>
      </c>
      <c r="N840" s="181">
        <v>504721.57119999995</v>
      </c>
      <c r="O840" s="181">
        <v>280218.79440000001</v>
      </c>
      <c r="P840" s="181">
        <v>45.466000000000001</v>
      </c>
      <c r="Q840" s="181">
        <v>0</v>
      </c>
      <c r="R840" s="181">
        <v>0</v>
      </c>
      <c r="S840" s="181">
        <v>0</v>
      </c>
      <c r="T840" s="181">
        <v>72.643999999999991</v>
      </c>
      <c r="U840" s="181">
        <v>0</v>
      </c>
      <c r="V840" s="181">
        <v>0</v>
      </c>
    </row>
    <row r="841" spans="1:22">
      <c r="A841" s="2" t="s">
        <v>1700</v>
      </c>
      <c r="B841" s="2" t="s">
        <v>1701</v>
      </c>
      <c r="C841" s="181">
        <v>98.813823999999997</v>
      </c>
      <c r="D841" s="181">
        <v>12580.619999999999</v>
      </c>
      <c r="E841" s="181">
        <v>152.39999999999998</v>
      </c>
      <c r="F841" s="181">
        <v>0</v>
      </c>
      <c r="G841" s="181">
        <v>0</v>
      </c>
      <c r="H841" s="181">
        <v>0</v>
      </c>
      <c r="I841" s="181">
        <v>22.224999999999998</v>
      </c>
      <c r="J841" s="181">
        <v>0</v>
      </c>
      <c r="K841" s="181">
        <v>0</v>
      </c>
      <c r="L841" s="181">
        <v>0</v>
      </c>
      <c r="M841" s="181">
        <v>26555564.953279994</v>
      </c>
      <c r="N841" s="181">
        <v>449005.55359999993</v>
      </c>
      <c r="O841" s="181">
        <v>249083.37279999995</v>
      </c>
      <c r="P841" s="181">
        <v>45.973999999999997</v>
      </c>
      <c r="Q841" s="181">
        <v>0</v>
      </c>
      <c r="R841" s="181">
        <v>0</v>
      </c>
      <c r="S841" s="181">
        <v>0</v>
      </c>
      <c r="T841" s="181">
        <v>65.024000000000001</v>
      </c>
      <c r="U841" s="181">
        <v>0</v>
      </c>
      <c r="V841" s="181">
        <v>0</v>
      </c>
    </row>
    <row r="842" spans="1:22">
      <c r="A842" s="2" t="s">
        <v>1702</v>
      </c>
      <c r="B842" s="2" t="s">
        <v>1703</v>
      </c>
      <c r="C842" s="181">
        <v>98.813823999999997</v>
      </c>
      <c r="D842" s="181">
        <v>12580.619999999999</v>
      </c>
      <c r="E842" s="181">
        <v>152.39999999999998</v>
      </c>
      <c r="F842" s="181">
        <v>0</v>
      </c>
      <c r="G842" s="181">
        <v>0</v>
      </c>
      <c r="H842" s="181">
        <v>0</v>
      </c>
      <c r="I842" s="181">
        <v>22.224999999999998</v>
      </c>
      <c r="J842" s="181">
        <v>0</v>
      </c>
      <c r="K842" s="181">
        <v>0</v>
      </c>
      <c r="L842" s="181">
        <v>0</v>
      </c>
      <c r="M842" s="181">
        <v>26555564.953279994</v>
      </c>
      <c r="N842" s="181">
        <v>449005.55359999993</v>
      </c>
      <c r="O842" s="181">
        <v>249083.37279999995</v>
      </c>
      <c r="P842" s="181">
        <v>45.973999999999997</v>
      </c>
      <c r="Q842" s="181">
        <v>0</v>
      </c>
      <c r="R842" s="181">
        <v>0</v>
      </c>
      <c r="S842" s="181">
        <v>0</v>
      </c>
      <c r="T842" s="181">
        <v>68.58</v>
      </c>
      <c r="U842" s="181">
        <v>0</v>
      </c>
      <c r="V842" s="181">
        <v>0</v>
      </c>
    </row>
    <row r="843" spans="1:22">
      <c r="A843" s="2" t="s">
        <v>1704</v>
      </c>
      <c r="B843" s="2" t="s">
        <v>1705</v>
      </c>
      <c r="C843" s="181">
        <v>98.813823999999997</v>
      </c>
      <c r="D843" s="181">
        <v>12580.619999999999</v>
      </c>
      <c r="E843" s="181">
        <v>152.39999999999998</v>
      </c>
      <c r="F843" s="181">
        <v>0</v>
      </c>
      <c r="G843" s="181">
        <v>0</v>
      </c>
      <c r="H843" s="181">
        <v>0</v>
      </c>
      <c r="I843" s="181">
        <v>22.224999999999998</v>
      </c>
      <c r="J843" s="181">
        <v>0</v>
      </c>
      <c r="K843" s="181">
        <v>0</v>
      </c>
      <c r="L843" s="181">
        <v>0</v>
      </c>
      <c r="M843" s="181">
        <v>26555564.953279994</v>
      </c>
      <c r="N843" s="181">
        <v>449005.55359999993</v>
      </c>
      <c r="O843" s="181">
        <v>249083.37279999995</v>
      </c>
      <c r="P843" s="181">
        <v>45.973999999999997</v>
      </c>
      <c r="Q843" s="181">
        <v>0</v>
      </c>
      <c r="R843" s="181">
        <v>0</v>
      </c>
      <c r="S843" s="181">
        <v>0</v>
      </c>
      <c r="T843" s="181">
        <v>72.135999999999996</v>
      </c>
      <c r="U843" s="181">
        <v>0</v>
      </c>
      <c r="V843" s="181">
        <v>0</v>
      </c>
    </row>
    <row r="844" spans="1:22">
      <c r="A844" s="2" t="s">
        <v>1706</v>
      </c>
      <c r="B844" s="2" t="s">
        <v>1707</v>
      </c>
      <c r="C844" s="181">
        <v>85.718015999999992</v>
      </c>
      <c r="D844" s="181">
        <v>10903.203999999998</v>
      </c>
      <c r="E844" s="181">
        <v>152.39999999999998</v>
      </c>
      <c r="F844" s="181">
        <v>0</v>
      </c>
      <c r="G844" s="181">
        <v>0</v>
      </c>
      <c r="H844" s="181">
        <v>0</v>
      </c>
      <c r="I844" s="181">
        <v>19.049999999999997</v>
      </c>
      <c r="J844" s="181">
        <v>0</v>
      </c>
      <c r="K844" s="181">
        <v>0</v>
      </c>
      <c r="L844" s="181">
        <v>0</v>
      </c>
      <c r="M844" s="181">
        <v>23392206.118719999</v>
      </c>
      <c r="N844" s="181">
        <v>391650.82959999994</v>
      </c>
      <c r="O844" s="181">
        <v>217947.95119999998</v>
      </c>
      <c r="P844" s="181">
        <v>46.228000000000002</v>
      </c>
      <c r="Q844" s="181">
        <v>0</v>
      </c>
      <c r="R844" s="181">
        <v>0</v>
      </c>
      <c r="S844" s="181">
        <v>0</v>
      </c>
      <c r="T844" s="181">
        <v>64.515999999999991</v>
      </c>
      <c r="U844" s="181">
        <v>0</v>
      </c>
      <c r="V844" s="181">
        <v>0</v>
      </c>
    </row>
    <row r="845" spans="1:22">
      <c r="A845" s="2" t="s">
        <v>1708</v>
      </c>
      <c r="B845" s="2" t="s">
        <v>1709</v>
      </c>
      <c r="C845" s="181">
        <v>85.718015999999992</v>
      </c>
      <c r="D845" s="181">
        <v>10903.203999999998</v>
      </c>
      <c r="E845" s="181">
        <v>152.39999999999998</v>
      </c>
      <c r="F845" s="181">
        <v>0</v>
      </c>
      <c r="G845" s="181">
        <v>0</v>
      </c>
      <c r="H845" s="181">
        <v>0</v>
      </c>
      <c r="I845" s="181">
        <v>19.049999999999997</v>
      </c>
      <c r="J845" s="181">
        <v>0</v>
      </c>
      <c r="K845" s="181">
        <v>0</v>
      </c>
      <c r="L845" s="181">
        <v>0</v>
      </c>
      <c r="M845" s="181">
        <v>23392206.118719999</v>
      </c>
      <c r="N845" s="181">
        <v>391650.82959999994</v>
      </c>
      <c r="O845" s="181">
        <v>217947.95119999998</v>
      </c>
      <c r="P845" s="181">
        <v>46.228000000000002</v>
      </c>
      <c r="Q845" s="181">
        <v>0</v>
      </c>
      <c r="R845" s="181">
        <v>0</v>
      </c>
      <c r="S845" s="181">
        <v>0</v>
      </c>
      <c r="T845" s="181">
        <v>67.817999999999998</v>
      </c>
      <c r="U845" s="181">
        <v>0</v>
      </c>
      <c r="V845" s="181">
        <v>0</v>
      </c>
    </row>
    <row r="846" spans="1:22">
      <c r="A846" s="2" t="s">
        <v>1710</v>
      </c>
      <c r="B846" s="2" t="s">
        <v>1711</v>
      </c>
      <c r="C846" s="181">
        <v>85.718015999999992</v>
      </c>
      <c r="D846" s="181">
        <v>10903.203999999998</v>
      </c>
      <c r="E846" s="181">
        <v>152.39999999999998</v>
      </c>
      <c r="F846" s="181">
        <v>0</v>
      </c>
      <c r="G846" s="181">
        <v>0</v>
      </c>
      <c r="H846" s="181">
        <v>0</v>
      </c>
      <c r="I846" s="181">
        <v>19.049999999999997</v>
      </c>
      <c r="J846" s="181">
        <v>0</v>
      </c>
      <c r="K846" s="181">
        <v>0</v>
      </c>
      <c r="L846" s="181">
        <v>0</v>
      </c>
      <c r="M846" s="181">
        <v>23392206.118719999</v>
      </c>
      <c r="N846" s="181">
        <v>391650.82959999994</v>
      </c>
      <c r="O846" s="181">
        <v>217947.95119999998</v>
      </c>
      <c r="P846" s="181">
        <v>46.228000000000002</v>
      </c>
      <c r="Q846" s="181">
        <v>0</v>
      </c>
      <c r="R846" s="181">
        <v>0</v>
      </c>
      <c r="S846" s="181">
        <v>0</v>
      </c>
      <c r="T846" s="181">
        <v>71.373999999999995</v>
      </c>
      <c r="U846" s="181">
        <v>0</v>
      </c>
      <c r="V846" s="181">
        <v>0</v>
      </c>
    </row>
    <row r="847" spans="1:22">
      <c r="A847" s="2" t="s">
        <v>1712</v>
      </c>
      <c r="B847" s="2" t="s">
        <v>1713</v>
      </c>
      <c r="C847" s="181">
        <v>72.175759999999997</v>
      </c>
      <c r="D847" s="181">
        <v>9225.7880000000005</v>
      </c>
      <c r="E847" s="181">
        <v>152.39999999999998</v>
      </c>
      <c r="F847" s="181">
        <v>0</v>
      </c>
      <c r="G847" s="181">
        <v>0</v>
      </c>
      <c r="H847" s="181">
        <v>0</v>
      </c>
      <c r="I847" s="181">
        <v>15.875</v>
      </c>
      <c r="J847" s="181">
        <v>0</v>
      </c>
      <c r="K847" s="181">
        <v>0</v>
      </c>
      <c r="L847" s="181">
        <v>0</v>
      </c>
      <c r="M847" s="181">
        <v>20062354.713920001</v>
      </c>
      <c r="N847" s="181">
        <v>331018.69279999996</v>
      </c>
      <c r="O847" s="181">
        <v>185173.82319999998</v>
      </c>
      <c r="P847" s="181">
        <v>46.735999999999997</v>
      </c>
      <c r="Q847" s="181">
        <v>0</v>
      </c>
      <c r="R847" s="181">
        <v>0</v>
      </c>
      <c r="S847" s="181">
        <v>0</v>
      </c>
      <c r="T847" s="181">
        <v>64.007999999999996</v>
      </c>
      <c r="U847" s="181">
        <v>0</v>
      </c>
      <c r="V847" s="181">
        <v>0</v>
      </c>
    </row>
    <row r="848" spans="1:22">
      <c r="A848" s="2" t="s">
        <v>1714</v>
      </c>
      <c r="B848" s="2" t="s">
        <v>1715</v>
      </c>
      <c r="C848" s="181">
        <v>72.175759999999997</v>
      </c>
      <c r="D848" s="181">
        <v>9225.7880000000005</v>
      </c>
      <c r="E848" s="181">
        <v>152.39999999999998</v>
      </c>
      <c r="F848" s="181">
        <v>0</v>
      </c>
      <c r="G848" s="181">
        <v>0</v>
      </c>
      <c r="H848" s="181">
        <v>0</v>
      </c>
      <c r="I848" s="181">
        <v>15.875</v>
      </c>
      <c r="J848" s="181">
        <v>0</v>
      </c>
      <c r="K848" s="181">
        <v>0</v>
      </c>
      <c r="L848" s="181">
        <v>0</v>
      </c>
      <c r="M848" s="181">
        <v>20062354.713920001</v>
      </c>
      <c r="N848" s="181">
        <v>331018.69279999996</v>
      </c>
      <c r="O848" s="181">
        <v>185173.82319999998</v>
      </c>
      <c r="P848" s="181">
        <v>46.735999999999997</v>
      </c>
      <c r="Q848" s="181">
        <v>0</v>
      </c>
      <c r="R848" s="181">
        <v>0</v>
      </c>
      <c r="S848" s="181">
        <v>0</v>
      </c>
      <c r="T848" s="181">
        <v>67.309999999999988</v>
      </c>
      <c r="U848" s="181">
        <v>0</v>
      </c>
      <c r="V848" s="181">
        <v>0</v>
      </c>
    </row>
    <row r="849" spans="1:22">
      <c r="A849" s="2" t="s">
        <v>1716</v>
      </c>
      <c r="B849" s="2" t="s">
        <v>1717</v>
      </c>
      <c r="C849" s="181">
        <v>72.175759999999997</v>
      </c>
      <c r="D849" s="181">
        <v>9225.7880000000005</v>
      </c>
      <c r="E849" s="181">
        <v>152.39999999999998</v>
      </c>
      <c r="F849" s="181">
        <v>0</v>
      </c>
      <c r="G849" s="181">
        <v>0</v>
      </c>
      <c r="H849" s="181">
        <v>0</v>
      </c>
      <c r="I849" s="181">
        <v>15.875</v>
      </c>
      <c r="J849" s="181">
        <v>0</v>
      </c>
      <c r="K849" s="181">
        <v>0</v>
      </c>
      <c r="L849" s="181">
        <v>0</v>
      </c>
      <c r="M849" s="181">
        <v>20062354.713920001</v>
      </c>
      <c r="N849" s="181">
        <v>331018.69279999996</v>
      </c>
      <c r="O849" s="181">
        <v>185173.82319999998</v>
      </c>
      <c r="P849" s="181">
        <v>46.735999999999997</v>
      </c>
      <c r="Q849" s="181">
        <v>0</v>
      </c>
      <c r="R849" s="181">
        <v>0</v>
      </c>
      <c r="S849" s="181">
        <v>0</v>
      </c>
      <c r="T849" s="181">
        <v>70.866</v>
      </c>
      <c r="U849" s="181">
        <v>0</v>
      </c>
      <c r="V849" s="181">
        <v>0</v>
      </c>
    </row>
    <row r="850" spans="1:22">
      <c r="A850" s="2" t="s">
        <v>1718</v>
      </c>
      <c r="B850" s="2" t="s">
        <v>1719</v>
      </c>
      <c r="C850" s="181">
        <v>65.330224000000001</v>
      </c>
      <c r="D850" s="181">
        <v>8322.5640000000003</v>
      </c>
      <c r="E850" s="181">
        <v>152.39999999999998</v>
      </c>
      <c r="F850" s="181">
        <v>0</v>
      </c>
      <c r="G850" s="181">
        <v>0</v>
      </c>
      <c r="H850" s="181">
        <v>0</v>
      </c>
      <c r="I850" s="181">
        <v>14.2875</v>
      </c>
      <c r="J850" s="181">
        <v>0</v>
      </c>
      <c r="K850" s="181">
        <v>0</v>
      </c>
      <c r="L850" s="181">
        <v>0</v>
      </c>
      <c r="M850" s="181">
        <v>18355805.868960001</v>
      </c>
      <c r="N850" s="181">
        <v>301521.97759999993</v>
      </c>
      <c r="O850" s="181">
        <v>167148.05279999998</v>
      </c>
      <c r="P850" s="181">
        <v>46.99</v>
      </c>
      <c r="Q850" s="181">
        <v>0</v>
      </c>
      <c r="R850" s="181">
        <v>0</v>
      </c>
      <c r="S850" s="181">
        <v>0</v>
      </c>
      <c r="T850" s="181">
        <v>63.753999999999991</v>
      </c>
      <c r="U850" s="181">
        <v>0</v>
      </c>
      <c r="V850" s="181">
        <v>0</v>
      </c>
    </row>
    <row r="851" spans="1:22">
      <c r="A851" s="2" t="s">
        <v>1720</v>
      </c>
      <c r="B851" s="2" t="s">
        <v>1721</v>
      </c>
      <c r="C851" s="181">
        <v>65.330224000000001</v>
      </c>
      <c r="D851" s="181">
        <v>8322.5640000000003</v>
      </c>
      <c r="E851" s="181">
        <v>152.39999999999998</v>
      </c>
      <c r="F851" s="181">
        <v>0</v>
      </c>
      <c r="G851" s="181">
        <v>0</v>
      </c>
      <c r="H851" s="181">
        <v>0</v>
      </c>
      <c r="I851" s="181">
        <v>14.2875</v>
      </c>
      <c r="J851" s="181">
        <v>0</v>
      </c>
      <c r="K851" s="181">
        <v>0</v>
      </c>
      <c r="L851" s="181">
        <v>0</v>
      </c>
      <c r="M851" s="181">
        <v>18355805.868960001</v>
      </c>
      <c r="N851" s="181">
        <v>301521.97759999993</v>
      </c>
      <c r="O851" s="181">
        <v>167148.05279999998</v>
      </c>
      <c r="P851" s="181">
        <v>46.99</v>
      </c>
      <c r="Q851" s="181">
        <v>0</v>
      </c>
      <c r="R851" s="181">
        <v>0</v>
      </c>
      <c r="S851" s="181">
        <v>0</v>
      </c>
      <c r="T851" s="181">
        <v>67.055999999999997</v>
      </c>
      <c r="U851" s="181">
        <v>0</v>
      </c>
      <c r="V851" s="181">
        <v>0</v>
      </c>
    </row>
    <row r="852" spans="1:22">
      <c r="A852" s="2" t="s">
        <v>1722</v>
      </c>
      <c r="B852" s="2" t="s">
        <v>1723</v>
      </c>
      <c r="C852" s="181">
        <v>65.330224000000001</v>
      </c>
      <c r="D852" s="181">
        <v>8322.5640000000003</v>
      </c>
      <c r="E852" s="181">
        <v>152.39999999999998</v>
      </c>
      <c r="F852" s="181">
        <v>0</v>
      </c>
      <c r="G852" s="181">
        <v>0</v>
      </c>
      <c r="H852" s="181">
        <v>0</v>
      </c>
      <c r="I852" s="181">
        <v>14.2875</v>
      </c>
      <c r="J852" s="181">
        <v>0</v>
      </c>
      <c r="K852" s="181">
        <v>0</v>
      </c>
      <c r="L852" s="181">
        <v>0</v>
      </c>
      <c r="M852" s="181">
        <v>18355805.868960001</v>
      </c>
      <c r="N852" s="181">
        <v>301521.97759999993</v>
      </c>
      <c r="O852" s="181">
        <v>167148.05279999998</v>
      </c>
      <c r="P852" s="181">
        <v>46.99</v>
      </c>
      <c r="Q852" s="181">
        <v>0</v>
      </c>
      <c r="R852" s="181">
        <v>0</v>
      </c>
      <c r="S852" s="181">
        <v>0</v>
      </c>
      <c r="T852" s="181">
        <v>70.611999999999995</v>
      </c>
      <c r="U852" s="181">
        <v>0</v>
      </c>
      <c r="V852" s="181">
        <v>0</v>
      </c>
    </row>
    <row r="853" spans="1:22">
      <c r="A853" s="2" t="s">
        <v>1724</v>
      </c>
      <c r="B853" s="2" t="s">
        <v>1725</v>
      </c>
      <c r="C853" s="181">
        <v>58.484687999999991</v>
      </c>
      <c r="D853" s="181">
        <v>7419.3399999999992</v>
      </c>
      <c r="E853" s="181">
        <v>152.39999999999998</v>
      </c>
      <c r="F853" s="181">
        <v>0</v>
      </c>
      <c r="G853" s="181">
        <v>0</v>
      </c>
      <c r="H853" s="181">
        <v>0</v>
      </c>
      <c r="I853" s="181">
        <v>12.7</v>
      </c>
      <c r="J853" s="181">
        <v>0</v>
      </c>
      <c r="K853" s="181">
        <v>0</v>
      </c>
      <c r="L853" s="181">
        <v>0</v>
      </c>
      <c r="M853" s="181">
        <v>16524387.59632</v>
      </c>
      <c r="N853" s="181">
        <v>268747.84959999996</v>
      </c>
      <c r="O853" s="181">
        <v>150433.24751999998</v>
      </c>
      <c r="P853" s="181">
        <v>47.244</v>
      </c>
      <c r="Q853" s="181">
        <v>0</v>
      </c>
      <c r="R853" s="181">
        <v>0</v>
      </c>
      <c r="S853" s="181">
        <v>0</v>
      </c>
      <c r="T853" s="181">
        <v>63.5</v>
      </c>
      <c r="U853" s="181">
        <v>0</v>
      </c>
      <c r="V853" s="181">
        <v>0</v>
      </c>
    </row>
    <row r="854" spans="1:22">
      <c r="A854" s="2" t="s">
        <v>1726</v>
      </c>
      <c r="B854" s="2" t="s">
        <v>1727</v>
      </c>
      <c r="C854" s="181">
        <v>58.484687999999991</v>
      </c>
      <c r="D854" s="181">
        <v>7419.3399999999992</v>
      </c>
      <c r="E854" s="181">
        <v>152.39999999999998</v>
      </c>
      <c r="F854" s="181">
        <v>0</v>
      </c>
      <c r="G854" s="181">
        <v>0</v>
      </c>
      <c r="H854" s="181">
        <v>0</v>
      </c>
      <c r="I854" s="181">
        <v>12.7</v>
      </c>
      <c r="J854" s="181">
        <v>0</v>
      </c>
      <c r="K854" s="181">
        <v>0</v>
      </c>
      <c r="L854" s="181">
        <v>0</v>
      </c>
      <c r="M854" s="181">
        <v>16524387.59632</v>
      </c>
      <c r="N854" s="181">
        <v>268747.84959999996</v>
      </c>
      <c r="O854" s="181">
        <v>150433.24751999998</v>
      </c>
      <c r="P854" s="181">
        <v>47.244</v>
      </c>
      <c r="Q854" s="181">
        <v>0</v>
      </c>
      <c r="R854" s="181">
        <v>0</v>
      </c>
      <c r="S854" s="181">
        <v>0</v>
      </c>
      <c r="T854" s="181">
        <v>66.801999999999992</v>
      </c>
      <c r="U854" s="181">
        <v>0</v>
      </c>
      <c r="V854" s="181">
        <v>0</v>
      </c>
    </row>
    <row r="855" spans="1:22">
      <c r="A855" s="2" t="s">
        <v>1728</v>
      </c>
      <c r="B855" s="2" t="s">
        <v>1729</v>
      </c>
      <c r="C855" s="181">
        <v>58.484687999999991</v>
      </c>
      <c r="D855" s="181">
        <v>7419.3399999999992</v>
      </c>
      <c r="E855" s="181">
        <v>152.39999999999998</v>
      </c>
      <c r="F855" s="181">
        <v>0</v>
      </c>
      <c r="G855" s="181">
        <v>0</v>
      </c>
      <c r="H855" s="181">
        <v>0</v>
      </c>
      <c r="I855" s="181">
        <v>12.7</v>
      </c>
      <c r="J855" s="181">
        <v>0</v>
      </c>
      <c r="K855" s="181">
        <v>0</v>
      </c>
      <c r="L855" s="181">
        <v>0</v>
      </c>
      <c r="M855" s="181">
        <v>16524387.59632</v>
      </c>
      <c r="N855" s="181">
        <v>268747.84959999996</v>
      </c>
      <c r="O855" s="181">
        <v>150433.24751999998</v>
      </c>
      <c r="P855" s="181">
        <v>47.244</v>
      </c>
      <c r="Q855" s="181">
        <v>0</v>
      </c>
      <c r="R855" s="181">
        <v>0</v>
      </c>
      <c r="S855" s="181">
        <v>0</v>
      </c>
      <c r="T855" s="181">
        <v>70.103999999999985</v>
      </c>
      <c r="U855" s="181">
        <v>0</v>
      </c>
      <c r="V855" s="181">
        <v>0</v>
      </c>
    </row>
    <row r="856" spans="1:22">
      <c r="A856" s="2" t="s">
        <v>1730</v>
      </c>
      <c r="B856" s="2" t="s">
        <v>1731</v>
      </c>
      <c r="C856" s="181">
        <v>51.490335999999999</v>
      </c>
      <c r="D856" s="181">
        <v>6580.6319999999996</v>
      </c>
      <c r="E856" s="181">
        <v>152.39999999999998</v>
      </c>
      <c r="F856" s="181">
        <v>0</v>
      </c>
      <c r="G856" s="181">
        <v>0</v>
      </c>
      <c r="H856" s="181">
        <v>0</v>
      </c>
      <c r="I856" s="181">
        <v>11.112499999999999</v>
      </c>
      <c r="J856" s="181">
        <v>0</v>
      </c>
      <c r="K856" s="181">
        <v>0</v>
      </c>
      <c r="L856" s="181">
        <v>0</v>
      </c>
      <c r="M856" s="181">
        <v>14692969.323679997</v>
      </c>
      <c r="N856" s="181">
        <v>237612.42799999999</v>
      </c>
      <c r="O856" s="181">
        <v>132899.08903999999</v>
      </c>
      <c r="P856" s="181">
        <v>47.244</v>
      </c>
      <c r="Q856" s="181">
        <v>0</v>
      </c>
      <c r="R856" s="181">
        <v>0</v>
      </c>
      <c r="S856" s="181">
        <v>0</v>
      </c>
      <c r="T856" s="181">
        <v>63.246000000000002</v>
      </c>
      <c r="U856" s="181">
        <v>0</v>
      </c>
      <c r="V856" s="181">
        <v>0</v>
      </c>
    </row>
    <row r="857" spans="1:22">
      <c r="A857" s="2" t="s">
        <v>1732</v>
      </c>
      <c r="B857" s="2" t="s">
        <v>1733</v>
      </c>
      <c r="C857" s="181">
        <v>51.490335999999999</v>
      </c>
      <c r="D857" s="181">
        <v>6580.6319999999996</v>
      </c>
      <c r="E857" s="181">
        <v>152.39999999999998</v>
      </c>
      <c r="F857" s="181">
        <v>0</v>
      </c>
      <c r="G857" s="181">
        <v>0</v>
      </c>
      <c r="H857" s="181">
        <v>0</v>
      </c>
      <c r="I857" s="181">
        <v>11.112499999999999</v>
      </c>
      <c r="J857" s="181">
        <v>0</v>
      </c>
      <c r="K857" s="181">
        <v>0</v>
      </c>
      <c r="L857" s="181">
        <v>0</v>
      </c>
      <c r="M857" s="181">
        <v>14692969.323679997</v>
      </c>
      <c r="N857" s="181">
        <v>237612.42799999999</v>
      </c>
      <c r="O857" s="181">
        <v>132899.08903999999</v>
      </c>
      <c r="P857" s="181">
        <v>47.244</v>
      </c>
      <c r="Q857" s="181">
        <v>0</v>
      </c>
      <c r="R857" s="181">
        <v>0</v>
      </c>
      <c r="S857" s="181">
        <v>0</v>
      </c>
      <c r="T857" s="181">
        <v>66.548000000000002</v>
      </c>
      <c r="U857" s="181">
        <v>0</v>
      </c>
      <c r="V857" s="181">
        <v>0</v>
      </c>
    </row>
    <row r="858" spans="1:22">
      <c r="A858" s="2" t="s">
        <v>1734</v>
      </c>
      <c r="B858" s="2" t="s">
        <v>1735</v>
      </c>
      <c r="C858" s="181">
        <v>51.490335999999999</v>
      </c>
      <c r="D858" s="181">
        <v>6580.6319999999996</v>
      </c>
      <c r="E858" s="181">
        <v>152.39999999999998</v>
      </c>
      <c r="F858" s="181">
        <v>0</v>
      </c>
      <c r="G858" s="181">
        <v>0</v>
      </c>
      <c r="H858" s="181">
        <v>0</v>
      </c>
      <c r="I858" s="181">
        <v>11.112499999999999</v>
      </c>
      <c r="J858" s="181">
        <v>0</v>
      </c>
      <c r="K858" s="181">
        <v>0</v>
      </c>
      <c r="L858" s="181">
        <v>0</v>
      </c>
      <c r="M858" s="181">
        <v>14692969.323679997</v>
      </c>
      <c r="N858" s="181">
        <v>237612.42799999999</v>
      </c>
      <c r="O858" s="181">
        <v>132899.08903999999</v>
      </c>
      <c r="P858" s="181">
        <v>47.244</v>
      </c>
      <c r="Q858" s="181">
        <v>0</v>
      </c>
      <c r="R858" s="181">
        <v>0</v>
      </c>
      <c r="S858" s="181">
        <v>0</v>
      </c>
      <c r="T858" s="181">
        <v>69.849999999999994</v>
      </c>
      <c r="U858" s="181">
        <v>0</v>
      </c>
      <c r="V858" s="181">
        <v>0</v>
      </c>
    </row>
    <row r="859" spans="1:22">
      <c r="A859" s="2" t="s">
        <v>1736</v>
      </c>
      <c r="B859" s="2" t="s">
        <v>1737</v>
      </c>
      <c r="C859" s="181">
        <v>44.347167999999996</v>
      </c>
      <c r="D859" s="181">
        <v>5651.6016</v>
      </c>
      <c r="E859" s="181">
        <v>152.39999999999998</v>
      </c>
      <c r="F859" s="181">
        <v>0</v>
      </c>
      <c r="G859" s="181">
        <v>0</v>
      </c>
      <c r="H859" s="181">
        <v>0</v>
      </c>
      <c r="I859" s="181">
        <v>9.5249999999999986</v>
      </c>
      <c r="J859" s="181">
        <v>0</v>
      </c>
      <c r="K859" s="181">
        <v>0</v>
      </c>
      <c r="L859" s="181">
        <v>0</v>
      </c>
      <c r="M859" s="181">
        <v>12778304.765919998</v>
      </c>
      <c r="N859" s="181">
        <v>204838.3</v>
      </c>
      <c r="O859" s="181">
        <v>114873.31863999998</v>
      </c>
      <c r="P859" s="181">
        <v>47.497999999999998</v>
      </c>
      <c r="Q859" s="181">
        <v>0</v>
      </c>
      <c r="R859" s="181">
        <v>0</v>
      </c>
      <c r="S859" s="181">
        <v>0</v>
      </c>
      <c r="T859" s="181">
        <v>62.991999999999997</v>
      </c>
      <c r="U859" s="181">
        <v>0</v>
      </c>
      <c r="V859" s="181">
        <v>0</v>
      </c>
    </row>
    <row r="860" spans="1:22">
      <c r="A860" s="2" t="s">
        <v>1738</v>
      </c>
      <c r="B860" s="2" t="s">
        <v>1739</v>
      </c>
      <c r="C860" s="181">
        <v>44.347167999999996</v>
      </c>
      <c r="D860" s="181">
        <v>5651.6016</v>
      </c>
      <c r="E860" s="181">
        <v>152.39999999999998</v>
      </c>
      <c r="F860" s="181">
        <v>0</v>
      </c>
      <c r="G860" s="181">
        <v>0</v>
      </c>
      <c r="H860" s="181">
        <v>0</v>
      </c>
      <c r="I860" s="181">
        <v>9.5249999999999986</v>
      </c>
      <c r="J860" s="181">
        <v>0</v>
      </c>
      <c r="K860" s="181">
        <v>0</v>
      </c>
      <c r="L860" s="181">
        <v>0</v>
      </c>
      <c r="M860" s="181">
        <v>12778304.765919998</v>
      </c>
      <c r="N860" s="181">
        <v>204838.3</v>
      </c>
      <c r="O860" s="181">
        <v>114873.31863999998</v>
      </c>
      <c r="P860" s="181">
        <v>47.497999999999998</v>
      </c>
      <c r="Q860" s="181">
        <v>0</v>
      </c>
      <c r="R860" s="181">
        <v>0</v>
      </c>
      <c r="S860" s="181">
        <v>0</v>
      </c>
      <c r="T860" s="181">
        <v>66.039999999999992</v>
      </c>
      <c r="U860" s="181">
        <v>0</v>
      </c>
      <c r="V860" s="181">
        <v>0</v>
      </c>
    </row>
    <row r="861" spans="1:22">
      <c r="A861" s="2" t="s">
        <v>1740</v>
      </c>
      <c r="B861" s="2" t="s">
        <v>1741</v>
      </c>
      <c r="C861" s="181">
        <v>44.347167999999996</v>
      </c>
      <c r="D861" s="181">
        <v>5651.6016</v>
      </c>
      <c r="E861" s="181">
        <v>152.39999999999998</v>
      </c>
      <c r="F861" s="181">
        <v>0</v>
      </c>
      <c r="G861" s="181">
        <v>0</v>
      </c>
      <c r="H861" s="181">
        <v>0</v>
      </c>
      <c r="I861" s="181">
        <v>9.5249999999999986</v>
      </c>
      <c r="J861" s="181">
        <v>0</v>
      </c>
      <c r="K861" s="181">
        <v>0</v>
      </c>
      <c r="L861" s="181">
        <v>0</v>
      </c>
      <c r="M861" s="181">
        <v>12778304.765919998</v>
      </c>
      <c r="N861" s="181">
        <v>204838.3</v>
      </c>
      <c r="O861" s="181">
        <v>114873.31863999998</v>
      </c>
      <c r="P861" s="181">
        <v>47.497999999999998</v>
      </c>
      <c r="Q861" s="181">
        <v>0</v>
      </c>
      <c r="R861" s="181">
        <v>0</v>
      </c>
      <c r="S861" s="181">
        <v>0</v>
      </c>
      <c r="T861" s="181">
        <v>69.596000000000004</v>
      </c>
      <c r="U861" s="181">
        <v>0</v>
      </c>
      <c r="V861" s="181">
        <v>0</v>
      </c>
    </row>
    <row r="862" spans="1:22">
      <c r="A862" s="2" t="s">
        <v>1742</v>
      </c>
      <c r="B862" s="2" t="s">
        <v>1743</v>
      </c>
      <c r="C862" s="181">
        <v>37.204000000000001</v>
      </c>
      <c r="D862" s="181">
        <v>4735.4744000000001</v>
      </c>
      <c r="E862" s="181">
        <v>152.39999999999998</v>
      </c>
      <c r="F862" s="181">
        <v>0</v>
      </c>
      <c r="G862" s="181">
        <v>0</v>
      </c>
      <c r="H862" s="181">
        <v>0</v>
      </c>
      <c r="I862" s="181">
        <v>7.9375</v>
      </c>
      <c r="J862" s="181">
        <v>0</v>
      </c>
      <c r="K862" s="181">
        <v>0</v>
      </c>
      <c r="L862" s="181">
        <v>0</v>
      </c>
      <c r="M862" s="181">
        <v>10822017.065599998</v>
      </c>
      <c r="N862" s="181">
        <v>172064.17199999999</v>
      </c>
      <c r="O862" s="181">
        <v>96683.677599999995</v>
      </c>
      <c r="P862" s="181">
        <v>47.751999999999995</v>
      </c>
      <c r="Q862" s="181">
        <v>0</v>
      </c>
      <c r="R862" s="181">
        <v>0</v>
      </c>
      <c r="S862" s="181">
        <v>0</v>
      </c>
      <c r="T862" s="181">
        <v>62.738</v>
      </c>
      <c r="U862" s="181">
        <v>0</v>
      </c>
      <c r="V862" s="181">
        <v>0</v>
      </c>
    </row>
    <row r="863" spans="1:22">
      <c r="A863" s="2" t="s">
        <v>1744</v>
      </c>
      <c r="B863" s="2" t="s">
        <v>1745</v>
      </c>
      <c r="C863" s="181">
        <v>37.204000000000001</v>
      </c>
      <c r="D863" s="181">
        <v>4735.4744000000001</v>
      </c>
      <c r="E863" s="181">
        <v>152.39999999999998</v>
      </c>
      <c r="F863" s="181">
        <v>0</v>
      </c>
      <c r="G863" s="181">
        <v>0</v>
      </c>
      <c r="H863" s="181">
        <v>0</v>
      </c>
      <c r="I863" s="181">
        <v>7.9375</v>
      </c>
      <c r="J863" s="181">
        <v>0</v>
      </c>
      <c r="K863" s="181">
        <v>0</v>
      </c>
      <c r="L863" s="181">
        <v>0</v>
      </c>
      <c r="M863" s="181">
        <v>10822017.065599998</v>
      </c>
      <c r="N863" s="181">
        <v>172064.17199999999</v>
      </c>
      <c r="O863" s="181">
        <v>96683.677599999995</v>
      </c>
      <c r="P863" s="181">
        <v>47.751999999999995</v>
      </c>
      <c r="Q863" s="181">
        <v>0</v>
      </c>
      <c r="R863" s="181">
        <v>0</v>
      </c>
      <c r="S863" s="181">
        <v>0</v>
      </c>
      <c r="T863" s="181">
        <v>65.785999999999987</v>
      </c>
      <c r="U863" s="181">
        <v>0</v>
      </c>
      <c r="V863" s="181">
        <v>0</v>
      </c>
    </row>
    <row r="864" spans="1:22">
      <c r="A864" s="2" t="s">
        <v>1746</v>
      </c>
      <c r="B864" s="2" t="s">
        <v>1747</v>
      </c>
      <c r="C864" s="181">
        <v>37.204000000000001</v>
      </c>
      <c r="D864" s="181">
        <v>4735.4744000000001</v>
      </c>
      <c r="E864" s="181">
        <v>152.39999999999998</v>
      </c>
      <c r="F864" s="181">
        <v>0</v>
      </c>
      <c r="G864" s="181">
        <v>0</v>
      </c>
      <c r="H864" s="181">
        <v>0</v>
      </c>
      <c r="I864" s="181">
        <v>7.9375</v>
      </c>
      <c r="J864" s="181">
        <v>0</v>
      </c>
      <c r="K864" s="181">
        <v>0</v>
      </c>
      <c r="L864" s="181">
        <v>0</v>
      </c>
      <c r="M864" s="181">
        <v>10822017.065599998</v>
      </c>
      <c r="N864" s="181">
        <v>172064.17199999999</v>
      </c>
      <c r="O864" s="181">
        <v>96683.677599999995</v>
      </c>
      <c r="P864" s="181">
        <v>47.751999999999995</v>
      </c>
      <c r="Q864" s="181">
        <v>0</v>
      </c>
      <c r="R864" s="181">
        <v>0</v>
      </c>
      <c r="S864" s="181">
        <v>0</v>
      </c>
      <c r="T864" s="181">
        <v>69.088000000000008</v>
      </c>
      <c r="U864" s="181">
        <v>0</v>
      </c>
      <c r="V864" s="181">
        <v>0</v>
      </c>
    </row>
    <row r="865" spans="1:22">
      <c r="A865" s="2" t="s">
        <v>1748</v>
      </c>
      <c r="B865" s="2" t="s">
        <v>1749</v>
      </c>
      <c r="C865" s="181">
        <v>81.253535999999997</v>
      </c>
      <c r="D865" s="181">
        <v>10322.56</v>
      </c>
      <c r="E865" s="181">
        <v>127</v>
      </c>
      <c r="F865" s="181">
        <v>0</v>
      </c>
      <c r="G865" s="181">
        <v>0</v>
      </c>
      <c r="H865" s="181">
        <v>0</v>
      </c>
      <c r="I865" s="181">
        <v>22.224999999999998</v>
      </c>
      <c r="J865" s="181">
        <v>0</v>
      </c>
      <c r="K865" s="181">
        <v>0</v>
      </c>
      <c r="L865" s="181">
        <v>0</v>
      </c>
      <c r="M865" s="181">
        <v>14776215.608799998</v>
      </c>
      <c r="N865" s="181">
        <v>304799.39039999997</v>
      </c>
      <c r="O865" s="181">
        <v>168786.7592</v>
      </c>
      <c r="P865" s="181">
        <v>37.845999999999997</v>
      </c>
      <c r="Q865" s="181">
        <v>0</v>
      </c>
      <c r="R865" s="181">
        <v>0</v>
      </c>
      <c r="S865" s="181">
        <v>0</v>
      </c>
      <c r="T865" s="181">
        <v>54.863999999999997</v>
      </c>
      <c r="U865" s="181">
        <v>0</v>
      </c>
      <c r="V865" s="181">
        <v>0</v>
      </c>
    </row>
    <row r="866" spans="1:22">
      <c r="A866" s="2" t="s">
        <v>1750</v>
      </c>
      <c r="B866" s="2" t="s">
        <v>1751</v>
      </c>
      <c r="C866" s="181">
        <v>81.253535999999997</v>
      </c>
      <c r="D866" s="181">
        <v>10322.56</v>
      </c>
      <c r="E866" s="181">
        <v>127</v>
      </c>
      <c r="F866" s="181">
        <v>0</v>
      </c>
      <c r="G866" s="181">
        <v>0</v>
      </c>
      <c r="H866" s="181">
        <v>0</v>
      </c>
      <c r="I866" s="181">
        <v>22.224999999999998</v>
      </c>
      <c r="J866" s="181">
        <v>0</v>
      </c>
      <c r="K866" s="181">
        <v>0</v>
      </c>
      <c r="L866" s="181">
        <v>0</v>
      </c>
      <c r="M866" s="181">
        <v>14776215.608799998</v>
      </c>
      <c r="N866" s="181">
        <v>304799.39039999997</v>
      </c>
      <c r="O866" s="181">
        <v>168786.7592</v>
      </c>
      <c r="P866" s="181">
        <v>37.845999999999997</v>
      </c>
      <c r="Q866" s="181">
        <v>0</v>
      </c>
      <c r="R866" s="181">
        <v>0</v>
      </c>
      <c r="S866" s="181">
        <v>0</v>
      </c>
      <c r="T866" s="181">
        <v>58.419999999999995</v>
      </c>
      <c r="U866" s="181">
        <v>0</v>
      </c>
      <c r="V866" s="181">
        <v>0</v>
      </c>
    </row>
    <row r="867" spans="1:22">
      <c r="A867" s="2" t="s">
        <v>1752</v>
      </c>
      <c r="B867" s="2" t="s">
        <v>1753</v>
      </c>
      <c r="C867" s="181">
        <v>81.253535999999997</v>
      </c>
      <c r="D867" s="181">
        <v>10322.56</v>
      </c>
      <c r="E867" s="181">
        <v>127</v>
      </c>
      <c r="F867" s="181">
        <v>0</v>
      </c>
      <c r="G867" s="181">
        <v>0</v>
      </c>
      <c r="H867" s="181">
        <v>0</v>
      </c>
      <c r="I867" s="181">
        <v>22.224999999999998</v>
      </c>
      <c r="J867" s="181">
        <v>0</v>
      </c>
      <c r="K867" s="181">
        <v>0</v>
      </c>
      <c r="L867" s="181">
        <v>0</v>
      </c>
      <c r="M867" s="181">
        <v>14776215.608799998</v>
      </c>
      <c r="N867" s="181">
        <v>304799.39039999997</v>
      </c>
      <c r="O867" s="181">
        <v>168786.7592</v>
      </c>
      <c r="P867" s="181">
        <v>37.845999999999997</v>
      </c>
      <c r="Q867" s="181">
        <v>0</v>
      </c>
      <c r="R867" s="181">
        <v>0</v>
      </c>
      <c r="S867" s="181">
        <v>0</v>
      </c>
      <c r="T867" s="181">
        <v>61.975999999999992</v>
      </c>
      <c r="U867" s="181">
        <v>0</v>
      </c>
      <c r="V867" s="181">
        <v>0</v>
      </c>
    </row>
    <row r="868" spans="1:22">
      <c r="A868" s="2" t="s">
        <v>1754</v>
      </c>
      <c r="B868" s="2" t="s">
        <v>1755</v>
      </c>
      <c r="C868" s="181">
        <v>70.687600000000003</v>
      </c>
      <c r="D868" s="181">
        <v>9032.24</v>
      </c>
      <c r="E868" s="181">
        <v>127</v>
      </c>
      <c r="F868" s="181">
        <v>0</v>
      </c>
      <c r="G868" s="181">
        <v>0</v>
      </c>
      <c r="H868" s="181">
        <v>0</v>
      </c>
      <c r="I868" s="181">
        <v>19.049999999999997</v>
      </c>
      <c r="J868" s="181">
        <v>0</v>
      </c>
      <c r="K868" s="181">
        <v>0</v>
      </c>
      <c r="L868" s="181">
        <v>0</v>
      </c>
      <c r="M868" s="181">
        <v>13111289.906399999</v>
      </c>
      <c r="N868" s="181">
        <v>267109.14319999999</v>
      </c>
      <c r="O868" s="181">
        <v>148139.05855999998</v>
      </c>
      <c r="P868" s="181">
        <v>38.099999999999994</v>
      </c>
      <c r="Q868" s="181">
        <v>0</v>
      </c>
      <c r="R868" s="181">
        <v>0</v>
      </c>
      <c r="S868" s="181">
        <v>0</v>
      </c>
      <c r="T868" s="181">
        <v>54.101999999999997</v>
      </c>
      <c r="U868" s="181">
        <v>0</v>
      </c>
      <c r="V868" s="181">
        <v>0</v>
      </c>
    </row>
    <row r="869" spans="1:22">
      <c r="A869" s="2" t="s">
        <v>1756</v>
      </c>
      <c r="B869" s="2" t="s">
        <v>1757</v>
      </c>
      <c r="C869" s="181">
        <v>70.687600000000003</v>
      </c>
      <c r="D869" s="181">
        <v>9032.24</v>
      </c>
      <c r="E869" s="181">
        <v>127</v>
      </c>
      <c r="F869" s="181">
        <v>0</v>
      </c>
      <c r="G869" s="181">
        <v>0</v>
      </c>
      <c r="H869" s="181">
        <v>0</v>
      </c>
      <c r="I869" s="181">
        <v>19.049999999999997</v>
      </c>
      <c r="J869" s="181">
        <v>0</v>
      </c>
      <c r="K869" s="181">
        <v>0</v>
      </c>
      <c r="L869" s="181">
        <v>0</v>
      </c>
      <c r="M869" s="181">
        <v>13111289.906399999</v>
      </c>
      <c r="N869" s="181">
        <v>267109.14319999999</v>
      </c>
      <c r="O869" s="181">
        <v>148139.05855999998</v>
      </c>
      <c r="P869" s="181">
        <v>38.099999999999994</v>
      </c>
      <c r="Q869" s="181">
        <v>0</v>
      </c>
      <c r="R869" s="181">
        <v>0</v>
      </c>
      <c r="S869" s="181">
        <v>0</v>
      </c>
      <c r="T869" s="181">
        <v>57.657999999999994</v>
      </c>
      <c r="U869" s="181">
        <v>0</v>
      </c>
      <c r="V869" s="181">
        <v>0</v>
      </c>
    </row>
    <row r="870" spans="1:22">
      <c r="A870" s="2" t="s">
        <v>1758</v>
      </c>
      <c r="B870" s="2" t="s">
        <v>1759</v>
      </c>
      <c r="C870" s="181">
        <v>70.687600000000003</v>
      </c>
      <c r="D870" s="181">
        <v>9032.24</v>
      </c>
      <c r="E870" s="181">
        <v>127</v>
      </c>
      <c r="F870" s="181">
        <v>0</v>
      </c>
      <c r="G870" s="181">
        <v>0</v>
      </c>
      <c r="H870" s="181">
        <v>0</v>
      </c>
      <c r="I870" s="181">
        <v>19.049999999999997</v>
      </c>
      <c r="J870" s="181">
        <v>0</v>
      </c>
      <c r="K870" s="181">
        <v>0</v>
      </c>
      <c r="L870" s="181">
        <v>0</v>
      </c>
      <c r="M870" s="181">
        <v>13111289.906399999</v>
      </c>
      <c r="N870" s="181">
        <v>267109.14319999999</v>
      </c>
      <c r="O870" s="181">
        <v>148139.05855999998</v>
      </c>
      <c r="P870" s="181">
        <v>38.099999999999994</v>
      </c>
      <c r="Q870" s="181">
        <v>0</v>
      </c>
      <c r="R870" s="181">
        <v>0</v>
      </c>
      <c r="S870" s="181">
        <v>0</v>
      </c>
      <c r="T870" s="181">
        <v>61.213999999999999</v>
      </c>
      <c r="U870" s="181">
        <v>0</v>
      </c>
      <c r="V870" s="181">
        <v>0</v>
      </c>
    </row>
    <row r="871" spans="1:22">
      <c r="A871" s="2" t="s">
        <v>1760</v>
      </c>
      <c r="B871" s="2" t="s">
        <v>1761</v>
      </c>
      <c r="C871" s="181">
        <v>59.675215999999999</v>
      </c>
      <c r="D871" s="181">
        <v>7612.8879999999999</v>
      </c>
      <c r="E871" s="181">
        <v>127</v>
      </c>
      <c r="F871" s="181">
        <v>0</v>
      </c>
      <c r="G871" s="181">
        <v>0</v>
      </c>
      <c r="H871" s="181">
        <v>0</v>
      </c>
      <c r="I871" s="181">
        <v>15.875</v>
      </c>
      <c r="J871" s="181">
        <v>0</v>
      </c>
      <c r="K871" s="181">
        <v>0</v>
      </c>
      <c r="L871" s="181">
        <v>0</v>
      </c>
      <c r="M871" s="181">
        <v>11321494.776319999</v>
      </c>
      <c r="N871" s="181">
        <v>227780.18959999998</v>
      </c>
      <c r="O871" s="181">
        <v>126180.39279999999</v>
      </c>
      <c r="P871" s="181">
        <v>38.607999999999997</v>
      </c>
      <c r="Q871" s="181">
        <v>0</v>
      </c>
      <c r="R871" s="181">
        <v>0</v>
      </c>
      <c r="S871" s="181">
        <v>0</v>
      </c>
      <c r="T871" s="181">
        <v>53.593999999999994</v>
      </c>
      <c r="U871" s="181">
        <v>0</v>
      </c>
      <c r="V871" s="181">
        <v>0</v>
      </c>
    </row>
    <row r="872" spans="1:22">
      <c r="A872" s="2" t="s">
        <v>1762</v>
      </c>
      <c r="B872" s="2" t="s">
        <v>1763</v>
      </c>
      <c r="C872" s="181">
        <v>59.675215999999999</v>
      </c>
      <c r="D872" s="181">
        <v>7612.8879999999999</v>
      </c>
      <c r="E872" s="181">
        <v>127</v>
      </c>
      <c r="F872" s="181">
        <v>0</v>
      </c>
      <c r="G872" s="181">
        <v>0</v>
      </c>
      <c r="H872" s="181">
        <v>0</v>
      </c>
      <c r="I872" s="181">
        <v>15.875</v>
      </c>
      <c r="J872" s="181">
        <v>0</v>
      </c>
      <c r="K872" s="181">
        <v>0</v>
      </c>
      <c r="L872" s="181">
        <v>0</v>
      </c>
      <c r="M872" s="181">
        <v>11321494.776319999</v>
      </c>
      <c r="N872" s="181">
        <v>227780.18959999998</v>
      </c>
      <c r="O872" s="181">
        <v>126180.39279999999</v>
      </c>
      <c r="P872" s="181">
        <v>38.607999999999997</v>
      </c>
      <c r="Q872" s="181">
        <v>0</v>
      </c>
      <c r="R872" s="181">
        <v>0</v>
      </c>
      <c r="S872" s="181">
        <v>0</v>
      </c>
      <c r="T872" s="181">
        <v>57.15</v>
      </c>
      <c r="U872" s="181">
        <v>0</v>
      </c>
      <c r="V872" s="181">
        <v>0</v>
      </c>
    </row>
    <row r="873" spans="1:22">
      <c r="A873" s="2" t="s">
        <v>1764</v>
      </c>
      <c r="B873" s="2" t="s">
        <v>1765</v>
      </c>
      <c r="C873" s="181">
        <v>59.675215999999999</v>
      </c>
      <c r="D873" s="181">
        <v>7612.8879999999999</v>
      </c>
      <c r="E873" s="181">
        <v>127</v>
      </c>
      <c r="F873" s="181">
        <v>0</v>
      </c>
      <c r="G873" s="181">
        <v>0</v>
      </c>
      <c r="H873" s="181">
        <v>0</v>
      </c>
      <c r="I873" s="181">
        <v>15.875</v>
      </c>
      <c r="J873" s="181">
        <v>0</v>
      </c>
      <c r="K873" s="181">
        <v>0</v>
      </c>
      <c r="L873" s="181">
        <v>0</v>
      </c>
      <c r="M873" s="181">
        <v>11321494.776319999</v>
      </c>
      <c r="N873" s="181">
        <v>227780.18959999998</v>
      </c>
      <c r="O873" s="181">
        <v>126180.39279999999</v>
      </c>
      <c r="P873" s="181">
        <v>38.607999999999997</v>
      </c>
      <c r="Q873" s="181">
        <v>0</v>
      </c>
      <c r="R873" s="181">
        <v>0</v>
      </c>
      <c r="S873" s="181">
        <v>0</v>
      </c>
      <c r="T873" s="181">
        <v>60.706000000000003</v>
      </c>
      <c r="U873" s="181">
        <v>0</v>
      </c>
      <c r="V873" s="181">
        <v>0</v>
      </c>
    </row>
    <row r="874" spans="1:22">
      <c r="A874" s="2" t="s">
        <v>1766</v>
      </c>
      <c r="B874" s="2" t="s">
        <v>1767</v>
      </c>
      <c r="C874" s="181">
        <v>48.514015999999998</v>
      </c>
      <c r="D874" s="181">
        <v>6180.6327999999994</v>
      </c>
      <c r="E874" s="181">
        <v>127</v>
      </c>
      <c r="F874" s="181">
        <v>0</v>
      </c>
      <c r="G874" s="181">
        <v>0</v>
      </c>
      <c r="H874" s="181">
        <v>0</v>
      </c>
      <c r="I874" s="181">
        <v>12.7</v>
      </c>
      <c r="J874" s="181">
        <v>0</v>
      </c>
      <c r="K874" s="181">
        <v>0</v>
      </c>
      <c r="L874" s="181">
        <v>0</v>
      </c>
      <c r="M874" s="181">
        <v>9365207.0759999994</v>
      </c>
      <c r="N874" s="181">
        <v>185173.82319999998</v>
      </c>
      <c r="O874" s="181">
        <v>103074.63256</v>
      </c>
      <c r="P874" s="181">
        <v>38.862000000000002</v>
      </c>
      <c r="Q874" s="181">
        <v>0</v>
      </c>
      <c r="R874" s="181">
        <v>0</v>
      </c>
      <c r="S874" s="181">
        <v>0</v>
      </c>
      <c r="T874" s="181">
        <v>53.085999999999991</v>
      </c>
      <c r="U874" s="181">
        <v>0</v>
      </c>
      <c r="V874" s="181">
        <v>0</v>
      </c>
    </row>
    <row r="875" spans="1:22">
      <c r="A875" s="2" t="s">
        <v>1768</v>
      </c>
      <c r="B875" s="2" t="s">
        <v>1769</v>
      </c>
      <c r="C875" s="181">
        <v>48.514015999999998</v>
      </c>
      <c r="D875" s="181">
        <v>6180.6327999999994</v>
      </c>
      <c r="E875" s="181">
        <v>127</v>
      </c>
      <c r="F875" s="181">
        <v>0</v>
      </c>
      <c r="G875" s="181">
        <v>0</v>
      </c>
      <c r="H875" s="181">
        <v>0</v>
      </c>
      <c r="I875" s="181">
        <v>12.7</v>
      </c>
      <c r="J875" s="181">
        <v>0</v>
      </c>
      <c r="K875" s="181">
        <v>0</v>
      </c>
      <c r="L875" s="181">
        <v>0</v>
      </c>
      <c r="M875" s="181">
        <v>9365207.0759999994</v>
      </c>
      <c r="N875" s="181">
        <v>185173.82319999998</v>
      </c>
      <c r="O875" s="181">
        <v>103074.63256</v>
      </c>
      <c r="P875" s="181">
        <v>38.862000000000002</v>
      </c>
      <c r="Q875" s="181">
        <v>0</v>
      </c>
      <c r="R875" s="181">
        <v>0</v>
      </c>
      <c r="S875" s="181">
        <v>0</v>
      </c>
      <c r="T875" s="181">
        <v>56.388000000000005</v>
      </c>
      <c r="U875" s="181">
        <v>0</v>
      </c>
      <c r="V875" s="181">
        <v>0</v>
      </c>
    </row>
    <row r="876" spans="1:22">
      <c r="A876" s="2" t="s">
        <v>1770</v>
      </c>
      <c r="B876" s="2" t="s">
        <v>1771</v>
      </c>
      <c r="C876" s="181">
        <v>48.514015999999998</v>
      </c>
      <c r="D876" s="181">
        <v>6180.6327999999994</v>
      </c>
      <c r="E876" s="181">
        <v>127</v>
      </c>
      <c r="F876" s="181">
        <v>0</v>
      </c>
      <c r="G876" s="181">
        <v>0</v>
      </c>
      <c r="H876" s="181">
        <v>0</v>
      </c>
      <c r="I876" s="181">
        <v>12.7</v>
      </c>
      <c r="J876" s="181">
        <v>0</v>
      </c>
      <c r="K876" s="181">
        <v>0</v>
      </c>
      <c r="L876" s="181">
        <v>0</v>
      </c>
      <c r="M876" s="181">
        <v>9365207.0759999994</v>
      </c>
      <c r="N876" s="181">
        <v>185173.82319999998</v>
      </c>
      <c r="O876" s="181">
        <v>103074.63256</v>
      </c>
      <c r="P876" s="181">
        <v>38.862000000000002</v>
      </c>
      <c r="Q876" s="181">
        <v>0</v>
      </c>
      <c r="R876" s="181">
        <v>0</v>
      </c>
      <c r="S876" s="181">
        <v>0</v>
      </c>
      <c r="T876" s="181">
        <v>59.943999999999996</v>
      </c>
      <c r="U876" s="181">
        <v>0</v>
      </c>
      <c r="V876" s="181">
        <v>0</v>
      </c>
    </row>
    <row r="877" spans="1:22">
      <c r="A877" s="2" t="s">
        <v>1772</v>
      </c>
      <c r="B877" s="2" t="s">
        <v>1773</v>
      </c>
      <c r="C877" s="181">
        <v>42.710191999999999</v>
      </c>
      <c r="D877" s="181">
        <v>5445.1503999999995</v>
      </c>
      <c r="E877" s="181">
        <v>127</v>
      </c>
      <c r="F877" s="181">
        <v>0</v>
      </c>
      <c r="G877" s="181">
        <v>0</v>
      </c>
      <c r="H877" s="181">
        <v>0</v>
      </c>
      <c r="I877" s="181">
        <v>11.112499999999999</v>
      </c>
      <c r="J877" s="181">
        <v>0</v>
      </c>
      <c r="K877" s="181">
        <v>0</v>
      </c>
      <c r="L877" s="181">
        <v>0</v>
      </c>
      <c r="M877" s="181">
        <v>8366251.6545599997</v>
      </c>
      <c r="N877" s="181">
        <v>163870.63999999998</v>
      </c>
      <c r="O877" s="181">
        <v>91275.946479999999</v>
      </c>
      <c r="P877" s="181">
        <v>39.116</v>
      </c>
      <c r="Q877" s="181">
        <v>0</v>
      </c>
      <c r="R877" s="181">
        <v>0</v>
      </c>
      <c r="S877" s="181">
        <v>0</v>
      </c>
      <c r="T877" s="181">
        <v>52.832000000000001</v>
      </c>
      <c r="U877" s="181">
        <v>0</v>
      </c>
      <c r="V877" s="181">
        <v>0</v>
      </c>
    </row>
    <row r="878" spans="1:22">
      <c r="A878" s="2" t="s">
        <v>1774</v>
      </c>
      <c r="B878" s="2" t="s">
        <v>1775</v>
      </c>
      <c r="C878" s="181">
        <v>42.710191999999999</v>
      </c>
      <c r="D878" s="181">
        <v>5445.1503999999995</v>
      </c>
      <c r="E878" s="181">
        <v>127</v>
      </c>
      <c r="F878" s="181">
        <v>0</v>
      </c>
      <c r="G878" s="181">
        <v>0</v>
      </c>
      <c r="H878" s="181">
        <v>0</v>
      </c>
      <c r="I878" s="181">
        <v>11.112499999999999</v>
      </c>
      <c r="J878" s="181">
        <v>0</v>
      </c>
      <c r="K878" s="181">
        <v>0</v>
      </c>
      <c r="L878" s="181">
        <v>0</v>
      </c>
      <c r="M878" s="181">
        <v>8366251.6545599997</v>
      </c>
      <c r="N878" s="181">
        <v>163870.63999999998</v>
      </c>
      <c r="O878" s="181">
        <v>91275.946479999999</v>
      </c>
      <c r="P878" s="181">
        <v>39.116</v>
      </c>
      <c r="Q878" s="181">
        <v>0</v>
      </c>
      <c r="R878" s="181">
        <v>0</v>
      </c>
      <c r="S878" s="181">
        <v>0</v>
      </c>
      <c r="T878" s="181">
        <v>56.133999999999993</v>
      </c>
      <c r="U878" s="181">
        <v>0</v>
      </c>
      <c r="V878" s="181">
        <v>0</v>
      </c>
    </row>
    <row r="879" spans="1:22">
      <c r="A879" s="2" t="s">
        <v>1776</v>
      </c>
      <c r="B879" s="2" t="s">
        <v>1777</v>
      </c>
      <c r="C879" s="181">
        <v>42.710191999999999</v>
      </c>
      <c r="D879" s="181">
        <v>5445.1503999999995</v>
      </c>
      <c r="E879" s="181">
        <v>127</v>
      </c>
      <c r="F879" s="181">
        <v>0</v>
      </c>
      <c r="G879" s="181">
        <v>0</v>
      </c>
      <c r="H879" s="181">
        <v>0</v>
      </c>
      <c r="I879" s="181">
        <v>11.112499999999999</v>
      </c>
      <c r="J879" s="181">
        <v>0</v>
      </c>
      <c r="K879" s="181">
        <v>0</v>
      </c>
      <c r="L879" s="181">
        <v>0</v>
      </c>
      <c r="M879" s="181">
        <v>8366251.6545599997</v>
      </c>
      <c r="N879" s="181">
        <v>163870.63999999998</v>
      </c>
      <c r="O879" s="181">
        <v>91275.946479999999</v>
      </c>
      <c r="P879" s="181">
        <v>39.116</v>
      </c>
      <c r="Q879" s="181">
        <v>0</v>
      </c>
      <c r="R879" s="181">
        <v>0</v>
      </c>
      <c r="S879" s="181">
        <v>0</v>
      </c>
      <c r="T879" s="181">
        <v>59.69</v>
      </c>
      <c r="U879" s="181">
        <v>0</v>
      </c>
      <c r="V879" s="181">
        <v>0</v>
      </c>
    </row>
    <row r="880" spans="1:22">
      <c r="A880" s="2" t="s">
        <v>1778</v>
      </c>
      <c r="B880" s="2" t="s">
        <v>1779</v>
      </c>
      <c r="C880" s="181">
        <v>36.906368000000001</v>
      </c>
      <c r="D880" s="181">
        <v>4709.6679999999997</v>
      </c>
      <c r="E880" s="181">
        <v>127</v>
      </c>
      <c r="F880" s="181">
        <v>0</v>
      </c>
      <c r="G880" s="181">
        <v>0</v>
      </c>
      <c r="H880" s="181">
        <v>0</v>
      </c>
      <c r="I880" s="181">
        <v>9.5249999999999986</v>
      </c>
      <c r="J880" s="181">
        <v>0</v>
      </c>
      <c r="K880" s="181">
        <v>0</v>
      </c>
      <c r="L880" s="181">
        <v>0</v>
      </c>
      <c r="M880" s="181">
        <v>7284049.9479999989</v>
      </c>
      <c r="N880" s="181">
        <v>142075.84487999999</v>
      </c>
      <c r="O880" s="181">
        <v>79149.519119999997</v>
      </c>
      <c r="P880" s="181">
        <v>39.369999999999997</v>
      </c>
      <c r="Q880" s="181">
        <v>0</v>
      </c>
      <c r="R880" s="181">
        <v>0</v>
      </c>
      <c r="S880" s="181">
        <v>0</v>
      </c>
      <c r="T880" s="181">
        <v>52.577999999999996</v>
      </c>
      <c r="U880" s="181">
        <v>0</v>
      </c>
      <c r="V880" s="181">
        <v>0</v>
      </c>
    </row>
    <row r="881" spans="1:22">
      <c r="A881" s="2" t="s">
        <v>1780</v>
      </c>
      <c r="B881" s="2" t="s">
        <v>1781</v>
      </c>
      <c r="C881" s="181">
        <v>36.906368000000001</v>
      </c>
      <c r="D881" s="181">
        <v>4709.6679999999997</v>
      </c>
      <c r="E881" s="181">
        <v>127</v>
      </c>
      <c r="F881" s="181">
        <v>0</v>
      </c>
      <c r="G881" s="181">
        <v>0</v>
      </c>
      <c r="H881" s="181">
        <v>0</v>
      </c>
      <c r="I881" s="181">
        <v>9.5249999999999986</v>
      </c>
      <c r="J881" s="181">
        <v>0</v>
      </c>
      <c r="K881" s="181">
        <v>0</v>
      </c>
      <c r="L881" s="181">
        <v>0</v>
      </c>
      <c r="M881" s="181">
        <v>7284049.9479999989</v>
      </c>
      <c r="N881" s="181">
        <v>142075.84487999999</v>
      </c>
      <c r="O881" s="181">
        <v>79149.519119999997</v>
      </c>
      <c r="P881" s="181">
        <v>39.369999999999997</v>
      </c>
      <c r="Q881" s="181">
        <v>0</v>
      </c>
      <c r="R881" s="181">
        <v>0</v>
      </c>
      <c r="S881" s="181">
        <v>0</v>
      </c>
      <c r="T881" s="181">
        <v>55.88</v>
      </c>
      <c r="U881" s="181">
        <v>0</v>
      </c>
      <c r="V881" s="181">
        <v>0</v>
      </c>
    </row>
    <row r="882" spans="1:22">
      <c r="A882" s="2" t="s">
        <v>1782</v>
      </c>
      <c r="B882" s="2" t="s">
        <v>1783</v>
      </c>
      <c r="C882" s="181">
        <v>36.906368000000001</v>
      </c>
      <c r="D882" s="181">
        <v>4709.6679999999997</v>
      </c>
      <c r="E882" s="181">
        <v>127</v>
      </c>
      <c r="F882" s="181">
        <v>0</v>
      </c>
      <c r="G882" s="181">
        <v>0</v>
      </c>
      <c r="H882" s="181">
        <v>0</v>
      </c>
      <c r="I882" s="181">
        <v>9.5249999999999986</v>
      </c>
      <c r="J882" s="181">
        <v>0</v>
      </c>
      <c r="K882" s="181">
        <v>0</v>
      </c>
      <c r="L882" s="181">
        <v>0</v>
      </c>
      <c r="M882" s="181">
        <v>7284049.9479999989</v>
      </c>
      <c r="N882" s="181">
        <v>142075.84487999999</v>
      </c>
      <c r="O882" s="181">
        <v>79149.519119999997</v>
      </c>
      <c r="P882" s="181">
        <v>39.369999999999997</v>
      </c>
      <c r="Q882" s="181">
        <v>0</v>
      </c>
      <c r="R882" s="181">
        <v>0</v>
      </c>
      <c r="S882" s="181">
        <v>0</v>
      </c>
      <c r="T882" s="181">
        <v>59.435999999999993</v>
      </c>
      <c r="U882" s="181">
        <v>0</v>
      </c>
      <c r="V882" s="181">
        <v>0</v>
      </c>
    </row>
    <row r="883" spans="1:22">
      <c r="A883" s="2" t="s">
        <v>1784</v>
      </c>
      <c r="B883" s="2" t="s">
        <v>1785</v>
      </c>
      <c r="C883" s="181">
        <v>31.102543999999995</v>
      </c>
      <c r="D883" s="181">
        <v>3954.8307999999997</v>
      </c>
      <c r="E883" s="181">
        <v>127</v>
      </c>
      <c r="F883" s="181">
        <v>0</v>
      </c>
      <c r="G883" s="181">
        <v>0</v>
      </c>
      <c r="H883" s="181">
        <v>0</v>
      </c>
      <c r="I883" s="181">
        <v>7.9375</v>
      </c>
      <c r="J883" s="181">
        <v>0</v>
      </c>
      <c r="K883" s="181">
        <v>0</v>
      </c>
      <c r="L883" s="181">
        <v>0</v>
      </c>
      <c r="M883" s="181">
        <v>6201848.2414399991</v>
      </c>
      <c r="N883" s="181">
        <v>119625.56719999999</v>
      </c>
      <c r="O883" s="181">
        <v>66695.350479999994</v>
      </c>
      <c r="P883" s="181">
        <v>39.624000000000002</v>
      </c>
      <c r="Q883" s="181">
        <v>0</v>
      </c>
      <c r="R883" s="181">
        <v>0</v>
      </c>
      <c r="S883" s="181">
        <v>0</v>
      </c>
      <c r="T883" s="181">
        <v>52.323999999999998</v>
      </c>
      <c r="U883" s="181">
        <v>0</v>
      </c>
      <c r="V883" s="181">
        <v>0</v>
      </c>
    </row>
    <row r="884" spans="1:22">
      <c r="A884" s="2" t="s">
        <v>1786</v>
      </c>
      <c r="B884" s="2" t="s">
        <v>1787</v>
      </c>
      <c r="C884" s="181">
        <v>31.102543999999995</v>
      </c>
      <c r="D884" s="181">
        <v>3954.8307999999997</v>
      </c>
      <c r="E884" s="181">
        <v>127</v>
      </c>
      <c r="F884" s="181">
        <v>0</v>
      </c>
      <c r="G884" s="181">
        <v>0</v>
      </c>
      <c r="H884" s="181">
        <v>0</v>
      </c>
      <c r="I884" s="181">
        <v>7.9375</v>
      </c>
      <c r="J884" s="181">
        <v>0</v>
      </c>
      <c r="K884" s="181">
        <v>0</v>
      </c>
      <c r="L884" s="181">
        <v>0</v>
      </c>
      <c r="M884" s="181">
        <v>6201848.2414399991</v>
      </c>
      <c r="N884" s="181">
        <v>119625.56719999999</v>
      </c>
      <c r="O884" s="181">
        <v>66695.350479999994</v>
      </c>
      <c r="P884" s="181">
        <v>39.624000000000002</v>
      </c>
      <c r="Q884" s="181">
        <v>0</v>
      </c>
      <c r="R884" s="181">
        <v>0</v>
      </c>
      <c r="S884" s="181">
        <v>0</v>
      </c>
      <c r="T884" s="181">
        <v>55.625999999999998</v>
      </c>
      <c r="U884" s="181">
        <v>0</v>
      </c>
      <c r="V884" s="181">
        <v>0</v>
      </c>
    </row>
    <row r="885" spans="1:22">
      <c r="A885" s="2" t="s">
        <v>1788</v>
      </c>
      <c r="B885" s="2" t="s">
        <v>1789</v>
      </c>
      <c r="C885" s="181">
        <v>31.102543999999995</v>
      </c>
      <c r="D885" s="181">
        <v>3954.8307999999997</v>
      </c>
      <c r="E885" s="181">
        <v>127</v>
      </c>
      <c r="F885" s="181">
        <v>0</v>
      </c>
      <c r="G885" s="181">
        <v>0</v>
      </c>
      <c r="H885" s="181">
        <v>0</v>
      </c>
      <c r="I885" s="181">
        <v>7.9375</v>
      </c>
      <c r="J885" s="181">
        <v>0</v>
      </c>
      <c r="K885" s="181">
        <v>0</v>
      </c>
      <c r="L885" s="181">
        <v>0</v>
      </c>
      <c r="M885" s="181">
        <v>6201848.2414399991</v>
      </c>
      <c r="N885" s="181">
        <v>119625.56719999999</v>
      </c>
      <c r="O885" s="181">
        <v>66695.350479999994</v>
      </c>
      <c r="P885" s="181">
        <v>39.624000000000002</v>
      </c>
      <c r="Q885" s="181">
        <v>0</v>
      </c>
      <c r="R885" s="181">
        <v>0</v>
      </c>
      <c r="S885" s="181">
        <v>0</v>
      </c>
      <c r="T885" s="181">
        <v>58.92799999999999</v>
      </c>
      <c r="U885" s="181">
        <v>0</v>
      </c>
      <c r="V885" s="181">
        <v>0</v>
      </c>
    </row>
    <row r="886" spans="1:22">
      <c r="A886" s="2" t="s">
        <v>1790</v>
      </c>
      <c r="B886" s="2" t="s">
        <v>1791</v>
      </c>
      <c r="C886" s="181">
        <v>55.061920000000001</v>
      </c>
      <c r="D886" s="181">
        <v>7032.2439999999997</v>
      </c>
      <c r="E886" s="181">
        <v>101.6</v>
      </c>
      <c r="F886" s="181">
        <v>0</v>
      </c>
      <c r="G886" s="181">
        <v>0</v>
      </c>
      <c r="H886" s="181">
        <v>0</v>
      </c>
      <c r="I886" s="181">
        <v>19.049999999999997</v>
      </c>
      <c r="J886" s="181">
        <v>0</v>
      </c>
      <c r="K886" s="181">
        <v>0</v>
      </c>
      <c r="L886" s="181">
        <v>0</v>
      </c>
      <c r="M886" s="181">
        <v>6326717.6691199988</v>
      </c>
      <c r="N886" s="181">
        <v>163870.63999999998</v>
      </c>
      <c r="O886" s="181">
        <v>91439.817119999992</v>
      </c>
      <c r="P886" s="181">
        <v>29.971999999999998</v>
      </c>
      <c r="Q886" s="181">
        <v>0</v>
      </c>
      <c r="R886" s="181">
        <v>0</v>
      </c>
      <c r="S886" s="181">
        <v>0</v>
      </c>
      <c r="T886" s="181">
        <v>43.942</v>
      </c>
      <c r="U886" s="181">
        <v>0</v>
      </c>
      <c r="V886" s="181">
        <v>0</v>
      </c>
    </row>
    <row r="887" spans="1:22">
      <c r="A887" s="2" t="s">
        <v>1792</v>
      </c>
      <c r="B887" s="2" t="s">
        <v>1793</v>
      </c>
      <c r="C887" s="181">
        <v>55.061920000000001</v>
      </c>
      <c r="D887" s="181">
        <v>7032.2439999999997</v>
      </c>
      <c r="E887" s="181">
        <v>101.6</v>
      </c>
      <c r="F887" s="181">
        <v>0</v>
      </c>
      <c r="G887" s="181">
        <v>0</v>
      </c>
      <c r="H887" s="181">
        <v>0</v>
      </c>
      <c r="I887" s="181">
        <v>19.049999999999997</v>
      </c>
      <c r="J887" s="181">
        <v>0</v>
      </c>
      <c r="K887" s="181">
        <v>0</v>
      </c>
      <c r="L887" s="181">
        <v>0</v>
      </c>
      <c r="M887" s="181">
        <v>6326717.6691199988</v>
      </c>
      <c r="N887" s="181">
        <v>163870.63999999998</v>
      </c>
      <c r="O887" s="181">
        <v>91439.817119999992</v>
      </c>
      <c r="P887" s="181">
        <v>29.971999999999998</v>
      </c>
      <c r="Q887" s="181">
        <v>0</v>
      </c>
      <c r="R887" s="181">
        <v>0</v>
      </c>
      <c r="S887" s="181">
        <v>0</v>
      </c>
      <c r="T887" s="181">
        <v>47.751999999999995</v>
      </c>
      <c r="U887" s="181">
        <v>0</v>
      </c>
      <c r="V887" s="181">
        <v>0</v>
      </c>
    </row>
    <row r="888" spans="1:22">
      <c r="A888" s="2" t="s">
        <v>1794</v>
      </c>
      <c r="B888" s="2" t="s">
        <v>1795</v>
      </c>
      <c r="C888" s="181">
        <v>55.061920000000001</v>
      </c>
      <c r="D888" s="181">
        <v>7032.2439999999997</v>
      </c>
      <c r="E888" s="181">
        <v>101.6</v>
      </c>
      <c r="F888" s="181">
        <v>0</v>
      </c>
      <c r="G888" s="181">
        <v>0</v>
      </c>
      <c r="H888" s="181">
        <v>0</v>
      </c>
      <c r="I888" s="181">
        <v>19.049999999999997</v>
      </c>
      <c r="J888" s="181">
        <v>0</v>
      </c>
      <c r="K888" s="181">
        <v>0</v>
      </c>
      <c r="L888" s="181">
        <v>0</v>
      </c>
      <c r="M888" s="181">
        <v>6326717.6691199988</v>
      </c>
      <c r="N888" s="181">
        <v>163870.63999999998</v>
      </c>
      <c r="O888" s="181">
        <v>91439.817119999992</v>
      </c>
      <c r="P888" s="181">
        <v>29.971999999999998</v>
      </c>
      <c r="Q888" s="181">
        <v>0</v>
      </c>
      <c r="R888" s="181">
        <v>0</v>
      </c>
      <c r="S888" s="181">
        <v>0</v>
      </c>
      <c r="T888" s="181">
        <v>51.561999999999991</v>
      </c>
      <c r="U888" s="181">
        <v>0</v>
      </c>
      <c r="V888" s="181">
        <v>0</v>
      </c>
    </row>
    <row r="889" spans="1:22">
      <c r="A889" s="2" t="s">
        <v>1796</v>
      </c>
      <c r="B889" s="2" t="s">
        <v>1797</v>
      </c>
      <c r="C889" s="181">
        <v>46.579408000000001</v>
      </c>
      <c r="D889" s="181">
        <v>5941.9236000000001</v>
      </c>
      <c r="E889" s="181">
        <v>101.6</v>
      </c>
      <c r="F889" s="181">
        <v>0</v>
      </c>
      <c r="G889" s="181">
        <v>0</v>
      </c>
      <c r="H889" s="181">
        <v>0</v>
      </c>
      <c r="I889" s="181">
        <v>15.875</v>
      </c>
      <c r="J889" s="181">
        <v>0</v>
      </c>
      <c r="K889" s="181">
        <v>0</v>
      </c>
      <c r="L889" s="181">
        <v>0</v>
      </c>
      <c r="M889" s="181">
        <v>5494254.8179199994</v>
      </c>
      <c r="N889" s="181">
        <v>140273.26783999999</v>
      </c>
      <c r="O889" s="181">
        <v>78166.295279999991</v>
      </c>
      <c r="P889" s="181">
        <v>30.479999999999997</v>
      </c>
      <c r="Q889" s="181">
        <v>0</v>
      </c>
      <c r="R889" s="181">
        <v>0</v>
      </c>
      <c r="S889" s="181">
        <v>0</v>
      </c>
      <c r="T889" s="181">
        <v>43.433999999999997</v>
      </c>
      <c r="U889" s="181">
        <v>0</v>
      </c>
      <c r="V889" s="181">
        <v>0</v>
      </c>
    </row>
    <row r="890" spans="1:22">
      <c r="A890" s="2" t="s">
        <v>1798</v>
      </c>
      <c r="B890" s="2" t="s">
        <v>1799</v>
      </c>
      <c r="C890" s="181">
        <v>46.579408000000001</v>
      </c>
      <c r="D890" s="181">
        <v>5941.9236000000001</v>
      </c>
      <c r="E890" s="181">
        <v>101.6</v>
      </c>
      <c r="F890" s="181">
        <v>0</v>
      </c>
      <c r="G890" s="181">
        <v>0</v>
      </c>
      <c r="H890" s="181">
        <v>0</v>
      </c>
      <c r="I890" s="181">
        <v>15.875</v>
      </c>
      <c r="J890" s="181">
        <v>0</v>
      </c>
      <c r="K890" s="181">
        <v>0</v>
      </c>
      <c r="L890" s="181">
        <v>0</v>
      </c>
      <c r="M890" s="181">
        <v>5494254.8179199994</v>
      </c>
      <c r="N890" s="181">
        <v>140273.26783999999</v>
      </c>
      <c r="O890" s="181">
        <v>78166.295279999991</v>
      </c>
      <c r="P890" s="181">
        <v>30.479999999999997</v>
      </c>
      <c r="Q890" s="181">
        <v>0</v>
      </c>
      <c r="R890" s="181">
        <v>0</v>
      </c>
      <c r="S890" s="181">
        <v>0</v>
      </c>
      <c r="T890" s="181">
        <v>46.99</v>
      </c>
      <c r="U890" s="181">
        <v>0</v>
      </c>
      <c r="V890" s="181">
        <v>0</v>
      </c>
    </row>
    <row r="891" spans="1:22">
      <c r="A891" s="2" t="s">
        <v>1800</v>
      </c>
      <c r="B891" s="2" t="s">
        <v>1801</v>
      </c>
      <c r="C891" s="181">
        <v>46.579408000000001</v>
      </c>
      <c r="D891" s="181">
        <v>5941.9236000000001</v>
      </c>
      <c r="E891" s="181">
        <v>101.6</v>
      </c>
      <c r="F891" s="181">
        <v>0</v>
      </c>
      <c r="G891" s="181">
        <v>0</v>
      </c>
      <c r="H891" s="181">
        <v>0</v>
      </c>
      <c r="I891" s="181">
        <v>15.875</v>
      </c>
      <c r="J891" s="181">
        <v>0</v>
      </c>
      <c r="K891" s="181">
        <v>0</v>
      </c>
      <c r="L891" s="181">
        <v>0</v>
      </c>
      <c r="M891" s="181">
        <v>5494254.8179199994</v>
      </c>
      <c r="N891" s="181">
        <v>140273.26783999999</v>
      </c>
      <c r="O891" s="181">
        <v>78166.295279999991</v>
      </c>
      <c r="P891" s="181">
        <v>30.479999999999997</v>
      </c>
      <c r="Q891" s="181">
        <v>0</v>
      </c>
      <c r="R891" s="181">
        <v>0</v>
      </c>
      <c r="S891" s="181">
        <v>0</v>
      </c>
      <c r="T891" s="181">
        <v>50.8</v>
      </c>
      <c r="U891" s="181">
        <v>0</v>
      </c>
      <c r="V891" s="181">
        <v>0</v>
      </c>
    </row>
    <row r="892" spans="1:22">
      <c r="A892" s="2" t="s">
        <v>1802</v>
      </c>
      <c r="B892" s="2" t="s">
        <v>1803</v>
      </c>
      <c r="C892" s="181">
        <v>37.948079999999997</v>
      </c>
      <c r="D892" s="181">
        <v>4832.2483999999995</v>
      </c>
      <c r="E892" s="181">
        <v>101.6</v>
      </c>
      <c r="F892" s="181">
        <v>0</v>
      </c>
      <c r="G892" s="181">
        <v>0</v>
      </c>
      <c r="H892" s="181">
        <v>0</v>
      </c>
      <c r="I892" s="181">
        <v>12.7</v>
      </c>
      <c r="J892" s="181">
        <v>0</v>
      </c>
      <c r="K892" s="181">
        <v>0</v>
      </c>
      <c r="L892" s="181">
        <v>0</v>
      </c>
      <c r="M892" s="181">
        <v>4578545.6815999998</v>
      </c>
      <c r="N892" s="181">
        <v>114873.31863999998</v>
      </c>
      <c r="O892" s="181">
        <v>64073.420239999999</v>
      </c>
      <c r="P892" s="181">
        <v>30.733999999999998</v>
      </c>
      <c r="Q892" s="181">
        <v>0</v>
      </c>
      <c r="R892" s="181">
        <v>0</v>
      </c>
      <c r="S892" s="181">
        <v>0</v>
      </c>
      <c r="T892" s="181">
        <v>42.925999999999995</v>
      </c>
      <c r="U892" s="181">
        <v>0</v>
      </c>
      <c r="V892" s="181">
        <v>0</v>
      </c>
    </row>
    <row r="893" spans="1:22">
      <c r="A893" s="2" t="s">
        <v>1804</v>
      </c>
      <c r="B893" s="2" t="s">
        <v>1805</v>
      </c>
      <c r="C893" s="181">
        <v>37.948079999999997</v>
      </c>
      <c r="D893" s="181">
        <v>4832.2483999999995</v>
      </c>
      <c r="E893" s="181">
        <v>101.6</v>
      </c>
      <c r="F893" s="181">
        <v>0</v>
      </c>
      <c r="G893" s="181">
        <v>0</v>
      </c>
      <c r="H893" s="181">
        <v>0</v>
      </c>
      <c r="I893" s="181">
        <v>12.7</v>
      </c>
      <c r="J893" s="181">
        <v>0</v>
      </c>
      <c r="K893" s="181">
        <v>0</v>
      </c>
      <c r="L893" s="181">
        <v>0</v>
      </c>
      <c r="M893" s="181">
        <v>4578545.6815999998</v>
      </c>
      <c r="N893" s="181">
        <v>114873.31863999998</v>
      </c>
      <c r="O893" s="181">
        <v>64073.420239999999</v>
      </c>
      <c r="P893" s="181">
        <v>30.733999999999998</v>
      </c>
      <c r="Q893" s="181">
        <v>0</v>
      </c>
      <c r="R893" s="181">
        <v>0</v>
      </c>
      <c r="S893" s="181">
        <v>0</v>
      </c>
      <c r="T893" s="181">
        <v>46.481999999999999</v>
      </c>
      <c r="U893" s="181">
        <v>0</v>
      </c>
      <c r="V893" s="181">
        <v>0</v>
      </c>
    </row>
    <row r="894" spans="1:22">
      <c r="A894" s="2" t="s">
        <v>1806</v>
      </c>
      <c r="B894" s="2" t="s">
        <v>1807</v>
      </c>
      <c r="C894" s="181">
        <v>37.948079999999997</v>
      </c>
      <c r="D894" s="181">
        <v>4832.2483999999995</v>
      </c>
      <c r="E894" s="181">
        <v>101.6</v>
      </c>
      <c r="F894" s="181">
        <v>0</v>
      </c>
      <c r="G894" s="181">
        <v>0</v>
      </c>
      <c r="H894" s="181">
        <v>0</v>
      </c>
      <c r="I894" s="181">
        <v>12.7</v>
      </c>
      <c r="J894" s="181">
        <v>0</v>
      </c>
      <c r="K894" s="181">
        <v>0</v>
      </c>
      <c r="L894" s="181">
        <v>0</v>
      </c>
      <c r="M894" s="181">
        <v>4578545.6815999998</v>
      </c>
      <c r="N894" s="181">
        <v>114873.31863999998</v>
      </c>
      <c r="O894" s="181">
        <v>64073.420239999999</v>
      </c>
      <c r="P894" s="181">
        <v>30.733999999999998</v>
      </c>
      <c r="Q894" s="181">
        <v>0</v>
      </c>
      <c r="R894" s="181">
        <v>0</v>
      </c>
      <c r="S894" s="181">
        <v>0</v>
      </c>
      <c r="T894" s="181">
        <v>50.037999999999997</v>
      </c>
      <c r="U894" s="181">
        <v>0</v>
      </c>
      <c r="V894" s="181">
        <v>0</v>
      </c>
    </row>
    <row r="895" spans="1:22">
      <c r="A895" s="2" t="s">
        <v>1808</v>
      </c>
      <c r="B895" s="2" t="s">
        <v>1809</v>
      </c>
      <c r="C895" s="181">
        <v>33.483599999999996</v>
      </c>
      <c r="D895" s="181">
        <v>4264.5075999999999</v>
      </c>
      <c r="E895" s="181">
        <v>101.6</v>
      </c>
      <c r="F895" s="181">
        <v>0</v>
      </c>
      <c r="G895" s="181">
        <v>0</v>
      </c>
      <c r="H895" s="181">
        <v>0</v>
      </c>
      <c r="I895" s="181">
        <v>11.112499999999999</v>
      </c>
      <c r="J895" s="181">
        <v>0</v>
      </c>
      <c r="K895" s="181">
        <v>0</v>
      </c>
      <c r="L895" s="181">
        <v>0</v>
      </c>
      <c r="M895" s="181">
        <v>4108204.1706719995</v>
      </c>
      <c r="N895" s="181">
        <v>101599.7968</v>
      </c>
      <c r="O895" s="181">
        <v>56863.112079999999</v>
      </c>
      <c r="P895" s="181">
        <v>30.987999999999996</v>
      </c>
      <c r="Q895" s="181">
        <v>0</v>
      </c>
      <c r="R895" s="181">
        <v>0</v>
      </c>
      <c r="S895" s="181">
        <v>0</v>
      </c>
      <c r="T895" s="181">
        <v>42.671999999999997</v>
      </c>
      <c r="U895" s="181">
        <v>0</v>
      </c>
      <c r="V895" s="181">
        <v>0</v>
      </c>
    </row>
    <row r="896" spans="1:22">
      <c r="A896" s="2" t="s">
        <v>1810</v>
      </c>
      <c r="B896" s="2" t="s">
        <v>1811</v>
      </c>
      <c r="C896" s="181">
        <v>33.483599999999996</v>
      </c>
      <c r="D896" s="181">
        <v>4264.5075999999999</v>
      </c>
      <c r="E896" s="181">
        <v>101.6</v>
      </c>
      <c r="F896" s="181">
        <v>0</v>
      </c>
      <c r="G896" s="181">
        <v>0</v>
      </c>
      <c r="H896" s="181">
        <v>0</v>
      </c>
      <c r="I896" s="181">
        <v>11.112499999999999</v>
      </c>
      <c r="J896" s="181">
        <v>0</v>
      </c>
      <c r="K896" s="181">
        <v>0</v>
      </c>
      <c r="L896" s="181">
        <v>0</v>
      </c>
      <c r="M896" s="181">
        <v>4108204.1706719995</v>
      </c>
      <c r="N896" s="181">
        <v>101599.7968</v>
      </c>
      <c r="O896" s="181">
        <v>56863.112079999999</v>
      </c>
      <c r="P896" s="181">
        <v>30.987999999999996</v>
      </c>
      <c r="Q896" s="181">
        <v>0</v>
      </c>
      <c r="R896" s="181">
        <v>0</v>
      </c>
      <c r="S896" s="181">
        <v>0</v>
      </c>
      <c r="T896" s="181">
        <v>45.973999999999997</v>
      </c>
      <c r="U896" s="181">
        <v>0</v>
      </c>
      <c r="V896" s="181">
        <v>0</v>
      </c>
    </row>
    <row r="897" spans="1:22">
      <c r="A897" s="2" t="s">
        <v>1812</v>
      </c>
      <c r="B897" s="2" t="s">
        <v>1813</v>
      </c>
      <c r="C897" s="181">
        <v>33.483599999999996</v>
      </c>
      <c r="D897" s="181">
        <v>4264.5075999999999</v>
      </c>
      <c r="E897" s="181">
        <v>101.6</v>
      </c>
      <c r="F897" s="181">
        <v>0</v>
      </c>
      <c r="G897" s="181">
        <v>0</v>
      </c>
      <c r="H897" s="181">
        <v>0</v>
      </c>
      <c r="I897" s="181">
        <v>11.112499999999999</v>
      </c>
      <c r="J897" s="181">
        <v>0</v>
      </c>
      <c r="K897" s="181">
        <v>0</v>
      </c>
      <c r="L897" s="181">
        <v>0</v>
      </c>
      <c r="M897" s="181">
        <v>4108204.1706719995</v>
      </c>
      <c r="N897" s="181">
        <v>101599.7968</v>
      </c>
      <c r="O897" s="181">
        <v>56863.112079999999</v>
      </c>
      <c r="P897" s="181">
        <v>30.987999999999996</v>
      </c>
      <c r="Q897" s="181">
        <v>0</v>
      </c>
      <c r="R897" s="181">
        <v>0</v>
      </c>
      <c r="S897" s="181">
        <v>0</v>
      </c>
      <c r="T897" s="181">
        <v>49.783999999999999</v>
      </c>
      <c r="U897" s="181">
        <v>0</v>
      </c>
      <c r="V897" s="181">
        <v>0</v>
      </c>
    </row>
    <row r="898" spans="1:22">
      <c r="A898" s="2" t="s">
        <v>1814</v>
      </c>
      <c r="B898" s="2" t="s">
        <v>1815</v>
      </c>
      <c r="C898" s="181">
        <v>28.870303999999997</v>
      </c>
      <c r="D898" s="181">
        <v>3683.8635999999997</v>
      </c>
      <c r="E898" s="181">
        <v>101.6</v>
      </c>
      <c r="F898" s="181">
        <v>0</v>
      </c>
      <c r="G898" s="181">
        <v>0</v>
      </c>
      <c r="H898" s="181">
        <v>0</v>
      </c>
      <c r="I898" s="181">
        <v>9.5249999999999986</v>
      </c>
      <c r="J898" s="181">
        <v>0</v>
      </c>
      <c r="K898" s="181">
        <v>0</v>
      </c>
      <c r="L898" s="181">
        <v>0</v>
      </c>
      <c r="M898" s="181">
        <v>3596239.517184</v>
      </c>
      <c r="N898" s="181">
        <v>87998.533679999993</v>
      </c>
      <c r="O898" s="181">
        <v>49325.062639999989</v>
      </c>
      <c r="P898" s="181">
        <v>31.241999999999997</v>
      </c>
      <c r="Q898" s="181">
        <v>0</v>
      </c>
      <c r="R898" s="181">
        <v>0</v>
      </c>
      <c r="S898" s="181">
        <v>0</v>
      </c>
      <c r="T898" s="181">
        <v>42.417999999999999</v>
      </c>
      <c r="U898" s="181">
        <v>0</v>
      </c>
      <c r="V898" s="181">
        <v>0</v>
      </c>
    </row>
    <row r="899" spans="1:22">
      <c r="A899" s="2" t="s">
        <v>1816</v>
      </c>
      <c r="B899" s="2" t="s">
        <v>1817</v>
      </c>
      <c r="C899" s="181">
        <v>28.870303999999997</v>
      </c>
      <c r="D899" s="181">
        <v>3683.8635999999997</v>
      </c>
      <c r="E899" s="181">
        <v>101.6</v>
      </c>
      <c r="F899" s="181">
        <v>0</v>
      </c>
      <c r="G899" s="181">
        <v>0</v>
      </c>
      <c r="H899" s="181">
        <v>0</v>
      </c>
      <c r="I899" s="181">
        <v>9.5249999999999986</v>
      </c>
      <c r="J899" s="181">
        <v>0</v>
      </c>
      <c r="K899" s="181">
        <v>0</v>
      </c>
      <c r="L899" s="181">
        <v>0</v>
      </c>
      <c r="M899" s="181">
        <v>3596239.517184</v>
      </c>
      <c r="N899" s="181">
        <v>87998.533679999993</v>
      </c>
      <c r="O899" s="181">
        <v>49325.062639999989</v>
      </c>
      <c r="P899" s="181">
        <v>31.241999999999997</v>
      </c>
      <c r="Q899" s="181">
        <v>0</v>
      </c>
      <c r="R899" s="181">
        <v>0</v>
      </c>
      <c r="S899" s="181">
        <v>0</v>
      </c>
      <c r="T899" s="181">
        <v>45.72</v>
      </c>
      <c r="U899" s="181">
        <v>0</v>
      </c>
      <c r="V899" s="181">
        <v>0</v>
      </c>
    </row>
    <row r="900" spans="1:22">
      <c r="A900" s="2" t="s">
        <v>1818</v>
      </c>
      <c r="B900" s="2" t="s">
        <v>1819</v>
      </c>
      <c r="C900" s="181">
        <v>28.870303999999997</v>
      </c>
      <c r="D900" s="181">
        <v>3683.8635999999997</v>
      </c>
      <c r="E900" s="181">
        <v>101.6</v>
      </c>
      <c r="F900" s="181">
        <v>0</v>
      </c>
      <c r="G900" s="181">
        <v>0</v>
      </c>
      <c r="H900" s="181">
        <v>0</v>
      </c>
      <c r="I900" s="181">
        <v>9.5249999999999986</v>
      </c>
      <c r="J900" s="181">
        <v>0</v>
      </c>
      <c r="K900" s="181">
        <v>0</v>
      </c>
      <c r="L900" s="181">
        <v>0</v>
      </c>
      <c r="M900" s="181">
        <v>3596239.517184</v>
      </c>
      <c r="N900" s="181">
        <v>87998.533679999993</v>
      </c>
      <c r="O900" s="181">
        <v>49325.062639999989</v>
      </c>
      <c r="P900" s="181">
        <v>31.241999999999997</v>
      </c>
      <c r="Q900" s="181">
        <v>0</v>
      </c>
      <c r="R900" s="181">
        <v>0</v>
      </c>
      <c r="S900" s="181">
        <v>0</v>
      </c>
      <c r="T900" s="181">
        <v>49.275999999999996</v>
      </c>
      <c r="U900" s="181">
        <v>0</v>
      </c>
      <c r="V900" s="181">
        <v>0</v>
      </c>
    </row>
    <row r="901" spans="1:22">
      <c r="A901" s="2" t="s">
        <v>1820</v>
      </c>
      <c r="B901" s="2" t="s">
        <v>1821</v>
      </c>
      <c r="C901" s="181">
        <v>24.257007999999999</v>
      </c>
      <c r="D901" s="181">
        <v>3096.7679999999996</v>
      </c>
      <c r="E901" s="181">
        <v>101.6</v>
      </c>
      <c r="F901" s="181">
        <v>0</v>
      </c>
      <c r="G901" s="181">
        <v>0</v>
      </c>
      <c r="H901" s="181">
        <v>0</v>
      </c>
      <c r="I901" s="181">
        <v>7.9375</v>
      </c>
      <c r="J901" s="181">
        <v>0</v>
      </c>
      <c r="K901" s="181">
        <v>0</v>
      </c>
      <c r="L901" s="181">
        <v>0</v>
      </c>
      <c r="M901" s="181">
        <v>3059300.9781599995</v>
      </c>
      <c r="N901" s="181">
        <v>74069.529279999988</v>
      </c>
      <c r="O901" s="181">
        <v>41623.14256</v>
      </c>
      <c r="P901" s="181">
        <v>31.495999999999999</v>
      </c>
      <c r="Q901" s="181">
        <v>0</v>
      </c>
      <c r="R901" s="181">
        <v>0</v>
      </c>
      <c r="S901" s="181">
        <v>0</v>
      </c>
      <c r="T901" s="181">
        <v>42.163999999999994</v>
      </c>
      <c r="U901" s="181">
        <v>0</v>
      </c>
      <c r="V901" s="181">
        <v>0</v>
      </c>
    </row>
    <row r="902" spans="1:22">
      <c r="A902" s="2" t="s">
        <v>1822</v>
      </c>
      <c r="B902" s="2" t="s">
        <v>1823</v>
      </c>
      <c r="C902" s="181">
        <v>24.257007999999999</v>
      </c>
      <c r="D902" s="181">
        <v>3096.7679999999996</v>
      </c>
      <c r="E902" s="181">
        <v>101.6</v>
      </c>
      <c r="F902" s="181">
        <v>0</v>
      </c>
      <c r="G902" s="181">
        <v>0</v>
      </c>
      <c r="H902" s="181">
        <v>0</v>
      </c>
      <c r="I902" s="181">
        <v>7.9375</v>
      </c>
      <c r="J902" s="181">
        <v>0</v>
      </c>
      <c r="K902" s="181">
        <v>0</v>
      </c>
      <c r="L902" s="181">
        <v>0</v>
      </c>
      <c r="M902" s="181">
        <v>3059300.9781599995</v>
      </c>
      <c r="N902" s="181">
        <v>74069.529279999988</v>
      </c>
      <c r="O902" s="181">
        <v>41623.14256</v>
      </c>
      <c r="P902" s="181">
        <v>31.495999999999999</v>
      </c>
      <c r="Q902" s="181">
        <v>0</v>
      </c>
      <c r="R902" s="181">
        <v>0</v>
      </c>
      <c r="S902" s="181">
        <v>0</v>
      </c>
      <c r="T902" s="181">
        <v>45.466000000000001</v>
      </c>
      <c r="U902" s="181">
        <v>0</v>
      </c>
      <c r="V902" s="181">
        <v>0</v>
      </c>
    </row>
    <row r="903" spans="1:22">
      <c r="A903" s="2" t="s">
        <v>1824</v>
      </c>
      <c r="B903" s="2" t="s">
        <v>1825</v>
      </c>
      <c r="C903" s="181">
        <v>24.257007999999999</v>
      </c>
      <c r="D903" s="181">
        <v>3096.7679999999996</v>
      </c>
      <c r="E903" s="181">
        <v>101.6</v>
      </c>
      <c r="F903" s="181">
        <v>0</v>
      </c>
      <c r="G903" s="181">
        <v>0</v>
      </c>
      <c r="H903" s="181">
        <v>0</v>
      </c>
      <c r="I903" s="181">
        <v>7.9375</v>
      </c>
      <c r="J903" s="181">
        <v>0</v>
      </c>
      <c r="K903" s="181">
        <v>0</v>
      </c>
      <c r="L903" s="181">
        <v>0</v>
      </c>
      <c r="M903" s="181">
        <v>3059300.9781599995</v>
      </c>
      <c r="N903" s="181">
        <v>74069.529279999988</v>
      </c>
      <c r="O903" s="181">
        <v>41623.14256</v>
      </c>
      <c r="P903" s="181">
        <v>31.495999999999999</v>
      </c>
      <c r="Q903" s="181">
        <v>0</v>
      </c>
      <c r="R903" s="181">
        <v>0</v>
      </c>
      <c r="S903" s="181">
        <v>0</v>
      </c>
      <c r="T903" s="181">
        <v>49.021999999999998</v>
      </c>
      <c r="U903" s="181">
        <v>0</v>
      </c>
      <c r="V903" s="181">
        <v>0</v>
      </c>
    </row>
    <row r="904" spans="1:22">
      <c r="A904" s="2" t="s">
        <v>1826</v>
      </c>
      <c r="B904" s="2" t="s">
        <v>1827</v>
      </c>
      <c r="C904" s="181">
        <v>19.643711999999997</v>
      </c>
      <c r="D904" s="181">
        <v>2496.7691999999997</v>
      </c>
      <c r="E904" s="181">
        <v>101.6</v>
      </c>
      <c r="F904" s="181">
        <v>0</v>
      </c>
      <c r="G904" s="181">
        <v>0</v>
      </c>
      <c r="H904" s="181">
        <v>0</v>
      </c>
      <c r="I904" s="181">
        <v>6.35</v>
      </c>
      <c r="J904" s="181">
        <v>0</v>
      </c>
      <c r="K904" s="181">
        <v>0</v>
      </c>
      <c r="L904" s="181">
        <v>0</v>
      </c>
      <c r="M904" s="181">
        <v>2497388.5535999998</v>
      </c>
      <c r="N904" s="181">
        <v>59812.783599999995</v>
      </c>
      <c r="O904" s="181">
        <v>33593.481199999995</v>
      </c>
      <c r="P904" s="181">
        <v>31.75</v>
      </c>
      <c r="Q904" s="181">
        <v>0</v>
      </c>
      <c r="R904" s="181">
        <v>0</v>
      </c>
      <c r="S904" s="181">
        <v>0</v>
      </c>
      <c r="T904" s="181">
        <v>41.91</v>
      </c>
      <c r="U904" s="181">
        <v>0</v>
      </c>
      <c r="V904" s="181">
        <v>0</v>
      </c>
    </row>
    <row r="905" spans="1:22">
      <c r="A905" s="2" t="s">
        <v>1828</v>
      </c>
      <c r="B905" s="2" t="s">
        <v>1829</v>
      </c>
      <c r="C905" s="181">
        <v>19.643711999999997</v>
      </c>
      <c r="D905" s="181">
        <v>2496.7691999999997</v>
      </c>
      <c r="E905" s="181">
        <v>101.6</v>
      </c>
      <c r="F905" s="181">
        <v>0</v>
      </c>
      <c r="G905" s="181">
        <v>0</v>
      </c>
      <c r="H905" s="181">
        <v>0</v>
      </c>
      <c r="I905" s="181">
        <v>6.35</v>
      </c>
      <c r="J905" s="181">
        <v>0</v>
      </c>
      <c r="K905" s="181">
        <v>0</v>
      </c>
      <c r="L905" s="181">
        <v>0</v>
      </c>
      <c r="M905" s="181">
        <v>2497388.5535999998</v>
      </c>
      <c r="N905" s="181">
        <v>59812.783599999995</v>
      </c>
      <c r="O905" s="181">
        <v>33593.481199999995</v>
      </c>
      <c r="P905" s="181">
        <v>31.75</v>
      </c>
      <c r="Q905" s="181">
        <v>0</v>
      </c>
      <c r="R905" s="181">
        <v>0</v>
      </c>
      <c r="S905" s="181">
        <v>0</v>
      </c>
      <c r="T905" s="181">
        <v>45.211999999999996</v>
      </c>
      <c r="U905" s="181">
        <v>0</v>
      </c>
      <c r="V905" s="181">
        <v>0</v>
      </c>
    </row>
    <row r="906" spans="1:22">
      <c r="A906" s="2" t="s">
        <v>1830</v>
      </c>
      <c r="B906" s="2" t="s">
        <v>1831</v>
      </c>
      <c r="C906" s="181">
        <v>19.643711999999997</v>
      </c>
      <c r="D906" s="181">
        <v>2496.7691999999997</v>
      </c>
      <c r="E906" s="181">
        <v>101.6</v>
      </c>
      <c r="F906" s="181">
        <v>0</v>
      </c>
      <c r="G906" s="181">
        <v>0</v>
      </c>
      <c r="H906" s="181">
        <v>0</v>
      </c>
      <c r="I906" s="181">
        <v>6.35</v>
      </c>
      <c r="J906" s="181">
        <v>0</v>
      </c>
      <c r="K906" s="181">
        <v>0</v>
      </c>
      <c r="L906" s="181">
        <v>0</v>
      </c>
      <c r="M906" s="181">
        <v>2497388.5535999998</v>
      </c>
      <c r="N906" s="181">
        <v>59812.783599999995</v>
      </c>
      <c r="O906" s="181">
        <v>33593.481199999995</v>
      </c>
      <c r="P906" s="181">
        <v>31.75</v>
      </c>
      <c r="Q906" s="181">
        <v>0</v>
      </c>
      <c r="R906" s="181">
        <v>0</v>
      </c>
      <c r="S906" s="181">
        <v>0</v>
      </c>
      <c r="T906" s="181">
        <v>48.513999999999996</v>
      </c>
      <c r="U906" s="181">
        <v>0</v>
      </c>
      <c r="V906" s="181">
        <v>0</v>
      </c>
    </row>
    <row r="907" spans="1:22">
      <c r="A907" s="2" t="s">
        <v>1832</v>
      </c>
      <c r="B907" s="2" t="s">
        <v>1833</v>
      </c>
      <c r="C907" s="181">
        <v>33.037151999999999</v>
      </c>
      <c r="D907" s="181">
        <v>4212.8948</v>
      </c>
      <c r="E907" s="181">
        <v>88.899999999999991</v>
      </c>
      <c r="F907" s="181">
        <v>0</v>
      </c>
      <c r="G907" s="181">
        <v>0</v>
      </c>
      <c r="H907" s="181">
        <v>0</v>
      </c>
      <c r="I907" s="181">
        <v>12.7</v>
      </c>
      <c r="J907" s="181">
        <v>0</v>
      </c>
      <c r="K907" s="181">
        <v>0</v>
      </c>
      <c r="L907" s="181">
        <v>0</v>
      </c>
      <c r="M907" s="181">
        <v>3017677.8355999999</v>
      </c>
      <c r="N907" s="181">
        <v>87343.051119999989</v>
      </c>
      <c r="O907" s="181">
        <v>48505.709439999991</v>
      </c>
      <c r="P907" s="181">
        <v>26.669999999999998</v>
      </c>
      <c r="Q907" s="181">
        <v>0</v>
      </c>
      <c r="R907" s="181">
        <v>0</v>
      </c>
      <c r="S907" s="181">
        <v>0</v>
      </c>
      <c r="T907" s="181">
        <v>37.845999999999997</v>
      </c>
      <c r="U907" s="181">
        <v>0</v>
      </c>
      <c r="V907" s="181">
        <v>0</v>
      </c>
    </row>
    <row r="908" spans="1:22">
      <c r="A908" s="2" t="s">
        <v>1834</v>
      </c>
      <c r="B908" s="2" t="s">
        <v>1835</v>
      </c>
      <c r="C908" s="181">
        <v>33.037151999999999</v>
      </c>
      <c r="D908" s="181">
        <v>4212.8948</v>
      </c>
      <c r="E908" s="181">
        <v>88.899999999999991</v>
      </c>
      <c r="F908" s="181">
        <v>0</v>
      </c>
      <c r="G908" s="181">
        <v>0</v>
      </c>
      <c r="H908" s="181">
        <v>0</v>
      </c>
      <c r="I908" s="181">
        <v>12.7</v>
      </c>
      <c r="J908" s="181">
        <v>0</v>
      </c>
      <c r="K908" s="181">
        <v>0</v>
      </c>
      <c r="L908" s="181">
        <v>0</v>
      </c>
      <c r="M908" s="181">
        <v>3017677.8355999999</v>
      </c>
      <c r="N908" s="181">
        <v>87343.051119999989</v>
      </c>
      <c r="O908" s="181">
        <v>48505.709439999991</v>
      </c>
      <c r="P908" s="181">
        <v>26.669999999999998</v>
      </c>
      <c r="Q908" s="181">
        <v>0</v>
      </c>
      <c r="R908" s="181">
        <v>0</v>
      </c>
      <c r="S908" s="181">
        <v>0</v>
      </c>
      <c r="T908" s="181">
        <v>41.401999999999994</v>
      </c>
      <c r="U908" s="181">
        <v>0</v>
      </c>
      <c r="V908" s="181">
        <v>0</v>
      </c>
    </row>
    <row r="909" spans="1:22">
      <c r="A909" s="2" t="s">
        <v>1836</v>
      </c>
      <c r="B909" s="2" t="s">
        <v>1837</v>
      </c>
      <c r="C909" s="181">
        <v>33.037151999999999</v>
      </c>
      <c r="D909" s="181">
        <v>4212.8948</v>
      </c>
      <c r="E909" s="181">
        <v>88.899999999999991</v>
      </c>
      <c r="F909" s="181">
        <v>0</v>
      </c>
      <c r="G909" s="181">
        <v>0</v>
      </c>
      <c r="H909" s="181">
        <v>0</v>
      </c>
      <c r="I909" s="181">
        <v>12.7</v>
      </c>
      <c r="J909" s="181">
        <v>0</v>
      </c>
      <c r="K909" s="181">
        <v>0</v>
      </c>
      <c r="L909" s="181">
        <v>0</v>
      </c>
      <c r="M909" s="181">
        <v>3017677.8355999999</v>
      </c>
      <c r="N909" s="181">
        <v>87343.051119999989</v>
      </c>
      <c r="O909" s="181">
        <v>48505.709439999991</v>
      </c>
      <c r="P909" s="181">
        <v>26.669999999999998</v>
      </c>
      <c r="Q909" s="181">
        <v>0</v>
      </c>
      <c r="R909" s="181">
        <v>0</v>
      </c>
      <c r="S909" s="181">
        <v>0</v>
      </c>
      <c r="T909" s="181">
        <v>44.957999999999998</v>
      </c>
      <c r="U909" s="181">
        <v>0</v>
      </c>
      <c r="V909" s="181">
        <v>0</v>
      </c>
    </row>
    <row r="910" spans="1:22">
      <c r="A910" s="2" t="s">
        <v>1838</v>
      </c>
      <c r="B910" s="2" t="s">
        <v>1839</v>
      </c>
      <c r="C910" s="181">
        <v>29.167936000000001</v>
      </c>
      <c r="D910" s="181">
        <v>3722.5731999999994</v>
      </c>
      <c r="E910" s="181">
        <v>88.899999999999991</v>
      </c>
      <c r="F910" s="181">
        <v>0</v>
      </c>
      <c r="G910" s="181">
        <v>0</v>
      </c>
      <c r="H910" s="181">
        <v>0</v>
      </c>
      <c r="I910" s="181">
        <v>11.112499999999999</v>
      </c>
      <c r="J910" s="181">
        <v>0</v>
      </c>
      <c r="K910" s="181">
        <v>0</v>
      </c>
      <c r="L910" s="181">
        <v>0</v>
      </c>
      <c r="M910" s="181">
        <v>2709666.5806559995</v>
      </c>
      <c r="N910" s="181">
        <v>77510.812720000002</v>
      </c>
      <c r="O910" s="181">
        <v>43097.978319999995</v>
      </c>
      <c r="P910" s="181">
        <v>26.923999999999999</v>
      </c>
      <c r="Q910" s="181">
        <v>0</v>
      </c>
      <c r="R910" s="181">
        <v>0</v>
      </c>
      <c r="S910" s="181">
        <v>0</v>
      </c>
      <c r="T910" s="181">
        <v>37.591999999999999</v>
      </c>
      <c r="U910" s="181">
        <v>0</v>
      </c>
      <c r="V910" s="181">
        <v>0</v>
      </c>
    </row>
    <row r="911" spans="1:22">
      <c r="A911" s="2" t="s">
        <v>1840</v>
      </c>
      <c r="B911" s="2" t="s">
        <v>1841</v>
      </c>
      <c r="C911" s="181">
        <v>29.167936000000001</v>
      </c>
      <c r="D911" s="181">
        <v>3722.5731999999994</v>
      </c>
      <c r="E911" s="181">
        <v>88.899999999999991</v>
      </c>
      <c r="F911" s="181">
        <v>0</v>
      </c>
      <c r="G911" s="181">
        <v>0</v>
      </c>
      <c r="H911" s="181">
        <v>0</v>
      </c>
      <c r="I911" s="181">
        <v>11.112499999999999</v>
      </c>
      <c r="J911" s="181">
        <v>0</v>
      </c>
      <c r="K911" s="181">
        <v>0</v>
      </c>
      <c r="L911" s="181">
        <v>0</v>
      </c>
      <c r="M911" s="181">
        <v>2709666.5806559995</v>
      </c>
      <c r="N911" s="181">
        <v>77510.812720000002</v>
      </c>
      <c r="O911" s="181">
        <v>43097.978319999995</v>
      </c>
      <c r="P911" s="181">
        <v>26.923999999999999</v>
      </c>
      <c r="Q911" s="181">
        <v>0</v>
      </c>
      <c r="R911" s="181">
        <v>0</v>
      </c>
      <c r="S911" s="181">
        <v>0</v>
      </c>
      <c r="T911" s="181">
        <v>40.893999999999998</v>
      </c>
      <c r="U911" s="181">
        <v>0</v>
      </c>
      <c r="V911" s="181">
        <v>0</v>
      </c>
    </row>
    <row r="912" spans="1:22">
      <c r="A912" s="2" t="s">
        <v>1842</v>
      </c>
      <c r="B912" s="2" t="s">
        <v>1843</v>
      </c>
      <c r="C912" s="181">
        <v>29.167936000000001</v>
      </c>
      <c r="D912" s="181">
        <v>3722.5731999999994</v>
      </c>
      <c r="E912" s="181">
        <v>88.899999999999991</v>
      </c>
      <c r="F912" s="181">
        <v>0</v>
      </c>
      <c r="G912" s="181">
        <v>0</v>
      </c>
      <c r="H912" s="181">
        <v>0</v>
      </c>
      <c r="I912" s="181">
        <v>11.112499999999999</v>
      </c>
      <c r="J912" s="181">
        <v>0</v>
      </c>
      <c r="K912" s="181">
        <v>0</v>
      </c>
      <c r="L912" s="181">
        <v>0</v>
      </c>
      <c r="M912" s="181">
        <v>2709666.5806559995</v>
      </c>
      <c r="N912" s="181">
        <v>77510.812720000002</v>
      </c>
      <c r="O912" s="181">
        <v>43097.978319999995</v>
      </c>
      <c r="P912" s="181">
        <v>26.923999999999999</v>
      </c>
      <c r="Q912" s="181">
        <v>0</v>
      </c>
      <c r="R912" s="181">
        <v>0</v>
      </c>
      <c r="S912" s="181">
        <v>0</v>
      </c>
      <c r="T912" s="181">
        <v>44.704000000000001</v>
      </c>
      <c r="U912" s="181">
        <v>0</v>
      </c>
      <c r="V912" s="181">
        <v>0</v>
      </c>
    </row>
    <row r="913" spans="1:22">
      <c r="A913" s="2" t="s">
        <v>1844</v>
      </c>
      <c r="B913" s="2" t="s">
        <v>1845</v>
      </c>
      <c r="C913" s="181">
        <v>25.298719999999999</v>
      </c>
      <c r="D913" s="181">
        <v>3225.7999999999997</v>
      </c>
      <c r="E913" s="181">
        <v>88.899999999999991</v>
      </c>
      <c r="F913" s="181">
        <v>0</v>
      </c>
      <c r="G913" s="181">
        <v>0</v>
      </c>
      <c r="H913" s="181">
        <v>0</v>
      </c>
      <c r="I913" s="181">
        <v>9.5249999999999986</v>
      </c>
      <c r="J913" s="181">
        <v>0</v>
      </c>
      <c r="K913" s="181">
        <v>0</v>
      </c>
      <c r="L913" s="181">
        <v>0</v>
      </c>
      <c r="M913" s="181">
        <v>2380843.7544319998</v>
      </c>
      <c r="N913" s="181">
        <v>67350.833039999998</v>
      </c>
      <c r="O913" s="181">
        <v>37526.376559999997</v>
      </c>
      <c r="P913" s="181">
        <v>27.178000000000001</v>
      </c>
      <c r="Q913" s="181">
        <v>0</v>
      </c>
      <c r="R913" s="181">
        <v>0</v>
      </c>
      <c r="S913" s="181">
        <v>0</v>
      </c>
      <c r="T913" s="181">
        <v>37.337999999999994</v>
      </c>
      <c r="U913" s="181">
        <v>0</v>
      </c>
      <c r="V913" s="181">
        <v>0</v>
      </c>
    </row>
    <row r="914" spans="1:22">
      <c r="A914" s="2" t="s">
        <v>1846</v>
      </c>
      <c r="B914" s="2" t="s">
        <v>1847</v>
      </c>
      <c r="C914" s="181">
        <v>25.298719999999999</v>
      </c>
      <c r="D914" s="181">
        <v>3225.7999999999997</v>
      </c>
      <c r="E914" s="181">
        <v>88.899999999999991</v>
      </c>
      <c r="F914" s="181">
        <v>0</v>
      </c>
      <c r="G914" s="181">
        <v>0</v>
      </c>
      <c r="H914" s="181">
        <v>0</v>
      </c>
      <c r="I914" s="181">
        <v>9.5249999999999986</v>
      </c>
      <c r="J914" s="181">
        <v>0</v>
      </c>
      <c r="K914" s="181">
        <v>0</v>
      </c>
      <c r="L914" s="181">
        <v>0</v>
      </c>
      <c r="M914" s="181">
        <v>2380843.7544319998</v>
      </c>
      <c r="N914" s="181">
        <v>67350.833039999998</v>
      </c>
      <c r="O914" s="181">
        <v>37526.376559999997</v>
      </c>
      <c r="P914" s="181">
        <v>27.178000000000001</v>
      </c>
      <c r="Q914" s="181">
        <v>0</v>
      </c>
      <c r="R914" s="181">
        <v>0</v>
      </c>
      <c r="S914" s="181">
        <v>0</v>
      </c>
      <c r="T914" s="181">
        <v>40.64</v>
      </c>
      <c r="U914" s="181">
        <v>0</v>
      </c>
      <c r="V914" s="181">
        <v>0</v>
      </c>
    </row>
    <row r="915" spans="1:22">
      <c r="A915" s="2" t="s">
        <v>1848</v>
      </c>
      <c r="B915" s="2" t="s">
        <v>1849</v>
      </c>
      <c r="C915" s="181">
        <v>25.298719999999999</v>
      </c>
      <c r="D915" s="181">
        <v>3225.7999999999997</v>
      </c>
      <c r="E915" s="181">
        <v>88.899999999999991</v>
      </c>
      <c r="F915" s="181">
        <v>0</v>
      </c>
      <c r="G915" s="181">
        <v>0</v>
      </c>
      <c r="H915" s="181">
        <v>0</v>
      </c>
      <c r="I915" s="181">
        <v>9.5249999999999986</v>
      </c>
      <c r="J915" s="181">
        <v>0</v>
      </c>
      <c r="K915" s="181">
        <v>0</v>
      </c>
      <c r="L915" s="181">
        <v>0</v>
      </c>
      <c r="M915" s="181">
        <v>2380843.7544319998</v>
      </c>
      <c r="N915" s="181">
        <v>67350.833039999998</v>
      </c>
      <c r="O915" s="181">
        <v>37526.376559999997</v>
      </c>
      <c r="P915" s="181">
        <v>27.178000000000001</v>
      </c>
      <c r="Q915" s="181">
        <v>0</v>
      </c>
      <c r="R915" s="181">
        <v>0</v>
      </c>
      <c r="S915" s="181">
        <v>0</v>
      </c>
      <c r="T915" s="181">
        <v>44.195999999999998</v>
      </c>
      <c r="U915" s="181">
        <v>0</v>
      </c>
      <c r="V915" s="181">
        <v>0</v>
      </c>
    </row>
    <row r="916" spans="1:22">
      <c r="A916" s="2" t="s">
        <v>1850</v>
      </c>
      <c r="B916" s="2" t="s">
        <v>1851</v>
      </c>
      <c r="C916" s="181">
        <v>21.280688000000001</v>
      </c>
      <c r="D916" s="181">
        <v>2716.1235999999999</v>
      </c>
      <c r="E916" s="181">
        <v>88.899999999999991</v>
      </c>
      <c r="F916" s="181">
        <v>0</v>
      </c>
      <c r="G916" s="181">
        <v>0</v>
      </c>
      <c r="H916" s="181">
        <v>0</v>
      </c>
      <c r="I916" s="181">
        <v>7.9375</v>
      </c>
      <c r="J916" s="181">
        <v>0</v>
      </c>
      <c r="K916" s="181">
        <v>0</v>
      </c>
      <c r="L916" s="181">
        <v>0</v>
      </c>
      <c r="M916" s="181">
        <v>2035371.6711839996</v>
      </c>
      <c r="N916" s="181">
        <v>56863.112079999999</v>
      </c>
      <c r="O916" s="181">
        <v>31790.904159999995</v>
      </c>
      <c r="P916" s="181">
        <v>27.431999999999999</v>
      </c>
      <c r="Q916" s="181">
        <v>0</v>
      </c>
      <c r="R916" s="181">
        <v>0</v>
      </c>
      <c r="S916" s="181">
        <v>0</v>
      </c>
      <c r="T916" s="181">
        <v>37.083999999999996</v>
      </c>
      <c r="U916" s="181">
        <v>0</v>
      </c>
      <c r="V916" s="181">
        <v>0</v>
      </c>
    </row>
    <row r="917" spans="1:22">
      <c r="A917" s="2" t="s">
        <v>1852</v>
      </c>
      <c r="B917" s="2" t="s">
        <v>1853</v>
      </c>
      <c r="C917" s="181">
        <v>21.280688000000001</v>
      </c>
      <c r="D917" s="181">
        <v>2716.1235999999999</v>
      </c>
      <c r="E917" s="181">
        <v>88.899999999999991</v>
      </c>
      <c r="F917" s="181">
        <v>0</v>
      </c>
      <c r="G917" s="181">
        <v>0</v>
      </c>
      <c r="H917" s="181">
        <v>0</v>
      </c>
      <c r="I917" s="181">
        <v>7.9375</v>
      </c>
      <c r="J917" s="181">
        <v>0</v>
      </c>
      <c r="K917" s="181">
        <v>0</v>
      </c>
      <c r="L917" s="181">
        <v>0</v>
      </c>
      <c r="M917" s="181">
        <v>2035371.6711839996</v>
      </c>
      <c r="N917" s="181">
        <v>56863.112079999999</v>
      </c>
      <c r="O917" s="181">
        <v>31790.904159999995</v>
      </c>
      <c r="P917" s="181">
        <v>27.431999999999999</v>
      </c>
      <c r="Q917" s="181">
        <v>0</v>
      </c>
      <c r="R917" s="181">
        <v>0</v>
      </c>
      <c r="S917" s="181">
        <v>0</v>
      </c>
      <c r="T917" s="181">
        <v>40.386000000000003</v>
      </c>
      <c r="U917" s="181">
        <v>0</v>
      </c>
      <c r="V917" s="181">
        <v>0</v>
      </c>
    </row>
    <row r="918" spans="1:22">
      <c r="A918" s="2" t="s">
        <v>1854</v>
      </c>
      <c r="B918" s="2" t="s">
        <v>1855</v>
      </c>
      <c r="C918" s="181">
        <v>21.280688000000001</v>
      </c>
      <c r="D918" s="181">
        <v>2716.1235999999999</v>
      </c>
      <c r="E918" s="181">
        <v>88.899999999999991</v>
      </c>
      <c r="F918" s="181">
        <v>0</v>
      </c>
      <c r="G918" s="181">
        <v>0</v>
      </c>
      <c r="H918" s="181">
        <v>0</v>
      </c>
      <c r="I918" s="181">
        <v>7.9375</v>
      </c>
      <c r="J918" s="181">
        <v>0</v>
      </c>
      <c r="K918" s="181">
        <v>0</v>
      </c>
      <c r="L918" s="181">
        <v>0</v>
      </c>
      <c r="M918" s="181">
        <v>2035371.6711839996</v>
      </c>
      <c r="N918" s="181">
        <v>56863.112079999999</v>
      </c>
      <c r="O918" s="181">
        <v>31790.904159999995</v>
      </c>
      <c r="P918" s="181">
        <v>27.431999999999999</v>
      </c>
      <c r="Q918" s="181">
        <v>0</v>
      </c>
      <c r="R918" s="181">
        <v>0</v>
      </c>
      <c r="S918" s="181">
        <v>0</v>
      </c>
      <c r="T918" s="181">
        <v>43.942</v>
      </c>
      <c r="U918" s="181">
        <v>0</v>
      </c>
      <c r="V918" s="181">
        <v>0</v>
      </c>
    </row>
    <row r="919" spans="1:22">
      <c r="A919" s="2" t="s">
        <v>1856</v>
      </c>
      <c r="B919" s="2" t="s">
        <v>1857</v>
      </c>
      <c r="C919" s="181">
        <v>17.262656</v>
      </c>
      <c r="D919" s="181">
        <v>2199.9956000000002</v>
      </c>
      <c r="E919" s="181">
        <v>88.899999999999991</v>
      </c>
      <c r="F919" s="181">
        <v>0</v>
      </c>
      <c r="G919" s="181">
        <v>0</v>
      </c>
      <c r="H919" s="181">
        <v>0</v>
      </c>
      <c r="I919" s="181">
        <v>6.35</v>
      </c>
      <c r="J919" s="181">
        <v>0</v>
      </c>
      <c r="K919" s="181">
        <v>0</v>
      </c>
      <c r="L919" s="181">
        <v>0</v>
      </c>
      <c r="M919" s="181">
        <v>1669088.0166559997</v>
      </c>
      <c r="N919" s="181">
        <v>46211.520479999992</v>
      </c>
      <c r="O919" s="181">
        <v>25727.690479999997</v>
      </c>
      <c r="P919" s="181">
        <v>27.686</v>
      </c>
      <c r="Q919" s="181">
        <v>0</v>
      </c>
      <c r="R919" s="181">
        <v>0</v>
      </c>
      <c r="S919" s="181">
        <v>0</v>
      </c>
      <c r="T919" s="181">
        <v>36.575999999999993</v>
      </c>
      <c r="U919" s="181">
        <v>0</v>
      </c>
      <c r="V919" s="181">
        <v>0</v>
      </c>
    </row>
    <row r="920" spans="1:22">
      <c r="A920" s="2" t="s">
        <v>1858</v>
      </c>
      <c r="B920" s="2" t="s">
        <v>1859</v>
      </c>
      <c r="C920" s="181">
        <v>17.262656</v>
      </c>
      <c r="D920" s="181">
        <v>2199.9956000000002</v>
      </c>
      <c r="E920" s="181">
        <v>88.899999999999991</v>
      </c>
      <c r="F920" s="181">
        <v>0</v>
      </c>
      <c r="G920" s="181">
        <v>0</v>
      </c>
      <c r="H920" s="181">
        <v>0</v>
      </c>
      <c r="I920" s="181">
        <v>6.35</v>
      </c>
      <c r="J920" s="181">
        <v>0</v>
      </c>
      <c r="K920" s="181">
        <v>0</v>
      </c>
      <c r="L920" s="181">
        <v>0</v>
      </c>
      <c r="M920" s="181">
        <v>1669088.0166559997</v>
      </c>
      <c r="N920" s="181">
        <v>46211.520479999992</v>
      </c>
      <c r="O920" s="181">
        <v>25727.690479999997</v>
      </c>
      <c r="P920" s="181">
        <v>27.686</v>
      </c>
      <c r="Q920" s="181">
        <v>0</v>
      </c>
      <c r="R920" s="181">
        <v>0</v>
      </c>
      <c r="S920" s="181">
        <v>0</v>
      </c>
      <c r="T920" s="181">
        <v>39.878</v>
      </c>
      <c r="U920" s="181">
        <v>0</v>
      </c>
      <c r="V920" s="181">
        <v>0</v>
      </c>
    </row>
    <row r="921" spans="1:22">
      <c r="A921" s="2" t="s">
        <v>1860</v>
      </c>
      <c r="B921" s="2" t="s">
        <v>1861</v>
      </c>
      <c r="C921" s="181">
        <v>17.262656</v>
      </c>
      <c r="D921" s="181">
        <v>2199.9956000000002</v>
      </c>
      <c r="E921" s="181">
        <v>88.899999999999991</v>
      </c>
      <c r="F921" s="181">
        <v>0</v>
      </c>
      <c r="G921" s="181">
        <v>0</v>
      </c>
      <c r="H921" s="181">
        <v>0</v>
      </c>
      <c r="I921" s="181">
        <v>6.35</v>
      </c>
      <c r="J921" s="181">
        <v>0</v>
      </c>
      <c r="K921" s="181">
        <v>0</v>
      </c>
      <c r="L921" s="181">
        <v>0</v>
      </c>
      <c r="M921" s="181">
        <v>1669088.0166559997</v>
      </c>
      <c r="N921" s="181">
        <v>46211.520479999992</v>
      </c>
      <c r="O921" s="181">
        <v>25727.690479999997</v>
      </c>
      <c r="P921" s="181">
        <v>27.686</v>
      </c>
      <c r="Q921" s="181">
        <v>0</v>
      </c>
      <c r="R921" s="181">
        <v>0</v>
      </c>
      <c r="S921" s="181">
        <v>0</v>
      </c>
      <c r="T921" s="181">
        <v>43.687999999999995</v>
      </c>
      <c r="U921" s="181">
        <v>0</v>
      </c>
      <c r="V921" s="181">
        <v>0</v>
      </c>
    </row>
    <row r="922" spans="1:22">
      <c r="A922" s="2" t="s">
        <v>1862</v>
      </c>
      <c r="B922" s="2" t="s">
        <v>1863</v>
      </c>
      <c r="C922" s="181">
        <v>27.828591999999997</v>
      </c>
      <c r="D922" s="181">
        <v>3548.3799999999997</v>
      </c>
      <c r="E922" s="181">
        <v>76.199999999999989</v>
      </c>
      <c r="F922" s="181">
        <v>0</v>
      </c>
      <c r="G922" s="181">
        <v>0</v>
      </c>
      <c r="H922" s="181">
        <v>0</v>
      </c>
      <c r="I922" s="181">
        <v>12.7</v>
      </c>
      <c r="J922" s="181">
        <v>0</v>
      </c>
      <c r="K922" s="181">
        <v>0</v>
      </c>
      <c r="L922" s="181">
        <v>0</v>
      </c>
      <c r="M922" s="181">
        <v>1835580.586896</v>
      </c>
      <c r="N922" s="181">
        <v>62762.455119999999</v>
      </c>
      <c r="O922" s="181">
        <v>34904.446319999995</v>
      </c>
      <c r="P922" s="181">
        <v>22.733000000000001</v>
      </c>
      <c r="Q922" s="181">
        <v>0</v>
      </c>
      <c r="R922" s="181">
        <v>0</v>
      </c>
      <c r="S922" s="181">
        <v>0</v>
      </c>
      <c r="T922" s="181">
        <v>32.765999999999998</v>
      </c>
      <c r="U922" s="181">
        <v>0</v>
      </c>
      <c r="V922" s="181">
        <v>0</v>
      </c>
    </row>
    <row r="923" spans="1:22">
      <c r="A923" s="2" t="s">
        <v>1864</v>
      </c>
      <c r="B923" s="2" t="s">
        <v>1865</v>
      </c>
      <c r="C923" s="181">
        <v>27.828591999999997</v>
      </c>
      <c r="D923" s="181">
        <v>3548.3799999999997</v>
      </c>
      <c r="E923" s="181">
        <v>76.199999999999989</v>
      </c>
      <c r="F923" s="181">
        <v>0</v>
      </c>
      <c r="G923" s="181">
        <v>0</v>
      </c>
      <c r="H923" s="181">
        <v>0</v>
      </c>
      <c r="I923" s="181">
        <v>12.7</v>
      </c>
      <c r="J923" s="181">
        <v>0</v>
      </c>
      <c r="K923" s="181">
        <v>0</v>
      </c>
      <c r="L923" s="181">
        <v>0</v>
      </c>
      <c r="M923" s="181">
        <v>1835580.586896</v>
      </c>
      <c r="N923" s="181">
        <v>62762.455119999999</v>
      </c>
      <c r="O923" s="181">
        <v>34904.446319999995</v>
      </c>
      <c r="P923" s="181">
        <v>22.733000000000001</v>
      </c>
      <c r="Q923" s="181">
        <v>0</v>
      </c>
      <c r="R923" s="181">
        <v>0</v>
      </c>
      <c r="S923" s="181">
        <v>0</v>
      </c>
      <c r="T923" s="181">
        <v>36.321999999999996</v>
      </c>
      <c r="U923" s="181">
        <v>0</v>
      </c>
      <c r="V923" s="181">
        <v>0</v>
      </c>
    </row>
    <row r="924" spans="1:22">
      <c r="A924" s="2" t="s">
        <v>1866</v>
      </c>
      <c r="B924" s="2" t="s">
        <v>1867</v>
      </c>
      <c r="C924" s="181">
        <v>27.828591999999997</v>
      </c>
      <c r="D924" s="181">
        <v>3548.3799999999997</v>
      </c>
      <c r="E924" s="181">
        <v>76.199999999999989</v>
      </c>
      <c r="F924" s="181">
        <v>0</v>
      </c>
      <c r="G924" s="181">
        <v>0</v>
      </c>
      <c r="H924" s="181">
        <v>0</v>
      </c>
      <c r="I924" s="181">
        <v>12.7</v>
      </c>
      <c r="J924" s="181">
        <v>0</v>
      </c>
      <c r="K924" s="181">
        <v>0</v>
      </c>
      <c r="L924" s="181">
        <v>0</v>
      </c>
      <c r="M924" s="181">
        <v>1835580.586896</v>
      </c>
      <c r="N924" s="181">
        <v>62762.455119999999</v>
      </c>
      <c r="O924" s="181">
        <v>34904.446319999995</v>
      </c>
      <c r="P924" s="181">
        <v>22.733000000000001</v>
      </c>
      <c r="Q924" s="181">
        <v>0</v>
      </c>
      <c r="R924" s="181">
        <v>0</v>
      </c>
      <c r="S924" s="181">
        <v>0</v>
      </c>
      <c r="T924" s="181">
        <v>40.131999999999998</v>
      </c>
      <c r="U924" s="181">
        <v>0</v>
      </c>
      <c r="V924" s="181">
        <v>0</v>
      </c>
    </row>
    <row r="925" spans="1:22">
      <c r="A925" s="2" t="s">
        <v>1868</v>
      </c>
      <c r="B925" s="2" t="s">
        <v>1869</v>
      </c>
      <c r="C925" s="181">
        <v>24.703455999999999</v>
      </c>
      <c r="D925" s="181">
        <v>3135.4776000000002</v>
      </c>
      <c r="E925" s="181">
        <v>76.199999999999989</v>
      </c>
      <c r="F925" s="181">
        <v>0</v>
      </c>
      <c r="G925" s="181">
        <v>0</v>
      </c>
      <c r="H925" s="181">
        <v>0</v>
      </c>
      <c r="I925" s="181">
        <v>11.112499999999999</v>
      </c>
      <c r="J925" s="181">
        <v>0</v>
      </c>
      <c r="K925" s="181">
        <v>0</v>
      </c>
      <c r="L925" s="181">
        <v>0</v>
      </c>
      <c r="M925" s="181">
        <v>1648276.4453759999</v>
      </c>
      <c r="N925" s="181">
        <v>55716.017599999992</v>
      </c>
      <c r="O925" s="181">
        <v>30971.550959999997</v>
      </c>
      <c r="P925" s="181">
        <v>22.936199999999999</v>
      </c>
      <c r="Q925" s="181">
        <v>0</v>
      </c>
      <c r="R925" s="181">
        <v>0</v>
      </c>
      <c r="S925" s="181">
        <v>0</v>
      </c>
      <c r="T925" s="181">
        <v>32.512</v>
      </c>
      <c r="U925" s="181">
        <v>0</v>
      </c>
      <c r="V925" s="181">
        <v>0</v>
      </c>
    </row>
    <row r="926" spans="1:22">
      <c r="A926" s="2" t="s">
        <v>1870</v>
      </c>
      <c r="B926" s="2" t="s">
        <v>1871</v>
      </c>
      <c r="C926" s="181">
        <v>24.703455999999999</v>
      </c>
      <c r="D926" s="181">
        <v>3135.4776000000002</v>
      </c>
      <c r="E926" s="181">
        <v>76.199999999999989</v>
      </c>
      <c r="F926" s="181">
        <v>0</v>
      </c>
      <c r="G926" s="181">
        <v>0</v>
      </c>
      <c r="H926" s="181">
        <v>0</v>
      </c>
      <c r="I926" s="181">
        <v>11.112499999999999</v>
      </c>
      <c r="J926" s="181">
        <v>0</v>
      </c>
      <c r="K926" s="181">
        <v>0</v>
      </c>
      <c r="L926" s="181">
        <v>0</v>
      </c>
      <c r="M926" s="181">
        <v>1648276.4453759999</v>
      </c>
      <c r="N926" s="181">
        <v>55716.017599999992</v>
      </c>
      <c r="O926" s="181">
        <v>30971.550959999997</v>
      </c>
      <c r="P926" s="181">
        <v>22.936199999999999</v>
      </c>
      <c r="Q926" s="181">
        <v>0</v>
      </c>
      <c r="R926" s="181">
        <v>0</v>
      </c>
      <c r="S926" s="181">
        <v>0</v>
      </c>
      <c r="T926" s="181">
        <v>36.067999999999998</v>
      </c>
      <c r="U926" s="181">
        <v>0</v>
      </c>
      <c r="V926" s="181">
        <v>0</v>
      </c>
    </row>
    <row r="927" spans="1:22">
      <c r="A927" s="2" t="s">
        <v>1872</v>
      </c>
      <c r="B927" s="2" t="s">
        <v>1873</v>
      </c>
      <c r="C927" s="181">
        <v>24.703455999999999</v>
      </c>
      <c r="D927" s="181">
        <v>3135.4776000000002</v>
      </c>
      <c r="E927" s="181">
        <v>76.199999999999989</v>
      </c>
      <c r="F927" s="181">
        <v>0</v>
      </c>
      <c r="G927" s="181">
        <v>0</v>
      </c>
      <c r="H927" s="181">
        <v>0</v>
      </c>
      <c r="I927" s="181">
        <v>11.112499999999999</v>
      </c>
      <c r="J927" s="181">
        <v>0</v>
      </c>
      <c r="K927" s="181">
        <v>0</v>
      </c>
      <c r="L927" s="181">
        <v>0</v>
      </c>
      <c r="M927" s="181">
        <v>1648276.4453759999</v>
      </c>
      <c r="N927" s="181">
        <v>55716.017599999992</v>
      </c>
      <c r="O927" s="181">
        <v>30971.550959999997</v>
      </c>
      <c r="P927" s="181">
        <v>22.936199999999999</v>
      </c>
      <c r="Q927" s="181">
        <v>0</v>
      </c>
      <c r="R927" s="181">
        <v>0</v>
      </c>
      <c r="S927" s="181">
        <v>0</v>
      </c>
      <c r="T927" s="181">
        <v>39.878</v>
      </c>
      <c r="U927" s="181">
        <v>0</v>
      </c>
      <c r="V927" s="181">
        <v>0</v>
      </c>
    </row>
    <row r="928" spans="1:22">
      <c r="A928" s="2" t="s">
        <v>1874</v>
      </c>
      <c r="B928" s="2" t="s">
        <v>1875</v>
      </c>
      <c r="C928" s="181">
        <v>21.280688000000001</v>
      </c>
      <c r="D928" s="181">
        <v>2722.5751999999998</v>
      </c>
      <c r="E928" s="181">
        <v>76.199999999999989</v>
      </c>
      <c r="F928" s="181">
        <v>0</v>
      </c>
      <c r="G928" s="181">
        <v>0</v>
      </c>
      <c r="H928" s="181">
        <v>0</v>
      </c>
      <c r="I928" s="181">
        <v>9.5249999999999986</v>
      </c>
      <c r="J928" s="181">
        <v>0</v>
      </c>
      <c r="K928" s="181">
        <v>0</v>
      </c>
      <c r="L928" s="181">
        <v>0</v>
      </c>
      <c r="M928" s="181">
        <v>1452647.6753439999</v>
      </c>
      <c r="N928" s="181">
        <v>48669.58008</v>
      </c>
      <c r="O928" s="181">
        <v>27038.655599999995</v>
      </c>
      <c r="P928" s="181">
        <v>23.114000000000001</v>
      </c>
      <c r="Q928" s="181">
        <v>0</v>
      </c>
      <c r="R928" s="181">
        <v>0</v>
      </c>
      <c r="S928" s="181">
        <v>0</v>
      </c>
      <c r="T928" s="181">
        <v>32.257999999999996</v>
      </c>
      <c r="U928" s="181">
        <v>0</v>
      </c>
      <c r="V928" s="181">
        <v>0</v>
      </c>
    </row>
    <row r="929" spans="1:22">
      <c r="A929" s="2" t="s">
        <v>1876</v>
      </c>
      <c r="B929" s="2" t="s">
        <v>1877</v>
      </c>
      <c r="C929" s="181">
        <v>21.280688000000001</v>
      </c>
      <c r="D929" s="181">
        <v>2722.5751999999998</v>
      </c>
      <c r="E929" s="181">
        <v>76.199999999999989</v>
      </c>
      <c r="F929" s="181">
        <v>0</v>
      </c>
      <c r="G929" s="181">
        <v>0</v>
      </c>
      <c r="H929" s="181">
        <v>0</v>
      </c>
      <c r="I929" s="181">
        <v>9.5249999999999986</v>
      </c>
      <c r="J929" s="181">
        <v>0</v>
      </c>
      <c r="K929" s="181">
        <v>0</v>
      </c>
      <c r="L929" s="181">
        <v>0</v>
      </c>
      <c r="M929" s="181">
        <v>1452647.6753439999</v>
      </c>
      <c r="N929" s="181">
        <v>48669.58008</v>
      </c>
      <c r="O929" s="181">
        <v>27038.655599999995</v>
      </c>
      <c r="P929" s="181">
        <v>23.114000000000001</v>
      </c>
      <c r="Q929" s="181">
        <v>0</v>
      </c>
      <c r="R929" s="181">
        <v>0</v>
      </c>
      <c r="S929" s="181">
        <v>0</v>
      </c>
      <c r="T929" s="181">
        <v>35.813999999999993</v>
      </c>
      <c r="U929" s="181">
        <v>0</v>
      </c>
      <c r="V929" s="181">
        <v>0</v>
      </c>
    </row>
    <row r="930" spans="1:22">
      <c r="A930" s="2" t="s">
        <v>1878</v>
      </c>
      <c r="B930" s="2" t="s">
        <v>1879</v>
      </c>
      <c r="C930" s="181">
        <v>21.280688000000001</v>
      </c>
      <c r="D930" s="181">
        <v>2722.5751999999998</v>
      </c>
      <c r="E930" s="181">
        <v>76.199999999999989</v>
      </c>
      <c r="F930" s="181">
        <v>0</v>
      </c>
      <c r="G930" s="181">
        <v>0</v>
      </c>
      <c r="H930" s="181">
        <v>0</v>
      </c>
      <c r="I930" s="181">
        <v>9.5249999999999986</v>
      </c>
      <c r="J930" s="181">
        <v>0</v>
      </c>
      <c r="K930" s="181">
        <v>0</v>
      </c>
      <c r="L930" s="181">
        <v>0</v>
      </c>
      <c r="M930" s="181">
        <v>1452647.6753439999</v>
      </c>
      <c r="N930" s="181">
        <v>48669.58008</v>
      </c>
      <c r="O930" s="181">
        <v>27038.655599999995</v>
      </c>
      <c r="P930" s="181">
        <v>23.114000000000001</v>
      </c>
      <c r="Q930" s="181">
        <v>0</v>
      </c>
      <c r="R930" s="181">
        <v>0</v>
      </c>
      <c r="S930" s="181">
        <v>0</v>
      </c>
      <c r="T930" s="181">
        <v>39.369999999999997</v>
      </c>
      <c r="U930" s="181">
        <v>0</v>
      </c>
      <c r="V930" s="181">
        <v>0</v>
      </c>
    </row>
    <row r="931" spans="1:22">
      <c r="A931" s="2" t="s">
        <v>1880</v>
      </c>
      <c r="B931" s="2" t="s">
        <v>1881</v>
      </c>
      <c r="C931" s="181">
        <v>18.006736</v>
      </c>
      <c r="D931" s="181">
        <v>2290.3179999999998</v>
      </c>
      <c r="E931" s="181">
        <v>76.199999999999989</v>
      </c>
      <c r="F931" s="181">
        <v>0</v>
      </c>
      <c r="G931" s="181">
        <v>0</v>
      </c>
      <c r="H931" s="181">
        <v>0</v>
      </c>
      <c r="I931" s="181">
        <v>7.9375</v>
      </c>
      <c r="J931" s="181">
        <v>0</v>
      </c>
      <c r="K931" s="181">
        <v>0</v>
      </c>
      <c r="L931" s="181">
        <v>0</v>
      </c>
      <c r="M931" s="181">
        <v>1244531.962544</v>
      </c>
      <c r="N931" s="181">
        <v>41131.53063999999</v>
      </c>
      <c r="O931" s="181">
        <v>22941.889599999995</v>
      </c>
      <c r="P931" s="181">
        <v>23.3172</v>
      </c>
      <c r="Q931" s="181">
        <v>0</v>
      </c>
      <c r="R931" s="181">
        <v>0</v>
      </c>
      <c r="S931" s="181">
        <v>0</v>
      </c>
      <c r="T931" s="181">
        <v>32.003999999999998</v>
      </c>
      <c r="U931" s="181">
        <v>0</v>
      </c>
      <c r="V931" s="181">
        <v>0</v>
      </c>
    </row>
    <row r="932" spans="1:22">
      <c r="A932" s="2" t="s">
        <v>1882</v>
      </c>
      <c r="B932" s="2" t="s">
        <v>1883</v>
      </c>
      <c r="C932" s="181">
        <v>18.006736</v>
      </c>
      <c r="D932" s="181">
        <v>2290.3179999999998</v>
      </c>
      <c r="E932" s="181">
        <v>76.199999999999989</v>
      </c>
      <c r="F932" s="181">
        <v>0</v>
      </c>
      <c r="G932" s="181">
        <v>0</v>
      </c>
      <c r="H932" s="181">
        <v>0</v>
      </c>
      <c r="I932" s="181">
        <v>7.9375</v>
      </c>
      <c r="J932" s="181">
        <v>0</v>
      </c>
      <c r="K932" s="181">
        <v>0</v>
      </c>
      <c r="L932" s="181">
        <v>0</v>
      </c>
      <c r="M932" s="181">
        <v>1244531.962544</v>
      </c>
      <c r="N932" s="181">
        <v>41131.53063999999</v>
      </c>
      <c r="O932" s="181">
        <v>22941.889599999995</v>
      </c>
      <c r="P932" s="181">
        <v>23.3172</v>
      </c>
      <c r="Q932" s="181">
        <v>0</v>
      </c>
      <c r="R932" s="181">
        <v>0</v>
      </c>
      <c r="S932" s="181">
        <v>0</v>
      </c>
      <c r="T932" s="181">
        <v>35.305999999999997</v>
      </c>
      <c r="U932" s="181">
        <v>0</v>
      </c>
      <c r="V932" s="181">
        <v>0</v>
      </c>
    </row>
    <row r="933" spans="1:22">
      <c r="A933" s="2" t="s">
        <v>1884</v>
      </c>
      <c r="B933" s="2" t="s">
        <v>1885</v>
      </c>
      <c r="C933" s="181">
        <v>18.006736</v>
      </c>
      <c r="D933" s="181">
        <v>2290.3179999999998</v>
      </c>
      <c r="E933" s="181">
        <v>76.199999999999989</v>
      </c>
      <c r="F933" s="181">
        <v>0</v>
      </c>
      <c r="G933" s="181">
        <v>0</v>
      </c>
      <c r="H933" s="181">
        <v>0</v>
      </c>
      <c r="I933" s="181">
        <v>7.9375</v>
      </c>
      <c r="J933" s="181">
        <v>0</v>
      </c>
      <c r="K933" s="181">
        <v>0</v>
      </c>
      <c r="L933" s="181">
        <v>0</v>
      </c>
      <c r="M933" s="181">
        <v>1244531.962544</v>
      </c>
      <c r="N933" s="181">
        <v>41131.53063999999</v>
      </c>
      <c r="O933" s="181">
        <v>22941.889599999995</v>
      </c>
      <c r="P933" s="181">
        <v>23.3172</v>
      </c>
      <c r="Q933" s="181">
        <v>0</v>
      </c>
      <c r="R933" s="181">
        <v>0</v>
      </c>
      <c r="S933" s="181">
        <v>0</v>
      </c>
      <c r="T933" s="181">
        <v>39.116</v>
      </c>
      <c r="U933" s="181">
        <v>0</v>
      </c>
      <c r="V933" s="181">
        <v>0</v>
      </c>
    </row>
    <row r="934" spans="1:22">
      <c r="A934" s="2" t="s">
        <v>1886</v>
      </c>
      <c r="B934" s="2" t="s">
        <v>1887</v>
      </c>
      <c r="C934" s="181">
        <v>14.539323199999998</v>
      </c>
      <c r="D934" s="181">
        <v>1851.6091999999999</v>
      </c>
      <c r="E934" s="181">
        <v>76.199999999999989</v>
      </c>
      <c r="F934" s="181">
        <v>0</v>
      </c>
      <c r="G934" s="181">
        <v>0</v>
      </c>
      <c r="H934" s="181">
        <v>0</v>
      </c>
      <c r="I934" s="181">
        <v>6.35</v>
      </c>
      <c r="J934" s="181">
        <v>0</v>
      </c>
      <c r="K934" s="181">
        <v>0</v>
      </c>
      <c r="L934" s="181">
        <v>0</v>
      </c>
      <c r="M934" s="181">
        <v>1023929.3069759998</v>
      </c>
      <c r="N934" s="181">
        <v>33429.610560000001</v>
      </c>
      <c r="O934" s="181">
        <v>18681.252959999998</v>
      </c>
      <c r="P934" s="181">
        <v>23.520399999999999</v>
      </c>
      <c r="Q934" s="181">
        <v>0</v>
      </c>
      <c r="R934" s="181">
        <v>0</v>
      </c>
      <c r="S934" s="181">
        <v>0</v>
      </c>
      <c r="T934" s="181">
        <v>31.75</v>
      </c>
      <c r="U934" s="181">
        <v>0</v>
      </c>
      <c r="V934" s="181">
        <v>0</v>
      </c>
    </row>
    <row r="935" spans="1:22">
      <c r="A935" s="2" t="s">
        <v>1888</v>
      </c>
      <c r="B935" s="2" t="s">
        <v>1889</v>
      </c>
      <c r="C935" s="181">
        <v>14.539323199999998</v>
      </c>
      <c r="D935" s="181">
        <v>1851.6091999999999</v>
      </c>
      <c r="E935" s="181">
        <v>76.199999999999989</v>
      </c>
      <c r="F935" s="181">
        <v>0</v>
      </c>
      <c r="G935" s="181">
        <v>0</v>
      </c>
      <c r="H935" s="181">
        <v>0</v>
      </c>
      <c r="I935" s="181">
        <v>6.35</v>
      </c>
      <c r="J935" s="181">
        <v>0</v>
      </c>
      <c r="K935" s="181">
        <v>0</v>
      </c>
      <c r="L935" s="181">
        <v>0</v>
      </c>
      <c r="M935" s="181">
        <v>1023929.3069759998</v>
      </c>
      <c r="N935" s="181">
        <v>33429.610560000001</v>
      </c>
      <c r="O935" s="181">
        <v>18681.252959999998</v>
      </c>
      <c r="P935" s="181">
        <v>23.520399999999999</v>
      </c>
      <c r="Q935" s="181">
        <v>0</v>
      </c>
      <c r="R935" s="181">
        <v>0</v>
      </c>
      <c r="S935" s="181">
        <v>0</v>
      </c>
      <c r="T935" s="181">
        <v>35.051999999999992</v>
      </c>
      <c r="U935" s="181">
        <v>0</v>
      </c>
      <c r="V935" s="181">
        <v>0</v>
      </c>
    </row>
    <row r="936" spans="1:22">
      <c r="A936" s="2" t="s">
        <v>1890</v>
      </c>
      <c r="B936" s="2" t="s">
        <v>1891</v>
      </c>
      <c r="C936" s="181">
        <v>14.539323199999998</v>
      </c>
      <c r="D936" s="181">
        <v>1851.6091999999999</v>
      </c>
      <c r="E936" s="181">
        <v>76.199999999999989</v>
      </c>
      <c r="F936" s="181">
        <v>0</v>
      </c>
      <c r="G936" s="181">
        <v>0</v>
      </c>
      <c r="H936" s="181">
        <v>0</v>
      </c>
      <c r="I936" s="181">
        <v>6.35</v>
      </c>
      <c r="J936" s="181">
        <v>0</v>
      </c>
      <c r="K936" s="181">
        <v>0</v>
      </c>
      <c r="L936" s="181">
        <v>0</v>
      </c>
      <c r="M936" s="181">
        <v>1023929.3069759998</v>
      </c>
      <c r="N936" s="181">
        <v>33429.610560000001</v>
      </c>
      <c r="O936" s="181">
        <v>18681.252959999998</v>
      </c>
      <c r="P936" s="181">
        <v>23.520399999999999</v>
      </c>
      <c r="Q936" s="181">
        <v>0</v>
      </c>
      <c r="R936" s="181">
        <v>0</v>
      </c>
      <c r="S936" s="181">
        <v>0</v>
      </c>
      <c r="T936" s="181">
        <v>38.607999999999997</v>
      </c>
      <c r="U936" s="181">
        <v>0</v>
      </c>
      <c r="V936" s="181">
        <v>0</v>
      </c>
    </row>
    <row r="937" spans="1:22">
      <c r="A937" s="2" t="s">
        <v>1892</v>
      </c>
      <c r="B937" s="2" t="s">
        <v>1893</v>
      </c>
      <c r="C937" s="181">
        <v>11.0272656</v>
      </c>
      <c r="D937" s="181">
        <v>1406.4488000000001</v>
      </c>
      <c r="E937" s="181">
        <v>76.199999999999989</v>
      </c>
      <c r="F937" s="181">
        <v>0</v>
      </c>
      <c r="G937" s="181">
        <v>0</v>
      </c>
      <c r="H937" s="181">
        <v>0</v>
      </c>
      <c r="I937" s="181">
        <v>4.7624999999999993</v>
      </c>
      <c r="J937" s="181">
        <v>0</v>
      </c>
      <c r="K937" s="181">
        <v>0</v>
      </c>
      <c r="L937" s="181">
        <v>0</v>
      </c>
      <c r="M937" s="181">
        <v>790839.70863999985</v>
      </c>
      <c r="N937" s="181">
        <v>25399.949199999999</v>
      </c>
      <c r="O937" s="181">
        <v>14207.584487999999</v>
      </c>
      <c r="P937" s="181">
        <v>23.6982</v>
      </c>
      <c r="Q937" s="181">
        <v>0</v>
      </c>
      <c r="R937" s="181">
        <v>0</v>
      </c>
      <c r="S937" s="181">
        <v>0</v>
      </c>
      <c r="T937" s="181">
        <v>31.495999999999999</v>
      </c>
      <c r="U937" s="181">
        <v>0</v>
      </c>
      <c r="V937" s="181">
        <v>0</v>
      </c>
    </row>
    <row r="938" spans="1:22">
      <c r="A938" s="2" t="s">
        <v>1894</v>
      </c>
      <c r="B938" s="2" t="s">
        <v>1895</v>
      </c>
      <c r="C938" s="181">
        <v>11.0272656</v>
      </c>
      <c r="D938" s="181">
        <v>1406.4488000000001</v>
      </c>
      <c r="E938" s="181">
        <v>76.199999999999989</v>
      </c>
      <c r="F938" s="181">
        <v>0</v>
      </c>
      <c r="G938" s="181">
        <v>0</v>
      </c>
      <c r="H938" s="181">
        <v>0</v>
      </c>
      <c r="I938" s="181">
        <v>4.7624999999999993</v>
      </c>
      <c r="J938" s="181">
        <v>0</v>
      </c>
      <c r="K938" s="181">
        <v>0</v>
      </c>
      <c r="L938" s="181">
        <v>0</v>
      </c>
      <c r="M938" s="181">
        <v>790839.70863999985</v>
      </c>
      <c r="N938" s="181">
        <v>25399.949199999999</v>
      </c>
      <c r="O938" s="181">
        <v>14207.584487999999</v>
      </c>
      <c r="P938" s="181">
        <v>23.6982</v>
      </c>
      <c r="Q938" s="181">
        <v>0</v>
      </c>
      <c r="R938" s="181">
        <v>0</v>
      </c>
      <c r="S938" s="181">
        <v>0</v>
      </c>
      <c r="T938" s="181">
        <v>34.798000000000002</v>
      </c>
      <c r="U938" s="181">
        <v>0</v>
      </c>
      <c r="V938" s="181">
        <v>0</v>
      </c>
    </row>
    <row r="939" spans="1:22">
      <c r="A939" s="2" t="s">
        <v>1896</v>
      </c>
      <c r="B939" s="2" t="s">
        <v>1897</v>
      </c>
      <c r="C939" s="181">
        <v>11.0272656</v>
      </c>
      <c r="D939" s="181">
        <v>1406.4488000000001</v>
      </c>
      <c r="E939" s="181">
        <v>76.199999999999989</v>
      </c>
      <c r="F939" s="181">
        <v>0</v>
      </c>
      <c r="G939" s="181">
        <v>0</v>
      </c>
      <c r="H939" s="181">
        <v>0</v>
      </c>
      <c r="I939" s="181">
        <v>4.7624999999999993</v>
      </c>
      <c r="J939" s="181">
        <v>0</v>
      </c>
      <c r="K939" s="181">
        <v>0</v>
      </c>
      <c r="L939" s="181">
        <v>0</v>
      </c>
      <c r="M939" s="181">
        <v>790839.70863999985</v>
      </c>
      <c r="N939" s="181">
        <v>25399.949199999999</v>
      </c>
      <c r="O939" s="181">
        <v>14207.584487999999</v>
      </c>
      <c r="P939" s="181">
        <v>23.6982</v>
      </c>
      <c r="Q939" s="181">
        <v>0</v>
      </c>
      <c r="R939" s="181">
        <v>0</v>
      </c>
      <c r="S939" s="181">
        <v>0</v>
      </c>
      <c r="T939" s="181">
        <v>38.353999999999999</v>
      </c>
      <c r="U939" s="181">
        <v>0</v>
      </c>
      <c r="V939" s="181">
        <v>0</v>
      </c>
    </row>
    <row r="940" spans="1:22">
      <c r="A940" s="2" t="s">
        <v>1898</v>
      </c>
      <c r="B940" s="2" t="s">
        <v>1899</v>
      </c>
      <c r="C940" s="181">
        <v>22.768847999999998</v>
      </c>
      <c r="D940" s="181">
        <v>2903.22</v>
      </c>
      <c r="E940" s="181">
        <v>63.5</v>
      </c>
      <c r="F940" s="181">
        <v>0</v>
      </c>
      <c r="G940" s="181">
        <v>0</v>
      </c>
      <c r="H940" s="181">
        <v>0</v>
      </c>
      <c r="I940" s="181">
        <v>12.7</v>
      </c>
      <c r="J940" s="181">
        <v>0</v>
      </c>
      <c r="K940" s="181">
        <v>0</v>
      </c>
      <c r="L940" s="181">
        <v>0</v>
      </c>
      <c r="M940" s="181">
        <v>1011442.364208</v>
      </c>
      <c r="N940" s="181">
        <v>42442.495759999991</v>
      </c>
      <c r="O940" s="181">
        <v>23433.501519999998</v>
      </c>
      <c r="P940" s="181">
        <v>18.668999999999997</v>
      </c>
      <c r="Q940" s="181">
        <v>0</v>
      </c>
      <c r="R940" s="181">
        <v>0</v>
      </c>
      <c r="S940" s="181">
        <v>0</v>
      </c>
      <c r="T940" s="181">
        <v>27.686</v>
      </c>
      <c r="U940" s="181">
        <v>0</v>
      </c>
      <c r="V940" s="181">
        <v>0</v>
      </c>
    </row>
    <row r="941" spans="1:22">
      <c r="A941" s="2" t="s">
        <v>1900</v>
      </c>
      <c r="B941" s="2" t="s">
        <v>1901</v>
      </c>
      <c r="C941" s="181">
        <v>22.768847999999998</v>
      </c>
      <c r="D941" s="181">
        <v>2903.22</v>
      </c>
      <c r="E941" s="181">
        <v>63.5</v>
      </c>
      <c r="F941" s="181">
        <v>0</v>
      </c>
      <c r="G941" s="181">
        <v>0</v>
      </c>
      <c r="H941" s="181">
        <v>0</v>
      </c>
      <c r="I941" s="181">
        <v>12.7</v>
      </c>
      <c r="J941" s="181">
        <v>0</v>
      </c>
      <c r="K941" s="181">
        <v>0</v>
      </c>
      <c r="L941" s="181">
        <v>0</v>
      </c>
      <c r="M941" s="181">
        <v>1011442.364208</v>
      </c>
      <c r="N941" s="181">
        <v>42442.495759999991</v>
      </c>
      <c r="O941" s="181">
        <v>23433.501519999998</v>
      </c>
      <c r="P941" s="181">
        <v>18.668999999999997</v>
      </c>
      <c r="Q941" s="181">
        <v>0</v>
      </c>
      <c r="R941" s="181">
        <v>0</v>
      </c>
      <c r="S941" s="181">
        <v>0</v>
      </c>
      <c r="T941" s="181">
        <v>31.241999999999997</v>
      </c>
      <c r="U941" s="181">
        <v>0</v>
      </c>
      <c r="V941" s="181">
        <v>0</v>
      </c>
    </row>
    <row r="942" spans="1:22">
      <c r="A942" s="2" t="s">
        <v>1902</v>
      </c>
      <c r="B942" s="2" t="s">
        <v>1903</v>
      </c>
      <c r="C942" s="181">
        <v>22.768847999999998</v>
      </c>
      <c r="D942" s="181">
        <v>2903.22</v>
      </c>
      <c r="E942" s="181">
        <v>63.5</v>
      </c>
      <c r="F942" s="181">
        <v>0</v>
      </c>
      <c r="G942" s="181">
        <v>0</v>
      </c>
      <c r="H942" s="181">
        <v>0</v>
      </c>
      <c r="I942" s="181">
        <v>12.7</v>
      </c>
      <c r="J942" s="181">
        <v>0</v>
      </c>
      <c r="K942" s="181">
        <v>0</v>
      </c>
      <c r="L942" s="181">
        <v>0</v>
      </c>
      <c r="M942" s="181">
        <v>1011442.364208</v>
      </c>
      <c r="N942" s="181">
        <v>42442.495759999991</v>
      </c>
      <c r="O942" s="181">
        <v>23433.501519999998</v>
      </c>
      <c r="P942" s="181">
        <v>18.668999999999997</v>
      </c>
      <c r="Q942" s="181">
        <v>0</v>
      </c>
      <c r="R942" s="181">
        <v>0</v>
      </c>
      <c r="S942" s="181">
        <v>0</v>
      </c>
      <c r="T942" s="181">
        <v>35.305999999999997</v>
      </c>
      <c r="U942" s="181">
        <v>0</v>
      </c>
      <c r="V942" s="181">
        <v>0</v>
      </c>
    </row>
    <row r="943" spans="1:22">
      <c r="A943" s="2" t="s">
        <v>1904</v>
      </c>
      <c r="B943" s="2" t="s">
        <v>1905</v>
      </c>
      <c r="C943" s="181">
        <v>17.560288</v>
      </c>
      <c r="D943" s="181">
        <v>2238.7051999999999</v>
      </c>
      <c r="E943" s="181">
        <v>63.5</v>
      </c>
      <c r="F943" s="181">
        <v>0</v>
      </c>
      <c r="G943" s="181">
        <v>0</v>
      </c>
      <c r="H943" s="181">
        <v>0</v>
      </c>
      <c r="I943" s="181">
        <v>9.5249999999999986</v>
      </c>
      <c r="J943" s="181">
        <v>0</v>
      </c>
      <c r="K943" s="181">
        <v>0</v>
      </c>
      <c r="L943" s="181">
        <v>0</v>
      </c>
      <c r="M943" s="181">
        <v>807488.9656639999</v>
      </c>
      <c r="N943" s="181">
        <v>32937.998639999991</v>
      </c>
      <c r="O943" s="181">
        <v>18353.51168</v>
      </c>
      <c r="P943" s="181">
        <v>19.0246</v>
      </c>
      <c r="Q943" s="181">
        <v>0</v>
      </c>
      <c r="R943" s="181">
        <v>0</v>
      </c>
      <c r="S943" s="181">
        <v>0</v>
      </c>
      <c r="T943" s="181">
        <v>27.178000000000001</v>
      </c>
      <c r="U943" s="181">
        <v>0</v>
      </c>
      <c r="V943" s="181">
        <v>0</v>
      </c>
    </row>
    <row r="944" spans="1:22">
      <c r="A944" s="2" t="s">
        <v>1906</v>
      </c>
      <c r="B944" s="2" t="s">
        <v>1907</v>
      </c>
      <c r="C944" s="181">
        <v>17.560288</v>
      </c>
      <c r="D944" s="181">
        <v>2238.7051999999999</v>
      </c>
      <c r="E944" s="181">
        <v>63.5</v>
      </c>
      <c r="F944" s="181">
        <v>0</v>
      </c>
      <c r="G944" s="181">
        <v>0</v>
      </c>
      <c r="H944" s="181">
        <v>0</v>
      </c>
      <c r="I944" s="181">
        <v>9.5249999999999986</v>
      </c>
      <c r="J944" s="181">
        <v>0</v>
      </c>
      <c r="K944" s="181">
        <v>0</v>
      </c>
      <c r="L944" s="181">
        <v>0</v>
      </c>
      <c r="M944" s="181">
        <v>807488.9656639999</v>
      </c>
      <c r="N944" s="181">
        <v>32937.998639999991</v>
      </c>
      <c r="O944" s="181">
        <v>18353.51168</v>
      </c>
      <c r="P944" s="181">
        <v>19.0246</v>
      </c>
      <c r="Q944" s="181">
        <v>0</v>
      </c>
      <c r="R944" s="181">
        <v>0</v>
      </c>
      <c r="S944" s="181">
        <v>0</v>
      </c>
      <c r="T944" s="181">
        <v>30.733999999999998</v>
      </c>
      <c r="U944" s="181">
        <v>0</v>
      </c>
      <c r="V944" s="181">
        <v>0</v>
      </c>
    </row>
    <row r="945" spans="1:22">
      <c r="A945" s="2" t="s">
        <v>1908</v>
      </c>
      <c r="B945" s="2" t="s">
        <v>1909</v>
      </c>
      <c r="C945" s="181">
        <v>17.560288</v>
      </c>
      <c r="D945" s="181">
        <v>2238.7051999999999</v>
      </c>
      <c r="E945" s="181">
        <v>63.5</v>
      </c>
      <c r="F945" s="181">
        <v>0</v>
      </c>
      <c r="G945" s="181">
        <v>0</v>
      </c>
      <c r="H945" s="181">
        <v>0</v>
      </c>
      <c r="I945" s="181">
        <v>9.5249999999999986</v>
      </c>
      <c r="J945" s="181">
        <v>0</v>
      </c>
      <c r="K945" s="181">
        <v>0</v>
      </c>
      <c r="L945" s="181">
        <v>0</v>
      </c>
      <c r="M945" s="181">
        <v>807488.9656639999</v>
      </c>
      <c r="N945" s="181">
        <v>32937.998639999991</v>
      </c>
      <c r="O945" s="181">
        <v>18353.51168</v>
      </c>
      <c r="P945" s="181">
        <v>19.0246</v>
      </c>
      <c r="Q945" s="181">
        <v>0</v>
      </c>
      <c r="R945" s="181">
        <v>0</v>
      </c>
      <c r="S945" s="181">
        <v>0</v>
      </c>
      <c r="T945" s="181">
        <v>34.544000000000004</v>
      </c>
      <c r="U945" s="181">
        <v>0</v>
      </c>
      <c r="V945" s="181">
        <v>0</v>
      </c>
    </row>
    <row r="946" spans="1:22">
      <c r="A946" s="2" t="s">
        <v>1910</v>
      </c>
      <c r="B946" s="2" t="s">
        <v>1911</v>
      </c>
      <c r="C946" s="181">
        <v>14.822073600000001</v>
      </c>
      <c r="D946" s="181">
        <v>1890.3188</v>
      </c>
      <c r="E946" s="181">
        <v>63.5</v>
      </c>
      <c r="F946" s="181">
        <v>0</v>
      </c>
      <c r="G946" s="181">
        <v>0</v>
      </c>
      <c r="H946" s="181">
        <v>0</v>
      </c>
      <c r="I946" s="181">
        <v>7.9375</v>
      </c>
      <c r="J946" s="181">
        <v>0</v>
      </c>
      <c r="K946" s="181">
        <v>0</v>
      </c>
      <c r="L946" s="181">
        <v>0</v>
      </c>
      <c r="M946" s="181">
        <v>695106.48075199989</v>
      </c>
      <c r="N946" s="181">
        <v>28021.879439999997</v>
      </c>
      <c r="O946" s="181">
        <v>15551.323736</v>
      </c>
      <c r="P946" s="181">
        <v>19.202400000000001</v>
      </c>
      <c r="Q946" s="181">
        <v>0</v>
      </c>
      <c r="R946" s="181">
        <v>0</v>
      </c>
      <c r="S946" s="181">
        <v>0</v>
      </c>
      <c r="T946" s="181">
        <v>26.669999999999998</v>
      </c>
      <c r="U946" s="181">
        <v>0</v>
      </c>
      <c r="V946" s="181">
        <v>0</v>
      </c>
    </row>
    <row r="947" spans="1:22">
      <c r="A947" s="2" t="s">
        <v>1912</v>
      </c>
      <c r="B947" s="2" t="s">
        <v>1913</v>
      </c>
      <c r="C947" s="181">
        <v>14.822073600000001</v>
      </c>
      <c r="D947" s="181">
        <v>1890.3188</v>
      </c>
      <c r="E947" s="181">
        <v>63.5</v>
      </c>
      <c r="F947" s="181">
        <v>0</v>
      </c>
      <c r="G947" s="181">
        <v>0</v>
      </c>
      <c r="H947" s="181">
        <v>0</v>
      </c>
      <c r="I947" s="181">
        <v>7.9375</v>
      </c>
      <c r="J947" s="181">
        <v>0</v>
      </c>
      <c r="K947" s="181">
        <v>0</v>
      </c>
      <c r="L947" s="181">
        <v>0</v>
      </c>
      <c r="M947" s="181">
        <v>695106.48075199989</v>
      </c>
      <c r="N947" s="181">
        <v>28021.879439999997</v>
      </c>
      <c r="O947" s="181">
        <v>15551.323736</v>
      </c>
      <c r="P947" s="181">
        <v>19.202400000000001</v>
      </c>
      <c r="Q947" s="181">
        <v>0</v>
      </c>
      <c r="R947" s="181">
        <v>0</v>
      </c>
      <c r="S947" s="181">
        <v>0</v>
      </c>
      <c r="T947" s="181">
        <v>30.225999999999996</v>
      </c>
      <c r="U947" s="181">
        <v>0</v>
      </c>
      <c r="V947" s="181">
        <v>0</v>
      </c>
    </row>
    <row r="948" spans="1:22">
      <c r="A948" s="2" t="s">
        <v>1914</v>
      </c>
      <c r="B948" s="2" t="s">
        <v>1915</v>
      </c>
      <c r="C948" s="181">
        <v>14.822073600000001</v>
      </c>
      <c r="D948" s="181">
        <v>1890.3188</v>
      </c>
      <c r="E948" s="181">
        <v>63.5</v>
      </c>
      <c r="F948" s="181">
        <v>0</v>
      </c>
      <c r="G948" s="181">
        <v>0</v>
      </c>
      <c r="H948" s="181">
        <v>0</v>
      </c>
      <c r="I948" s="181">
        <v>7.9375</v>
      </c>
      <c r="J948" s="181">
        <v>0</v>
      </c>
      <c r="K948" s="181">
        <v>0</v>
      </c>
      <c r="L948" s="181">
        <v>0</v>
      </c>
      <c r="M948" s="181">
        <v>695106.48075199989</v>
      </c>
      <c r="N948" s="181">
        <v>28021.879439999997</v>
      </c>
      <c r="O948" s="181">
        <v>15551.323736</v>
      </c>
      <c r="P948" s="181">
        <v>19.202400000000001</v>
      </c>
      <c r="Q948" s="181">
        <v>0</v>
      </c>
      <c r="R948" s="181">
        <v>0</v>
      </c>
      <c r="S948" s="181">
        <v>0</v>
      </c>
      <c r="T948" s="181">
        <v>34.036000000000001</v>
      </c>
      <c r="U948" s="181">
        <v>0</v>
      </c>
      <c r="V948" s="181">
        <v>0</v>
      </c>
    </row>
    <row r="949" spans="1:22">
      <c r="A949" s="2" t="s">
        <v>1916</v>
      </c>
      <c r="B949" s="2" t="s">
        <v>1917</v>
      </c>
      <c r="C949" s="181">
        <v>12.009451199999999</v>
      </c>
      <c r="D949" s="181">
        <v>1529.0291999999999</v>
      </c>
      <c r="E949" s="181">
        <v>63.5</v>
      </c>
      <c r="F949" s="181">
        <v>0</v>
      </c>
      <c r="G949" s="181">
        <v>0</v>
      </c>
      <c r="H949" s="181">
        <v>0</v>
      </c>
      <c r="I949" s="181">
        <v>6.35</v>
      </c>
      <c r="J949" s="181">
        <v>0</v>
      </c>
      <c r="K949" s="181">
        <v>0</v>
      </c>
      <c r="L949" s="181">
        <v>0</v>
      </c>
      <c r="M949" s="181">
        <v>574399.36732799991</v>
      </c>
      <c r="N949" s="181">
        <v>22778.018959999998</v>
      </c>
      <c r="O949" s="181">
        <v>12667.200471999999</v>
      </c>
      <c r="P949" s="181">
        <v>19.4056</v>
      </c>
      <c r="Q949" s="181">
        <v>0</v>
      </c>
      <c r="R949" s="181">
        <v>0</v>
      </c>
      <c r="S949" s="181">
        <v>0</v>
      </c>
      <c r="T949" s="181">
        <v>26.416</v>
      </c>
      <c r="U949" s="181">
        <v>0</v>
      </c>
      <c r="V949" s="181">
        <v>0</v>
      </c>
    </row>
    <row r="950" spans="1:22">
      <c r="A950" s="2" t="s">
        <v>1918</v>
      </c>
      <c r="B950" s="2" t="s">
        <v>1919</v>
      </c>
      <c r="C950" s="181">
        <v>12.009451199999999</v>
      </c>
      <c r="D950" s="181">
        <v>1529.0291999999999</v>
      </c>
      <c r="E950" s="181">
        <v>63.5</v>
      </c>
      <c r="F950" s="181">
        <v>0</v>
      </c>
      <c r="G950" s="181">
        <v>0</v>
      </c>
      <c r="H950" s="181">
        <v>0</v>
      </c>
      <c r="I950" s="181">
        <v>6.35</v>
      </c>
      <c r="J950" s="181">
        <v>0</v>
      </c>
      <c r="K950" s="181">
        <v>0</v>
      </c>
      <c r="L950" s="181">
        <v>0</v>
      </c>
      <c r="M950" s="181">
        <v>574399.36732799991</v>
      </c>
      <c r="N950" s="181">
        <v>22778.018959999998</v>
      </c>
      <c r="O950" s="181">
        <v>12667.200471999999</v>
      </c>
      <c r="P950" s="181">
        <v>19.4056</v>
      </c>
      <c r="Q950" s="181">
        <v>0</v>
      </c>
      <c r="R950" s="181">
        <v>0</v>
      </c>
      <c r="S950" s="181">
        <v>0</v>
      </c>
      <c r="T950" s="181">
        <v>29.971999999999998</v>
      </c>
      <c r="U950" s="181">
        <v>0</v>
      </c>
      <c r="V950" s="181">
        <v>0</v>
      </c>
    </row>
    <row r="951" spans="1:22">
      <c r="A951" s="2" t="s">
        <v>1920</v>
      </c>
      <c r="B951" s="2" t="s">
        <v>1921</v>
      </c>
      <c r="C951" s="181">
        <v>12.009451199999999</v>
      </c>
      <c r="D951" s="181">
        <v>1529.0291999999999</v>
      </c>
      <c r="E951" s="181">
        <v>63.5</v>
      </c>
      <c r="F951" s="181">
        <v>0</v>
      </c>
      <c r="G951" s="181">
        <v>0</v>
      </c>
      <c r="H951" s="181">
        <v>0</v>
      </c>
      <c r="I951" s="181">
        <v>6.35</v>
      </c>
      <c r="J951" s="181">
        <v>0</v>
      </c>
      <c r="K951" s="181">
        <v>0</v>
      </c>
      <c r="L951" s="181">
        <v>0</v>
      </c>
      <c r="M951" s="181">
        <v>574399.36732799991</v>
      </c>
      <c r="N951" s="181">
        <v>22778.018959999998</v>
      </c>
      <c r="O951" s="181">
        <v>12667.200471999999</v>
      </c>
      <c r="P951" s="181">
        <v>19.4056</v>
      </c>
      <c r="Q951" s="181">
        <v>0</v>
      </c>
      <c r="R951" s="181">
        <v>0</v>
      </c>
      <c r="S951" s="181">
        <v>0</v>
      </c>
      <c r="T951" s="181">
        <v>33.781999999999996</v>
      </c>
      <c r="U951" s="181">
        <v>0</v>
      </c>
      <c r="V951" s="181">
        <v>0</v>
      </c>
    </row>
    <row r="952" spans="1:22">
      <c r="A952" s="2" t="s">
        <v>1922</v>
      </c>
      <c r="B952" s="2" t="s">
        <v>1923</v>
      </c>
      <c r="C952" s="181">
        <v>9.1224207999999987</v>
      </c>
      <c r="D952" s="181">
        <v>1161.288</v>
      </c>
      <c r="E952" s="181">
        <v>63.5</v>
      </c>
      <c r="F952" s="181">
        <v>0</v>
      </c>
      <c r="G952" s="181">
        <v>0</v>
      </c>
      <c r="H952" s="181">
        <v>0</v>
      </c>
      <c r="I952" s="181">
        <v>4.7624999999999993</v>
      </c>
      <c r="J952" s="181">
        <v>0</v>
      </c>
      <c r="K952" s="181">
        <v>0</v>
      </c>
      <c r="L952" s="181">
        <v>0</v>
      </c>
      <c r="M952" s="181">
        <v>445367.62539199996</v>
      </c>
      <c r="N952" s="181">
        <v>17370.287840000001</v>
      </c>
      <c r="O952" s="181">
        <v>9668.3677599999992</v>
      </c>
      <c r="P952" s="181">
        <v>19.583400000000001</v>
      </c>
      <c r="Q952" s="181">
        <v>0</v>
      </c>
      <c r="R952" s="181">
        <v>0</v>
      </c>
      <c r="S952" s="181">
        <v>0</v>
      </c>
      <c r="T952" s="181">
        <v>26.161999999999999</v>
      </c>
      <c r="U952" s="181">
        <v>0</v>
      </c>
      <c r="V952" s="181">
        <v>0</v>
      </c>
    </row>
    <row r="953" spans="1:22">
      <c r="A953" s="2" t="s">
        <v>1924</v>
      </c>
      <c r="B953" s="2" t="s">
        <v>1925</v>
      </c>
      <c r="C953" s="181">
        <v>9.1224207999999987</v>
      </c>
      <c r="D953" s="181">
        <v>1161.288</v>
      </c>
      <c r="E953" s="181">
        <v>63.5</v>
      </c>
      <c r="F953" s="181">
        <v>0</v>
      </c>
      <c r="G953" s="181">
        <v>0</v>
      </c>
      <c r="H953" s="181">
        <v>0</v>
      </c>
      <c r="I953" s="181">
        <v>4.7624999999999993</v>
      </c>
      <c r="J953" s="181">
        <v>0</v>
      </c>
      <c r="K953" s="181">
        <v>0</v>
      </c>
      <c r="L953" s="181">
        <v>0</v>
      </c>
      <c r="M953" s="181">
        <v>445367.62539199996</v>
      </c>
      <c r="N953" s="181">
        <v>17370.287840000001</v>
      </c>
      <c r="O953" s="181">
        <v>9668.3677599999992</v>
      </c>
      <c r="P953" s="181">
        <v>19.583400000000001</v>
      </c>
      <c r="Q953" s="181">
        <v>0</v>
      </c>
      <c r="R953" s="181">
        <v>0</v>
      </c>
      <c r="S953" s="181">
        <v>0</v>
      </c>
      <c r="T953" s="181">
        <v>29.717999999999996</v>
      </c>
      <c r="U953" s="181">
        <v>0</v>
      </c>
      <c r="V953" s="181">
        <v>0</v>
      </c>
    </row>
    <row r="954" spans="1:22">
      <c r="A954" s="2" t="s">
        <v>1926</v>
      </c>
      <c r="B954" s="2" t="s">
        <v>1927</v>
      </c>
      <c r="C954" s="181">
        <v>9.1224207999999987</v>
      </c>
      <c r="D954" s="181">
        <v>1161.288</v>
      </c>
      <c r="E954" s="181">
        <v>63.5</v>
      </c>
      <c r="F954" s="181">
        <v>0</v>
      </c>
      <c r="G954" s="181">
        <v>0</v>
      </c>
      <c r="H954" s="181">
        <v>0</v>
      </c>
      <c r="I954" s="181">
        <v>4.7624999999999993</v>
      </c>
      <c r="J954" s="181">
        <v>0</v>
      </c>
      <c r="K954" s="181">
        <v>0</v>
      </c>
      <c r="L954" s="181">
        <v>0</v>
      </c>
      <c r="M954" s="181">
        <v>445367.62539199996</v>
      </c>
      <c r="N954" s="181">
        <v>17370.287840000001</v>
      </c>
      <c r="O954" s="181">
        <v>9668.3677599999992</v>
      </c>
      <c r="P954" s="181">
        <v>19.583400000000001</v>
      </c>
      <c r="Q954" s="181">
        <v>0</v>
      </c>
      <c r="R954" s="181">
        <v>0</v>
      </c>
      <c r="S954" s="181">
        <v>0</v>
      </c>
      <c r="T954" s="181">
        <v>33.274000000000001</v>
      </c>
      <c r="U954" s="181">
        <v>0</v>
      </c>
      <c r="V954" s="181">
        <v>0</v>
      </c>
    </row>
    <row r="955" spans="1:22">
      <c r="A955" s="2" t="s">
        <v>1928</v>
      </c>
      <c r="B955" s="2" t="s">
        <v>1929</v>
      </c>
      <c r="C955" s="181">
        <v>13.839888</v>
      </c>
      <c r="D955" s="181">
        <v>1761.2867999999999</v>
      </c>
      <c r="E955" s="181">
        <v>50.8</v>
      </c>
      <c r="F955" s="181">
        <v>0</v>
      </c>
      <c r="G955" s="181">
        <v>0</v>
      </c>
      <c r="H955" s="181">
        <v>0</v>
      </c>
      <c r="I955" s="181">
        <v>9.5249999999999986</v>
      </c>
      <c r="J955" s="181">
        <v>0</v>
      </c>
      <c r="K955" s="181">
        <v>0</v>
      </c>
      <c r="L955" s="181">
        <v>0</v>
      </c>
      <c r="M955" s="181">
        <v>396668.54859680001</v>
      </c>
      <c r="N955" s="181">
        <v>20647.700639999999</v>
      </c>
      <c r="O955" s="181">
        <v>11405.396543999999</v>
      </c>
      <c r="P955" s="181">
        <v>15.011399999999998</v>
      </c>
      <c r="Q955" s="181">
        <v>0</v>
      </c>
      <c r="R955" s="181">
        <v>0</v>
      </c>
      <c r="S955" s="181">
        <v>0</v>
      </c>
      <c r="T955" s="181">
        <v>21.971</v>
      </c>
      <c r="U955" s="181">
        <v>0</v>
      </c>
      <c r="V955" s="181">
        <v>0</v>
      </c>
    </row>
    <row r="956" spans="1:22">
      <c r="A956" s="2" t="s">
        <v>1930</v>
      </c>
      <c r="B956" s="2" t="s">
        <v>1931</v>
      </c>
      <c r="C956" s="181">
        <v>13.839888</v>
      </c>
      <c r="D956" s="181">
        <v>1761.2867999999999</v>
      </c>
      <c r="E956" s="181">
        <v>50.8</v>
      </c>
      <c r="F956" s="181">
        <v>0</v>
      </c>
      <c r="G956" s="181">
        <v>0</v>
      </c>
      <c r="H956" s="181">
        <v>0</v>
      </c>
      <c r="I956" s="181">
        <v>9.5249999999999986</v>
      </c>
      <c r="J956" s="181">
        <v>0</v>
      </c>
      <c r="K956" s="181">
        <v>0</v>
      </c>
      <c r="L956" s="181">
        <v>0</v>
      </c>
      <c r="M956" s="181">
        <v>396668.54859680001</v>
      </c>
      <c r="N956" s="181">
        <v>20647.700639999999</v>
      </c>
      <c r="O956" s="181">
        <v>11405.396543999999</v>
      </c>
      <c r="P956" s="181">
        <v>15.011399999999998</v>
      </c>
      <c r="Q956" s="181">
        <v>0</v>
      </c>
      <c r="R956" s="181">
        <v>0</v>
      </c>
      <c r="S956" s="181">
        <v>0</v>
      </c>
      <c r="T956" s="181">
        <v>25.654</v>
      </c>
      <c r="U956" s="181">
        <v>0</v>
      </c>
      <c r="V956" s="181">
        <v>0</v>
      </c>
    </row>
    <row r="957" spans="1:22">
      <c r="A957" s="2" t="s">
        <v>1932</v>
      </c>
      <c r="B957" s="2" t="s">
        <v>1933</v>
      </c>
      <c r="C957" s="181">
        <v>13.839888</v>
      </c>
      <c r="D957" s="181">
        <v>1761.2867999999999</v>
      </c>
      <c r="E957" s="181">
        <v>50.8</v>
      </c>
      <c r="F957" s="181">
        <v>0</v>
      </c>
      <c r="G957" s="181">
        <v>0</v>
      </c>
      <c r="H957" s="181">
        <v>0</v>
      </c>
      <c r="I957" s="181">
        <v>9.5249999999999986</v>
      </c>
      <c r="J957" s="181">
        <v>0</v>
      </c>
      <c r="K957" s="181">
        <v>0</v>
      </c>
      <c r="L957" s="181">
        <v>0</v>
      </c>
      <c r="M957" s="181">
        <v>396668.54859680001</v>
      </c>
      <c r="N957" s="181">
        <v>20647.700639999999</v>
      </c>
      <c r="O957" s="181">
        <v>11405.396543999999</v>
      </c>
      <c r="P957" s="181">
        <v>15.011399999999998</v>
      </c>
      <c r="Q957" s="181">
        <v>0</v>
      </c>
      <c r="R957" s="181">
        <v>0</v>
      </c>
      <c r="S957" s="181">
        <v>0</v>
      </c>
      <c r="T957" s="181">
        <v>29.717999999999996</v>
      </c>
      <c r="U957" s="181">
        <v>0</v>
      </c>
      <c r="V957" s="181">
        <v>0</v>
      </c>
    </row>
    <row r="958" spans="1:22">
      <c r="A958" s="2" t="s">
        <v>1934</v>
      </c>
      <c r="B958" s="2" t="s">
        <v>1935</v>
      </c>
      <c r="C958" s="181">
        <v>11.741582399999999</v>
      </c>
      <c r="D958" s="181">
        <v>1496.7711999999999</v>
      </c>
      <c r="E958" s="181">
        <v>50.8</v>
      </c>
      <c r="F958" s="181">
        <v>0</v>
      </c>
      <c r="G958" s="181">
        <v>0</v>
      </c>
      <c r="H958" s="181">
        <v>0</v>
      </c>
      <c r="I958" s="181">
        <v>7.9375</v>
      </c>
      <c r="J958" s="181">
        <v>0</v>
      </c>
      <c r="K958" s="181">
        <v>0</v>
      </c>
      <c r="L958" s="181">
        <v>0</v>
      </c>
      <c r="M958" s="181">
        <v>344639.62039679999</v>
      </c>
      <c r="N958" s="181">
        <v>17534.158479999998</v>
      </c>
      <c r="O958" s="181">
        <v>9750.3030799999979</v>
      </c>
      <c r="P958" s="181">
        <v>15.189199999999998</v>
      </c>
      <c r="Q958" s="181">
        <v>0</v>
      </c>
      <c r="R958" s="181">
        <v>0</v>
      </c>
      <c r="S958" s="181">
        <v>0</v>
      </c>
      <c r="T958" s="181">
        <v>21.6662</v>
      </c>
      <c r="U958" s="181">
        <v>0</v>
      </c>
      <c r="V958" s="181">
        <v>0</v>
      </c>
    </row>
    <row r="959" spans="1:22">
      <c r="A959" s="2" t="s">
        <v>1936</v>
      </c>
      <c r="B959" s="2" t="s">
        <v>1937</v>
      </c>
      <c r="C959" s="181">
        <v>11.741582399999999</v>
      </c>
      <c r="D959" s="181">
        <v>1496.7711999999999</v>
      </c>
      <c r="E959" s="181">
        <v>50.8</v>
      </c>
      <c r="F959" s="181">
        <v>0</v>
      </c>
      <c r="G959" s="181">
        <v>0</v>
      </c>
      <c r="H959" s="181">
        <v>0</v>
      </c>
      <c r="I959" s="181">
        <v>7.9375</v>
      </c>
      <c r="J959" s="181">
        <v>0</v>
      </c>
      <c r="K959" s="181">
        <v>0</v>
      </c>
      <c r="L959" s="181">
        <v>0</v>
      </c>
      <c r="M959" s="181">
        <v>344639.62039679999</v>
      </c>
      <c r="N959" s="181">
        <v>17534.158479999998</v>
      </c>
      <c r="O959" s="181">
        <v>9750.3030799999979</v>
      </c>
      <c r="P959" s="181">
        <v>15.189199999999998</v>
      </c>
      <c r="Q959" s="181">
        <v>0</v>
      </c>
      <c r="R959" s="181">
        <v>0</v>
      </c>
      <c r="S959" s="181">
        <v>0</v>
      </c>
      <c r="T959" s="181">
        <v>25.298399999999997</v>
      </c>
      <c r="U959" s="181">
        <v>0</v>
      </c>
      <c r="V959" s="181">
        <v>0</v>
      </c>
    </row>
    <row r="960" spans="1:22">
      <c r="A960" s="2" t="s">
        <v>1938</v>
      </c>
      <c r="B960" s="2" t="s">
        <v>1939</v>
      </c>
      <c r="C960" s="181">
        <v>11.741582399999999</v>
      </c>
      <c r="D960" s="181">
        <v>1496.7711999999999</v>
      </c>
      <c r="E960" s="181">
        <v>50.8</v>
      </c>
      <c r="F960" s="181">
        <v>0</v>
      </c>
      <c r="G960" s="181">
        <v>0</v>
      </c>
      <c r="H960" s="181">
        <v>0</v>
      </c>
      <c r="I960" s="181">
        <v>7.9375</v>
      </c>
      <c r="J960" s="181">
        <v>0</v>
      </c>
      <c r="K960" s="181">
        <v>0</v>
      </c>
      <c r="L960" s="181">
        <v>0</v>
      </c>
      <c r="M960" s="181">
        <v>344639.62039679999</v>
      </c>
      <c r="N960" s="181">
        <v>17534.158479999998</v>
      </c>
      <c r="O960" s="181">
        <v>9750.3030799999979</v>
      </c>
      <c r="P960" s="181">
        <v>15.189199999999998</v>
      </c>
      <c r="Q960" s="181">
        <v>0</v>
      </c>
      <c r="R960" s="181">
        <v>0</v>
      </c>
      <c r="S960" s="181">
        <v>0</v>
      </c>
      <c r="T960" s="181">
        <v>29.209999999999997</v>
      </c>
      <c r="U960" s="181">
        <v>0</v>
      </c>
      <c r="V960" s="181">
        <v>0</v>
      </c>
    </row>
    <row r="961" spans="1:22">
      <c r="A961" s="2" t="s">
        <v>1940</v>
      </c>
      <c r="B961" s="2" t="s">
        <v>1941</v>
      </c>
      <c r="C961" s="181">
        <v>9.5688687999999988</v>
      </c>
      <c r="D961" s="181">
        <v>1219.3524</v>
      </c>
      <c r="E961" s="181">
        <v>50.8</v>
      </c>
      <c r="F961" s="181">
        <v>0</v>
      </c>
      <c r="G961" s="181">
        <v>0</v>
      </c>
      <c r="H961" s="181">
        <v>0</v>
      </c>
      <c r="I961" s="181">
        <v>6.35</v>
      </c>
      <c r="J961" s="181">
        <v>0</v>
      </c>
      <c r="K961" s="181">
        <v>0</v>
      </c>
      <c r="L961" s="181">
        <v>0</v>
      </c>
      <c r="M961" s="181">
        <v>287615.91508960002</v>
      </c>
      <c r="N961" s="181">
        <v>14420.616319999999</v>
      </c>
      <c r="O961" s="181">
        <v>8013.2742959999987</v>
      </c>
      <c r="P961" s="181">
        <v>15.366999999999999</v>
      </c>
      <c r="Q961" s="181">
        <v>0</v>
      </c>
      <c r="R961" s="181">
        <v>0</v>
      </c>
      <c r="S961" s="181">
        <v>0</v>
      </c>
      <c r="T961" s="181">
        <v>21.386799999999997</v>
      </c>
      <c r="U961" s="181">
        <v>0</v>
      </c>
      <c r="V961" s="181">
        <v>0</v>
      </c>
    </row>
    <row r="962" spans="1:22">
      <c r="A962" s="2" t="s">
        <v>1942</v>
      </c>
      <c r="B962" s="2" t="s">
        <v>1943</v>
      </c>
      <c r="C962" s="181">
        <v>9.5688687999999988</v>
      </c>
      <c r="D962" s="181">
        <v>1219.3524</v>
      </c>
      <c r="E962" s="181">
        <v>50.8</v>
      </c>
      <c r="F962" s="181">
        <v>0</v>
      </c>
      <c r="G962" s="181">
        <v>0</v>
      </c>
      <c r="H962" s="181">
        <v>0</v>
      </c>
      <c r="I962" s="181">
        <v>6.35</v>
      </c>
      <c r="J962" s="181">
        <v>0</v>
      </c>
      <c r="K962" s="181">
        <v>0</v>
      </c>
      <c r="L962" s="181">
        <v>0</v>
      </c>
      <c r="M962" s="181">
        <v>287615.91508960002</v>
      </c>
      <c r="N962" s="181">
        <v>14420.616319999999</v>
      </c>
      <c r="O962" s="181">
        <v>8013.2742959999987</v>
      </c>
      <c r="P962" s="181">
        <v>15.366999999999999</v>
      </c>
      <c r="Q962" s="181">
        <v>0</v>
      </c>
      <c r="R962" s="181">
        <v>0</v>
      </c>
      <c r="S962" s="181">
        <v>0</v>
      </c>
      <c r="T962" s="181">
        <v>24.942799999999998</v>
      </c>
      <c r="U962" s="181">
        <v>0</v>
      </c>
      <c r="V962" s="181">
        <v>0</v>
      </c>
    </row>
    <row r="963" spans="1:22">
      <c r="A963" s="2" t="s">
        <v>1944</v>
      </c>
      <c r="B963" s="2" t="s">
        <v>1945</v>
      </c>
      <c r="C963" s="181">
        <v>9.5688687999999988</v>
      </c>
      <c r="D963" s="181">
        <v>1219.3524</v>
      </c>
      <c r="E963" s="181">
        <v>50.8</v>
      </c>
      <c r="F963" s="181">
        <v>0</v>
      </c>
      <c r="G963" s="181">
        <v>0</v>
      </c>
      <c r="H963" s="181">
        <v>0</v>
      </c>
      <c r="I963" s="181">
        <v>6.35</v>
      </c>
      <c r="J963" s="181">
        <v>0</v>
      </c>
      <c r="K963" s="181">
        <v>0</v>
      </c>
      <c r="L963" s="181">
        <v>0</v>
      </c>
      <c r="M963" s="181">
        <v>287615.91508960002</v>
      </c>
      <c r="N963" s="181">
        <v>14420.616319999999</v>
      </c>
      <c r="O963" s="181">
        <v>8013.2742959999987</v>
      </c>
      <c r="P963" s="181">
        <v>15.366999999999999</v>
      </c>
      <c r="Q963" s="181">
        <v>0</v>
      </c>
      <c r="R963" s="181">
        <v>0</v>
      </c>
      <c r="S963" s="181">
        <v>0</v>
      </c>
      <c r="T963" s="181">
        <v>28.955999999999996</v>
      </c>
      <c r="U963" s="181">
        <v>0</v>
      </c>
      <c r="V963" s="181">
        <v>0</v>
      </c>
    </row>
    <row r="964" spans="1:22">
      <c r="A964" s="2" t="s">
        <v>1946</v>
      </c>
      <c r="B964" s="2" t="s">
        <v>1947</v>
      </c>
      <c r="C964" s="181">
        <v>7.3068656000000001</v>
      </c>
      <c r="D964" s="181">
        <v>929.03039999999987</v>
      </c>
      <c r="E964" s="181">
        <v>50.8</v>
      </c>
      <c r="F964" s="181">
        <v>0</v>
      </c>
      <c r="G964" s="181">
        <v>0</v>
      </c>
      <c r="H964" s="181">
        <v>0</v>
      </c>
      <c r="I964" s="181">
        <v>4.7624999999999993</v>
      </c>
      <c r="J964" s="181">
        <v>0</v>
      </c>
      <c r="K964" s="181">
        <v>0</v>
      </c>
      <c r="L964" s="181">
        <v>0</v>
      </c>
      <c r="M964" s="181">
        <v>225181.20124959998</v>
      </c>
      <c r="N964" s="181">
        <v>11077.655263999999</v>
      </c>
      <c r="O964" s="181">
        <v>6161.5360639999999</v>
      </c>
      <c r="P964" s="181">
        <v>15.544799999999999</v>
      </c>
      <c r="Q964" s="181">
        <v>0</v>
      </c>
      <c r="R964" s="181">
        <v>0</v>
      </c>
      <c r="S964" s="181">
        <v>0</v>
      </c>
      <c r="T964" s="181">
        <v>21.107400000000002</v>
      </c>
      <c r="U964" s="181">
        <v>0</v>
      </c>
      <c r="V964" s="181">
        <v>0</v>
      </c>
    </row>
    <row r="965" spans="1:22">
      <c r="A965" s="2" t="s">
        <v>1948</v>
      </c>
      <c r="B965" s="2" t="s">
        <v>1949</v>
      </c>
      <c r="C965" s="181">
        <v>7.3068656000000001</v>
      </c>
      <c r="D965" s="181">
        <v>929.03039999999987</v>
      </c>
      <c r="E965" s="181">
        <v>50.8</v>
      </c>
      <c r="F965" s="181">
        <v>0</v>
      </c>
      <c r="G965" s="181">
        <v>0</v>
      </c>
      <c r="H965" s="181">
        <v>0</v>
      </c>
      <c r="I965" s="181">
        <v>4.7624999999999993</v>
      </c>
      <c r="J965" s="181">
        <v>0</v>
      </c>
      <c r="K965" s="181">
        <v>0</v>
      </c>
      <c r="L965" s="181">
        <v>0</v>
      </c>
      <c r="M965" s="181">
        <v>225181.20124959998</v>
      </c>
      <c r="N965" s="181">
        <v>11077.655263999999</v>
      </c>
      <c r="O965" s="181">
        <v>6161.5360639999999</v>
      </c>
      <c r="P965" s="181">
        <v>15.544799999999999</v>
      </c>
      <c r="Q965" s="181">
        <v>0</v>
      </c>
      <c r="R965" s="181">
        <v>0</v>
      </c>
      <c r="S965" s="181">
        <v>0</v>
      </c>
      <c r="T965" s="181">
        <v>24.561799999999998</v>
      </c>
      <c r="U965" s="181">
        <v>0</v>
      </c>
      <c r="V965" s="181">
        <v>0</v>
      </c>
    </row>
    <row r="966" spans="1:22">
      <c r="A966" s="2" t="s">
        <v>1950</v>
      </c>
      <c r="B966" s="2" t="s">
        <v>1951</v>
      </c>
      <c r="C966" s="181">
        <v>7.3068656000000001</v>
      </c>
      <c r="D966" s="181">
        <v>929.03039999999987</v>
      </c>
      <c r="E966" s="181">
        <v>50.8</v>
      </c>
      <c r="F966" s="181">
        <v>0</v>
      </c>
      <c r="G966" s="181">
        <v>0</v>
      </c>
      <c r="H966" s="181">
        <v>0</v>
      </c>
      <c r="I966" s="181">
        <v>4.7624999999999993</v>
      </c>
      <c r="J966" s="181">
        <v>0</v>
      </c>
      <c r="K966" s="181">
        <v>0</v>
      </c>
      <c r="L966" s="181">
        <v>0</v>
      </c>
      <c r="M966" s="181">
        <v>225181.20124959998</v>
      </c>
      <c r="N966" s="181">
        <v>11077.655263999999</v>
      </c>
      <c r="O966" s="181">
        <v>6161.5360639999999</v>
      </c>
      <c r="P966" s="181">
        <v>15.544799999999999</v>
      </c>
      <c r="Q966" s="181">
        <v>0</v>
      </c>
      <c r="R966" s="181">
        <v>0</v>
      </c>
      <c r="S966" s="181">
        <v>0</v>
      </c>
      <c r="T966" s="181">
        <v>28.448</v>
      </c>
      <c r="U966" s="181">
        <v>0</v>
      </c>
      <c r="V966" s="181">
        <v>0</v>
      </c>
    </row>
    <row r="967" spans="1:22">
      <c r="A967" s="2" t="s">
        <v>1952</v>
      </c>
      <c r="B967" s="2" t="s">
        <v>1953</v>
      </c>
      <c r="C967" s="181">
        <v>4.9704543999999995</v>
      </c>
      <c r="D967" s="181">
        <v>633.54711999999995</v>
      </c>
      <c r="E967" s="181">
        <v>50.8</v>
      </c>
      <c r="F967" s="181">
        <v>0</v>
      </c>
      <c r="G967" s="181">
        <v>0</v>
      </c>
      <c r="H967" s="181">
        <v>0</v>
      </c>
      <c r="I967" s="181">
        <v>3.1749999999999998</v>
      </c>
      <c r="J967" s="181">
        <v>0</v>
      </c>
      <c r="K967" s="181">
        <v>0</v>
      </c>
      <c r="L967" s="181">
        <v>0</v>
      </c>
      <c r="M967" s="181">
        <v>156919.24745119998</v>
      </c>
      <c r="N967" s="181">
        <v>7538.0494399999998</v>
      </c>
      <c r="O967" s="181">
        <v>4211.4754480000001</v>
      </c>
      <c r="P967" s="181">
        <v>15.747999999999999</v>
      </c>
      <c r="Q967" s="181">
        <v>0</v>
      </c>
      <c r="R967" s="181">
        <v>0</v>
      </c>
      <c r="S967" s="181">
        <v>0</v>
      </c>
      <c r="T967" s="181">
        <v>20.777200000000001</v>
      </c>
      <c r="U967" s="181">
        <v>0</v>
      </c>
      <c r="V967" s="181">
        <v>0</v>
      </c>
    </row>
    <row r="968" spans="1:22">
      <c r="A968" s="2" t="s">
        <v>1954</v>
      </c>
      <c r="B968" s="2" t="s">
        <v>1955</v>
      </c>
      <c r="C968" s="181">
        <v>4.9704543999999995</v>
      </c>
      <c r="D968" s="181">
        <v>633.54711999999995</v>
      </c>
      <c r="E968" s="181">
        <v>50.8</v>
      </c>
      <c r="F968" s="181">
        <v>0</v>
      </c>
      <c r="G968" s="181">
        <v>0</v>
      </c>
      <c r="H968" s="181">
        <v>0</v>
      </c>
      <c r="I968" s="181">
        <v>3.1749999999999998</v>
      </c>
      <c r="J968" s="181">
        <v>0</v>
      </c>
      <c r="K968" s="181">
        <v>0</v>
      </c>
      <c r="L968" s="181">
        <v>0</v>
      </c>
      <c r="M968" s="181">
        <v>156919.24745119998</v>
      </c>
      <c r="N968" s="181">
        <v>7538.0494399999998</v>
      </c>
      <c r="O968" s="181">
        <v>4211.4754480000001</v>
      </c>
      <c r="P968" s="181">
        <v>15.747999999999999</v>
      </c>
      <c r="Q968" s="181">
        <v>0</v>
      </c>
      <c r="R968" s="181">
        <v>0</v>
      </c>
      <c r="S968" s="181">
        <v>0</v>
      </c>
      <c r="T968" s="181">
        <v>24.1554</v>
      </c>
      <c r="U968" s="181">
        <v>0</v>
      </c>
      <c r="V968" s="181">
        <v>0</v>
      </c>
    </row>
    <row r="969" spans="1:22">
      <c r="A969" s="2" t="s">
        <v>1956</v>
      </c>
      <c r="B969" s="2" t="s">
        <v>1957</v>
      </c>
      <c r="C969" s="181">
        <v>4.9704543999999995</v>
      </c>
      <c r="D969" s="181">
        <v>633.54711999999995</v>
      </c>
      <c r="E969" s="181">
        <v>50.8</v>
      </c>
      <c r="F969" s="181">
        <v>0</v>
      </c>
      <c r="G969" s="181">
        <v>0</v>
      </c>
      <c r="H969" s="181">
        <v>0</v>
      </c>
      <c r="I969" s="181">
        <v>3.1749999999999998</v>
      </c>
      <c r="J969" s="181">
        <v>0</v>
      </c>
      <c r="K969" s="181">
        <v>0</v>
      </c>
      <c r="L969" s="181">
        <v>0</v>
      </c>
      <c r="M969" s="181">
        <v>156919.24745119998</v>
      </c>
      <c r="N969" s="181">
        <v>7538.0494399999998</v>
      </c>
      <c r="O969" s="181">
        <v>4211.4754480000001</v>
      </c>
      <c r="P969" s="181">
        <v>15.747999999999999</v>
      </c>
      <c r="Q969" s="181">
        <v>0</v>
      </c>
      <c r="R969" s="181">
        <v>0</v>
      </c>
      <c r="S969" s="181">
        <v>0</v>
      </c>
      <c r="T969" s="181">
        <v>27.94</v>
      </c>
      <c r="U969" s="181">
        <v>0</v>
      </c>
      <c r="V969" s="181">
        <v>0</v>
      </c>
    </row>
    <row r="970" spans="1:22">
      <c r="A970" s="2" t="s">
        <v>1958</v>
      </c>
      <c r="B970" s="2" t="s">
        <v>1959</v>
      </c>
      <c r="C970" s="181">
        <v>132.148608</v>
      </c>
      <c r="D970" s="181">
        <v>16838.675999999999</v>
      </c>
      <c r="E970" s="181">
        <v>203.2</v>
      </c>
      <c r="F970" s="181">
        <v>0</v>
      </c>
      <c r="G970" s="181">
        <v>0</v>
      </c>
      <c r="H970" s="181">
        <v>0</v>
      </c>
      <c r="I970" s="181">
        <v>25.4</v>
      </c>
      <c r="J970" s="181">
        <v>0</v>
      </c>
      <c r="K970" s="181">
        <v>0</v>
      </c>
      <c r="L970" s="181">
        <v>0</v>
      </c>
      <c r="M970" s="181">
        <v>67429490.9472</v>
      </c>
      <c r="N970" s="181">
        <v>893094.9879999999</v>
      </c>
      <c r="O970" s="181">
        <v>494889.33279999992</v>
      </c>
      <c r="P970" s="181">
        <v>63.246000000000002</v>
      </c>
      <c r="Q970" s="181">
        <v>0</v>
      </c>
      <c r="R970" s="181">
        <v>0</v>
      </c>
      <c r="S970" s="181">
        <v>0</v>
      </c>
      <c r="T970" s="181">
        <v>60.706000000000003</v>
      </c>
      <c r="U970" s="181">
        <v>0</v>
      </c>
      <c r="V970" s="181">
        <v>0</v>
      </c>
    </row>
    <row r="971" spans="1:22">
      <c r="A971" s="2" t="s">
        <v>1960</v>
      </c>
      <c r="B971" s="2" t="s">
        <v>1961</v>
      </c>
      <c r="C971" s="181">
        <v>132.148608</v>
      </c>
      <c r="D971" s="181">
        <v>16838.675999999999</v>
      </c>
      <c r="E971" s="181">
        <v>203.2</v>
      </c>
      <c r="F971" s="181">
        <v>0</v>
      </c>
      <c r="G971" s="181">
        <v>0</v>
      </c>
      <c r="H971" s="181">
        <v>0</v>
      </c>
      <c r="I971" s="181">
        <v>25.4</v>
      </c>
      <c r="J971" s="181">
        <v>0</v>
      </c>
      <c r="K971" s="181">
        <v>0</v>
      </c>
      <c r="L971" s="181">
        <v>0</v>
      </c>
      <c r="M971" s="181">
        <v>67429490.9472</v>
      </c>
      <c r="N971" s="181">
        <v>893094.9879999999</v>
      </c>
      <c r="O971" s="181">
        <v>494889.33279999992</v>
      </c>
      <c r="P971" s="181">
        <v>63.246000000000002</v>
      </c>
      <c r="Q971" s="181">
        <v>0</v>
      </c>
      <c r="R971" s="181">
        <v>0</v>
      </c>
      <c r="S971" s="181">
        <v>0</v>
      </c>
      <c r="T971" s="181">
        <v>64.007999999999996</v>
      </c>
      <c r="U971" s="181">
        <v>0</v>
      </c>
      <c r="V971" s="181">
        <v>0</v>
      </c>
    </row>
    <row r="972" spans="1:22">
      <c r="A972" s="2" t="s">
        <v>1962</v>
      </c>
      <c r="B972" s="2" t="s">
        <v>1963</v>
      </c>
      <c r="C972" s="181">
        <v>132.148608</v>
      </c>
      <c r="D972" s="181">
        <v>16838.675999999999</v>
      </c>
      <c r="E972" s="181">
        <v>203.2</v>
      </c>
      <c r="F972" s="181">
        <v>0</v>
      </c>
      <c r="G972" s="181">
        <v>0</v>
      </c>
      <c r="H972" s="181">
        <v>0</v>
      </c>
      <c r="I972" s="181">
        <v>25.4</v>
      </c>
      <c r="J972" s="181">
        <v>0</v>
      </c>
      <c r="K972" s="181">
        <v>0</v>
      </c>
      <c r="L972" s="181">
        <v>0</v>
      </c>
      <c r="M972" s="181">
        <v>67429490.9472</v>
      </c>
      <c r="N972" s="181">
        <v>893094.9879999999</v>
      </c>
      <c r="O972" s="181">
        <v>494889.33279999992</v>
      </c>
      <c r="P972" s="181">
        <v>63.246000000000002</v>
      </c>
      <c r="Q972" s="181">
        <v>0</v>
      </c>
      <c r="R972" s="181">
        <v>0</v>
      </c>
      <c r="S972" s="181">
        <v>0</v>
      </c>
      <c r="T972" s="181">
        <v>67.563999999999993</v>
      </c>
      <c r="U972" s="181">
        <v>0</v>
      </c>
      <c r="V972" s="181">
        <v>0</v>
      </c>
    </row>
    <row r="973" spans="1:22">
      <c r="A973" s="2" t="s">
        <v>1964</v>
      </c>
      <c r="B973" s="2" t="s">
        <v>1965</v>
      </c>
      <c r="C973" s="181">
        <v>116.82056</v>
      </c>
      <c r="D973" s="181">
        <v>14903.196</v>
      </c>
      <c r="E973" s="181">
        <v>203.2</v>
      </c>
      <c r="F973" s="181">
        <v>0</v>
      </c>
      <c r="G973" s="181">
        <v>0</v>
      </c>
      <c r="H973" s="181">
        <v>0</v>
      </c>
      <c r="I973" s="181">
        <v>22.224999999999998</v>
      </c>
      <c r="J973" s="181">
        <v>0</v>
      </c>
      <c r="K973" s="181">
        <v>0</v>
      </c>
      <c r="L973" s="181">
        <v>0</v>
      </c>
      <c r="M973" s="181">
        <v>60353556.711999997</v>
      </c>
      <c r="N973" s="181">
        <v>794772.60399999993</v>
      </c>
      <c r="O973" s="181">
        <v>439173.31519999995</v>
      </c>
      <c r="P973" s="181">
        <v>63.5</v>
      </c>
      <c r="Q973" s="181">
        <v>0</v>
      </c>
      <c r="R973" s="181">
        <v>0</v>
      </c>
      <c r="S973" s="181">
        <v>0</v>
      </c>
      <c r="T973" s="181">
        <v>60.198</v>
      </c>
      <c r="U973" s="181">
        <v>0</v>
      </c>
      <c r="V973" s="181">
        <v>0</v>
      </c>
    </row>
    <row r="974" spans="1:22">
      <c r="A974" s="2" t="s">
        <v>1966</v>
      </c>
      <c r="B974" s="2" t="s">
        <v>1967</v>
      </c>
      <c r="C974" s="181">
        <v>116.82056</v>
      </c>
      <c r="D974" s="181">
        <v>14903.196</v>
      </c>
      <c r="E974" s="181">
        <v>203.2</v>
      </c>
      <c r="F974" s="181">
        <v>0</v>
      </c>
      <c r="G974" s="181">
        <v>0</v>
      </c>
      <c r="H974" s="181">
        <v>0</v>
      </c>
      <c r="I974" s="181">
        <v>22.224999999999998</v>
      </c>
      <c r="J974" s="181">
        <v>0</v>
      </c>
      <c r="K974" s="181">
        <v>0</v>
      </c>
      <c r="L974" s="181">
        <v>0</v>
      </c>
      <c r="M974" s="181">
        <v>60353556.711999997</v>
      </c>
      <c r="N974" s="181">
        <v>794772.60399999993</v>
      </c>
      <c r="O974" s="181">
        <v>439173.31519999995</v>
      </c>
      <c r="P974" s="181">
        <v>63.5</v>
      </c>
      <c r="Q974" s="181">
        <v>0</v>
      </c>
      <c r="R974" s="181">
        <v>0</v>
      </c>
      <c r="S974" s="181">
        <v>0</v>
      </c>
      <c r="T974" s="181">
        <v>63.5</v>
      </c>
      <c r="U974" s="181">
        <v>0</v>
      </c>
      <c r="V974" s="181">
        <v>0</v>
      </c>
    </row>
    <row r="975" spans="1:22">
      <c r="A975" s="2" t="s">
        <v>1968</v>
      </c>
      <c r="B975" s="2" t="s">
        <v>1969</v>
      </c>
      <c r="C975" s="181">
        <v>116.82056</v>
      </c>
      <c r="D975" s="181">
        <v>14903.196</v>
      </c>
      <c r="E975" s="181">
        <v>203.2</v>
      </c>
      <c r="F975" s="181">
        <v>0</v>
      </c>
      <c r="G975" s="181">
        <v>0</v>
      </c>
      <c r="H975" s="181">
        <v>0</v>
      </c>
      <c r="I975" s="181">
        <v>22.224999999999998</v>
      </c>
      <c r="J975" s="181">
        <v>0</v>
      </c>
      <c r="K975" s="181">
        <v>0</v>
      </c>
      <c r="L975" s="181">
        <v>0</v>
      </c>
      <c r="M975" s="181">
        <v>60353556.711999997</v>
      </c>
      <c r="N975" s="181">
        <v>794772.60399999993</v>
      </c>
      <c r="O975" s="181">
        <v>439173.31519999995</v>
      </c>
      <c r="P975" s="181">
        <v>63.5</v>
      </c>
      <c r="Q975" s="181">
        <v>0</v>
      </c>
      <c r="R975" s="181">
        <v>0</v>
      </c>
      <c r="S975" s="181">
        <v>0</v>
      </c>
      <c r="T975" s="181">
        <v>66.801999999999992</v>
      </c>
      <c r="U975" s="181">
        <v>0</v>
      </c>
      <c r="V975" s="181">
        <v>0</v>
      </c>
    </row>
    <row r="976" spans="1:22">
      <c r="A976" s="2" t="s">
        <v>1970</v>
      </c>
      <c r="B976" s="2" t="s">
        <v>1971</v>
      </c>
      <c r="C976" s="181">
        <v>101.19488</v>
      </c>
      <c r="D976" s="181">
        <v>12903.199999999999</v>
      </c>
      <c r="E976" s="181">
        <v>203.2</v>
      </c>
      <c r="F976" s="181">
        <v>0</v>
      </c>
      <c r="G976" s="181">
        <v>0</v>
      </c>
      <c r="H976" s="181">
        <v>0</v>
      </c>
      <c r="I976" s="181">
        <v>19.049999999999997</v>
      </c>
      <c r="J976" s="181">
        <v>0</v>
      </c>
      <c r="K976" s="181">
        <v>0</v>
      </c>
      <c r="L976" s="181">
        <v>0</v>
      </c>
      <c r="M976" s="181">
        <v>52861391.051199995</v>
      </c>
      <c r="N976" s="181">
        <v>693172.80719999992</v>
      </c>
      <c r="O976" s="181">
        <v>381818.59119999997</v>
      </c>
      <c r="P976" s="181">
        <v>64.007999999999996</v>
      </c>
      <c r="Q976" s="181">
        <v>0</v>
      </c>
      <c r="R976" s="181">
        <v>0</v>
      </c>
      <c r="S976" s="181">
        <v>0</v>
      </c>
      <c r="T976" s="181">
        <v>59.69</v>
      </c>
      <c r="U976" s="181">
        <v>0</v>
      </c>
      <c r="V976" s="181">
        <v>0</v>
      </c>
    </row>
    <row r="977" spans="1:22">
      <c r="A977" s="2" t="s">
        <v>1972</v>
      </c>
      <c r="B977" s="2" t="s">
        <v>1973</v>
      </c>
      <c r="C977" s="181">
        <v>101.19488</v>
      </c>
      <c r="D977" s="181">
        <v>12903.199999999999</v>
      </c>
      <c r="E977" s="181">
        <v>203.2</v>
      </c>
      <c r="F977" s="181">
        <v>0</v>
      </c>
      <c r="G977" s="181">
        <v>0</v>
      </c>
      <c r="H977" s="181">
        <v>0</v>
      </c>
      <c r="I977" s="181">
        <v>19.049999999999997</v>
      </c>
      <c r="J977" s="181">
        <v>0</v>
      </c>
      <c r="K977" s="181">
        <v>0</v>
      </c>
      <c r="L977" s="181">
        <v>0</v>
      </c>
      <c r="M977" s="181">
        <v>52861391.051199995</v>
      </c>
      <c r="N977" s="181">
        <v>693172.80719999992</v>
      </c>
      <c r="O977" s="181">
        <v>381818.59119999997</v>
      </c>
      <c r="P977" s="181">
        <v>64.007999999999996</v>
      </c>
      <c r="Q977" s="181">
        <v>0</v>
      </c>
      <c r="R977" s="181">
        <v>0</v>
      </c>
      <c r="S977" s="181">
        <v>0</v>
      </c>
      <c r="T977" s="181">
        <v>62.738</v>
      </c>
      <c r="U977" s="181">
        <v>0</v>
      </c>
      <c r="V977" s="181">
        <v>0</v>
      </c>
    </row>
    <row r="978" spans="1:22">
      <c r="A978" s="2" t="s">
        <v>1974</v>
      </c>
      <c r="B978" s="2" t="s">
        <v>1975</v>
      </c>
      <c r="C978" s="181">
        <v>101.19488</v>
      </c>
      <c r="D978" s="181">
        <v>12903.199999999999</v>
      </c>
      <c r="E978" s="181">
        <v>203.2</v>
      </c>
      <c r="F978" s="181">
        <v>0</v>
      </c>
      <c r="G978" s="181">
        <v>0</v>
      </c>
      <c r="H978" s="181">
        <v>0</v>
      </c>
      <c r="I978" s="181">
        <v>19.049999999999997</v>
      </c>
      <c r="J978" s="181">
        <v>0</v>
      </c>
      <c r="K978" s="181">
        <v>0</v>
      </c>
      <c r="L978" s="181">
        <v>0</v>
      </c>
      <c r="M978" s="181">
        <v>52861391.051199995</v>
      </c>
      <c r="N978" s="181">
        <v>693172.80719999992</v>
      </c>
      <c r="O978" s="181">
        <v>381818.59119999997</v>
      </c>
      <c r="P978" s="181">
        <v>64.007999999999996</v>
      </c>
      <c r="Q978" s="181">
        <v>0</v>
      </c>
      <c r="R978" s="181">
        <v>0</v>
      </c>
      <c r="S978" s="181">
        <v>0</v>
      </c>
      <c r="T978" s="181">
        <v>66.293999999999997</v>
      </c>
      <c r="U978" s="181">
        <v>0</v>
      </c>
      <c r="V978" s="181">
        <v>0</v>
      </c>
    </row>
    <row r="979" spans="1:22">
      <c r="A979" s="2" t="s">
        <v>1976</v>
      </c>
      <c r="B979" s="2" t="s">
        <v>1977</v>
      </c>
      <c r="C979" s="181">
        <v>85.271567999999988</v>
      </c>
      <c r="D979" s="181">
        <v>10838.688</v>
      </c>
      <c r="E979" s="181">
        <v>203.2</v>
      </c>
      <c r="F979" s="181">
        <v>0</v>
      </c>
      <c r="G979" s="181">
        <v>0</v>
      </c>
      <c r="H979" s="181">
        <v>0</v>
      </c>
      <c r="I979" s="181">
        <v>15.875</v>
      </c>
      <c r="J979" s="181">
        <v>0</v>
      </c>
      <c r="K979" s="181">
        <v>0</v>
      </c>
      <c r="L979" s="181">
        <v>0</v>
      </c>
      <c r="M979" s="181">
        <v>44952993.964799993</v>
      </c>
      <c r="N979" s="181">
        <v>586656.89119999995</v>
      </c>
      <c r="O979" s="181">
        <v>322825.16079999995</v>
      </c>
      <c r="P979" s="181">
        <v>64.515999999999991</v>
      </c>
      <c r="Q979" s="181">
        <v>0</v>
      </c>
      <c r="R979" s="181">
        <v>0</v>
      </c>
      <c r="S979" s="181">
        <v>0</v>
      </c>
      <c r="T979" s="181">
        <v>59.181999999999995</v>
      </c>
      <c r="U979" s="181">
        <v>0</v>
      </c>
      <c r="V979" s="181">
        <v>0</v>
      </c>
    </row>
    <row r="980" spans="1:22">
      <c r="A980" s="2" t="s">
        <v>1978</v>
      </c>
      <c r="B980" s="2" t="s">
        <v>1979</v>
      </c>
      <c r="C980" s="181">
        <v>85.271567999999988</v>
      </c>
      <c r="D980" s="181">
        <v>10838.688</v>
      </c>
      <c r="E980" s="181">
        <v>203.2</v>
      </c>
      <c r="F980" s="181">
        <v>0</v>
      </c>
      <c r="G980" s="181">
        <v>0</v>
      </c>
      <c r="H980" s="181">
        <v>0</v>
      </c>
      <c r="I980" s="181">
        <v>15.875</v>
      </c>
      <c r="J980" s="181">
        <v>0</v>
      </c>
      <c r="K980" s="181">
        <v>0</v>
      </c>
      <c r="L980" s="181">
        <v>0</v>
      </c>
      <c r="M980" s="181">
        <v>44952993.964799993</v>
      </c>
      <c r="N980" s="181">
        <v>586656.89119999995</v>
      </c>
      <c r="O980" s="181">
        <v>322825.16079999995</v>
      </c>
      <c r="P980" s="181">
        <v>64.515999999999991</v>
      </c>
      <c r="Q980" s="181">
        <v>0</v>
      </c>
      <c r="R980" s="181">
        <v>0</v>
      </c>
      <c r="S980" s="181">
        <v>0</v>
      </c>
      <c r="T980" s="181">
        <v>62.230000000000004</v>
      </c>
      <c r="U980" s="181">
        <v>0</v>
      </c>
      <c r="V980" s="181">
        <v>0</v>
      </c>
    </row>
    <row r="981" spans="1:22">
      <c r="A981" s="2" t="s">
        <v>1980</v>
      </c>
      <c r="B981" s="2" t="s">
        <v>1981</v>
      </c>
      <c r="C981" s="181">
        <v>85.271567999999988</v>
      </c>
      <c r="D981" s="181">
        <v>10838.688</v>
      </c>
      <c r="E981" s="181">
        <v>203.2</v>
      </c>
      <c r="F981" s="181">
        <v>0</v>
      </c>
      <c r="G981" s="181">
        <v>0</v>
      </c>
      <c r="H981" s="181">
        <v>0</v>
      </c>
      <c r="I981" s="181">
        <v>15.875</v>
      </c>
      <c r="J981" s="181">
        <v>0</v>
      </c>
      <c r="K981" s="181">
        <v>0</v>
      </c>
      <c r="L981" s="181">
        <v>0</v>
      </c>
      <c r="M981" s="181">
        <v>44952993.964799993</v>
      </c>
      <c r="N981" s="181">
        <v>586656.89119999995</v>
      </c>
      <c r="O981" s="181">
        <v>322825.16079999995</v>
      </c>
      <c r="P981" s="181">
        <v>64.515999999999991</v>
      </c>
      <c r="Q981" s="181">
        <v>0</v>
      </c>
      <c r="R981" s="181">
        <v>0</v>
      </c>
      <c r="S981" s="181">
        <v>0</v>
      </c>
      <c r="T981" s="181">
        <v>65.785999999999987</v>
      </c>
      <c r="U981" s="181">
        <v>0</v>
      </c>
      <c r="V981" s="181">
        <v>0</v>
      </c>
    </row>
    <row r="982" spans="1:22">
      <c r="A982" s="2" t="s">
        <v>1982</v>
      </c>
      <c r="B982" s="2" t="s">
        <v>1983</v>
      </c>
      <c r="C982" s="181">
        <v>77.086687999999995</v>
      </c>
      <c r="D982" s="181">
        <v>9806.4319999999989</v>
      </c>
      <c r="E982" s="181">
        <v>203.2</v>
      </c>
      <c r="F982" s="181">
        <v>0</v>
      </c>
      <c r="G982" s="181">
        <v>0</v>
      </c>
      <c r="H982" s="181">
        <v>0</v>
      </c>
      <c r="I982" s="181">
        <v>14.2875</v>
      </c>
      <c r="J982" s="181">
        <v>0</v>
      </c>
      <c r="K982" s="181">
        <v>0</v>
      </c>
      <c r="L982" s="181">
        <v>0</v>
      </c>
      <c r="M982" s="181">
        <v>41082041.706719995</v>
      </c>
      <c r="N982" s="181">
        <v>532579.57999999996</v>
      </c>
      <c r="O982" s="181">
        <v>293328.44559999998</v>
      </c>
      <c r="P982" s="181">
        <v>64.77</v>
      </c>
      <c r="Q982" s="181">
        <v>0</v>
      </c>
      <c r="R982" s="181">
        <v>0</v>
      </c>
      <c r="S982" s="181">
        <v>0</v>
      </c>
      <c r="T982" s="181">
        <v>58.92799999999999</v>
      </c>
      <c r="U982" s="181">
        <v>0</v>
      </c>
      <c r="V982" s="181">
        <v>0</v>
      </c>
    </row>
    <row r="983" spans="1:22">
      <c r="A983" s="2" t="s">
        <v>1984</v>
      </c>
      <c r="B983" s="2" t="s">
        <v>1985</v>
      </c>
      <c r="C983" s="181">
        <v>77.086687999999995</v>
      </c>
      <c r="D983" s="181">
        <v>9806.4319999999989</v>
      </c>
      <c r="E983" s="181">
        <v>203.2</v>
      </c>
      <c r="F983" s="181">
        <v>0</v>
      </c>
      <c r="G983" s="181">
        <v>0</v>
      </c>
      <c r="H983" s="181">
        <v>0</v>
      </c>
      <c r="I983" s="181">
        <v>14.2875</v>
      </c>
      <c r="J983" s="181">
        <v>0</v>
      </c>
      <c r="K983" s="181">
        <v>0</v>
      </c>
      <c r="L983" s="181">
        <v>0</v>
      </c>
      <c r="M983" s="181">
        <v>41082041.706719995</v>
      </c>
      <c r="N983" s="181">
        <v>532579.57999999996</v>
      </c>
      <c r="O983" s="181">
        <v>293328.44559999998</v>
      </c>
      <c r="P983" s="181">
        <v>64.77</v>
      </c>
      <c r="Q983" s="181">
        <v>0</v>
      </c>
      <c r="R983" s="181">
        <v>0</v>
      </c>
      <c r="S983" s="181">
        <v>0</v>
      </c>
      <c r="T983" s="181">
        <v>61.975999999999992</v>
      </c>
      <c r="U983" s="181">
        <v>0</v>
      </c>
      <c r="V983" s="181">
        <v>0</v>
      </c>
    </row>
    <row r="984" spans="1:22">
      <c r="A984" s="2" t="s">
        <v>1986</v>
      </c>
      <c r="B984" s="2" t="s">
        <v>1987</v>
      </c>
      <c r="C984" s="181">
        <v>77.086687999999995</v>
      </c>
      <c r="D984" s="181">
        <v>9806.4319999999989</v>
      </c>
      <c r="E984" s="181">
        <v>203.2</v>
      </c>
      <c r="F984" s="181">
        <v>0</v>
      </c>
      <c r="G984" s="181">
        <v>0</v>
      </c>
      <c r="H984" s="181">
        <v>0</v>
      </c>
      <c r="I984" s="181">
        <v>14.2875</v>
      </c>
      <c r="J984" s="181">
        <v>0</v>
      </c>
      <c r="K984" s="181">
        <v>0</v>
      </c>
      <c r="L984" s="181">
        <v>0</v>
      </c>
      <c r="M984" s="181">
        <v>41082041.706719995</v>
      </c>
      <c r="N984" s="181">
        <v>532579.57999999996</v>
      </c>
      <c r="O984" s="181">
        <v>293328.44559999998</v>
      </c>
      <c r="P984" s="181">
        <v>64.77</v>
      </c>
      <c r="Q984" s="181">
        <v>0</v>
      </c>
      <c r="R984" s="181">
        <v>0</v>
      </c>
      <c r="S984" s="181">
        <v>0</v>
      </c>
      <c r="T984" s="181">
        <v>65.531999999999996</v>
      </c>
      <c r="U984" s="181">
        <v>0</v>
      </c>
      <c r="V984" s="181">
        <v>0</v>
      </c>
    </row>
    <row r="985" spans="1:22">
      <c r="A985" s="2" t="s">
        <v>1988</v>
      </c>
      <c r="B985" s="2" t="s">
        <v>1989</v>
      </c>
      <c r="C985" s="181">
        <v>68.901807999999988</v>
      </c>
      <c r="D985" s="181">
        <v>8774.1759999999995</v>
      </c>
      <c r="E985" s="181">
        <v>203.2</v>
      </c>
      <c r="F985" s="181">
        <v>0</v>
      </c>
      <c r="G985" s="181">
        <v>0</v>
      </c>
      <c r="H985" s="181">
        <v>0</v>
      </c>
      <c r="I985" s="181">
        <v>12.7</v>
      </c>
      <c r="J985" s="181">
        <v>0</v>
      </c>
      <c r="K985" s="181">
        <v>0</v>
      </c>
      <c r="L985" s="181">
        <v>0</v>
      </c>
      <c r="M985" s="181">
        <v>36961350.593279995</v>
      </c>
      <c r="N985" s="181">
        <v>476863.5624</v>
      </c>
      <c r="O985" s="181">
        <v>262193.02399999998</v>
      </c>
      <c r="P985" s="181">
        <v>64.77</v>
      </c>
      <c r="Q985" s="181">
        <v>0</v>
      </c>
      <c r="R985" s="181">
        <v>0</v>
      </c>
      <c r="S985" s="181">
        <v>0</v>
      </c>
      <c r="T985" s="181">
        <v>58.673999999999999</v>
      </c>
      <c r="U985" s="181">
        <v>0</v>
      </c>
      <c r="V985" s="181">
        <v>0</v>
      </c>
    </row>
    <row r="986" spans="1:22">
      <c r="A986" s="2" t="s">
        <v>1990</v>
      </c>
      <c r="B986" s="2" t="s">
        <v>1991</v>
      </c>
      <c r="C986" s="181">
        <v>68.901807999999988</v>
      </c>
      <c r="D986" s="181">
        <v>8774.1759999999995</v>
      </c>
      <c r="E986" s="181">
        <v>203.2</v>
      </c>
      <c r="F986" s="181">
        <v>0</v>
      </c>
      <c r="G986" s="181">
        <v>0</v>
      </c>
      <c r="H986" s="181">
        <v>0</v>
      </c>
      <c r="I986" s="181">
        <v>12.7</v>
      </c>
      <c r="J986" s="181">
        <v>0</v>
      </c>
      <c r="K986" s="181">
        <v>0</v>
      </c>
      <c r="L986" s="181">
        <v>0</v>
      </c>
      <c r="M986" s="181">
        <v>36961350.593279995</v>
      </c>
      <c r="N986" s="181">
        <v>476863.5624</v>
      </c>
      <c r="O986" s="181">
        <v>262193.02399999998</v>
      </c>
      <c r="P986" s="181">
        <v>64.77</v>
      </c>
      <c r="Q986" s="181">
        <v>0</v>
      </c>
      <c r="R986" s="181">
        <v>0</v>
      </c>
      <c r="S986" s="181">
        <v>0</v>
      </c>
      <c r="T986" s="181">
        <v>61.722000000000001</v>
      </c>
      <c r="U986" s="181">
        <v>0</v>
      </c>
      <c r="V986" s="181">
        <v>0</v>
      </c>
    </row>
    <row r="987" spans="1:22">
      <c r="A987" s="2" t="s">
        <v>1992</v>
      </c>
      <c r="B987" s="2" t="s">
        <v>1993</v>
      </c>
      <c r="C987" s="181">
        <v>68.901807999999988</v>
      </c>
      <c r="D987" s="181">
        <v>8774.1759999999995</v>
      </c>
      <c r="E987" s="181">
        <v>203.2</v>
      </c>
      <c r="F987" s="181">
        <v>0</v>
      </c>
      <c r="G987" s="181">
        <v>0</v>
      </c>
      <c r="H987" s="181">
        <v>0</v>
      </c>
      <c r="I987" s="181">
        <v>12.7</v>
      </c>
      <c r="J987" s="181">
        <v>0</v>
      </c>
      <c r="K987" s="181">
        <v>0</v>
      </c>
      <c r="L987" s="181">
        <v>0</v>
      </c>
      <c r="M987" s="181">
        <v>36961350.593279995</v>
      </c>
      <c r="N987" s="181">
        <v>476863.5624</v>
      </c>
      <c r="O987" s="181">
        <v>262193.02399999998</v>
      </c>
      <c r="P987" s="181">
        <v>64.77</v>
      </c>
      <c r="Q987" s="181">
        <v>0</v>
      </c>
      <c r="R987" s="181">
        <v>0</v>
      </c>
      <c r="S987" s="181">
        <v>0</v>
      </c>
      <c r="T987" s="181">
        <v>65.024000000000001</v>
      </c>
      <c r="U987" s="181">
        <v>0</v>
      </c>
      <c r="V987" s="181">
        <v>0</v>
      </c>
    </row>
    <row r="988" spans="1:22">
      <c r="A988" s="2" t="s">
        <v>1994</v>
      </c>
      <c r="B988" s="2" t="s">
        <v>1995</v>
      </c>
      <c r="C988" s="181">
        <v>60.568111999999999</v>
      </c>
      <c r="D988" s="181">
        <v>7741.92</v>
      </c>
      <c r="E988" s="181">
        <v>203.2</v>
      </c>
      <c r="F988" s="181">
        <v>0</v>
      </c>
      <c r="G988" s="181">
        <v>0</v>
      </c>
      <c r="H988" s="181">
        <v>0</v>
      </c>
      <c r="I988" s="181">
        <v>11.112499999999999</v>
      </c>
      <c r="J988" s="181">
        <v>0</v>
      </c>
      <c r="K988" s="181">
        <v>0</v>
      </c>
      <c r="L988" s="181">
        <v>0</v>
      </c>
      <c r="M988" s="181">
        <v>32757413.194719996</v>
      </c>
      <c r="N988" s="181">
        <v>421147.54479999997</v>
      </c>
      <c r="O988" s="181">
        <v>231057.60239999997</v>
      </c>
      <c r="P988" s="181">
        <v>65.024000000000001</v>
      </c>
      <c r="Q988" s="181">
        <v>0</v>
      </c>
      <c r="R988" s="181">
        <v>0</v>
      </c>
      <c r="S988" s="181">
        <v>0</v>
      </c>
      <c r="T988" s="181">
        <v>58.419999999999995</v>
      </c>
      <c r="U988" s="181">
        <v>0</v>
      </c>
      <c r="V988" s="181">
        <v>0</v>
      </c>
    </row>
    <row r="989" spans="1:22">
      <c r="A989" s="2" t="s">
        <v>1996</v>
      </c>
      <c r="B989" s="2" t="s">
        <v>1997</v>
      </c>
      <c r="C989" s="181">
        <v>60.568111999999999</v>
      </c>
      <c r="D989" s="181">
        <v>7741.92</v>
      </c>
      <c r="E989" s="181">
        <v>203.2</v>
      </c>
      <c r="F989" s="181">
        <v>0</v>
      </c>
      <c r="G989" s="181">
        <v>0</v>
      </c>
      <c r="H989" s="181">
        <v>0</v>
      </c>
      <c r="I989" s="181">
        <v>11.112499999999999</v>
      </c>
      <c r="J989" s="181">
        <v>0</v>
      </c>
      <c r="K989" s="181">
        <v>0</v>
      </c>
      <c r="L989" s="181">
        <v>0</v>
      </c>
      <c r="M989" s="181">
        <v>32757413.194719996</v>
      </c>
      <c r="N989" s="181">
        <v>421147.54479999997</v>
      </c>
      <c r="O989" s="181">
        <v>231057.60239999997</v>
      </c>
      <c r="P989" s="181">
        <v>65.024000000000001</v>
      </c>
      <c r="Q989" s="181">
        <v>0</v>
      </c>
      <c r="R989" s="181">
        <v>0</v>
      </c>
      <c r="S989" s="181">
        <v>0</v>
      </c>
      <c r="T989" s="181">
        <v>61.467999999999996</v>
      </c>
      <c r="U989" s="181">
        <v>0</v>
      </c>
      <c r="V989" s="181">
        <v>0</v>
      </c>
    </row>
    <row r="990" spans="1:22">
      <c r="A990" s="2" t="s">
        <v>1998</v>
      </c>
      <c r="B990" s="2" t="s">
        <v>1999</v>
      </c>
      <c r="C990" s="181">
        <v>60.568111999999999</v>
      </c>
      <c r="D990" s="181">
        <v>7741.92</v>
      </c>
      <c r="E990" s="181">
        <v>203.2</v>
      </c>
      <c r="F990" s="181">
        <v>0</v>
      </c>
      <c r="G990" s="181">
        <v>0</v>
      </c>
      <c r="H990" s="181">
        <v>0</v>
      </c>
      <c r="I990" s="181">
        <v>11.112499999999999</v>
      </c>
      <c r="J990" s="181">
        <v>0</v>
      </c>
      <c r="K990" s="181">
        <v>0</v>
      </c>
      <c r="L990" s="181">
        <v>0</v>
      </c>
      <c r="M990" s="181">
        <v>32757413.194719996</v>
      </c>
      <c r="N990" s="181">
        <v>421147.54479999997</v>
      </c>
      <c r="O990" s="181">
        <v>231057.60239999997</v>
      </c>
      <c r="P990" s="181">
        <v>65.024000000000001</v>
      </c>
      <c r="Q990" s="181">
        <v>0</v>
      </c>
      <c r="R990" s="181">
        <v>0</v>
      </c>
      <c r="S990" s="181">
        <v>0</v>
      </c>
      <c r="T990" s="181">
        <v>64.77</v>
      </c>
      <c r="U990" s="181">
        <v>0</v>
      </c>
      <c r="V990" s="181">
        <v>0</v>
      </c>
    </row>
    <row r="991" spans="1:22">
      <c r="A991" s="2" t="s">
        <v>2000</v>
      </c>
      <c r="B991" s="2" t="s">
        <v>2001</v>
      </c>
      <c r="C991" s="181">
        <v>111.909632</v>
      </c>
      <c r="D991" s="181">
        <v>14258.036</v>
      </c>
      <c r="E991" s="181">
        <v>203.2</v>
      </c>
      <c r="F991" s="181">
        <v>0</v>
      </c>
      <c r="G991" s="181">
        <v>0</v>
      </c>
      <c r="H991" s="181">
        <v>0</v>
      </c>
      <c r="I991" s="181">
        <v>25.4</v>
      </c>
      <c r="J991" s="181">
        <v>0</v>
      </c>
      <c r="K991" s="181">
        <v>0</v>
      </c>
      <c r="L991" s="181">
        <v>0</v>
      </c>
      <c r="M991" s="181">
        <v>57856168.158399992</v>
      </c>
      <c r="N991" s="181">
        <v>796411.31039999996</v>
      </c>
      <c r="O991" s="181">
        <v>460476.49839999998</v>
      </c>
      <c r="P991" s="181">
        <v>63.753999999999991</v>
      </c>
      <c r="Q991" s="181">
        <v>0</v>
      </c>
      <c r="R991" s="181">
        <v>0</v>
      </c>
      <c r="S991" s="181">
        <v>0</v>
      </c>
      <c r="T991" s="181">
        <v>37.083999999999996</v>
      </c>
      <c r="U991" s="181">
        <v>0</v>
      </c>
      <c r="V991" s="181">
        <v>0</v>
      </c>
    </row>
    <row r="992" spans="1:22">
      <c r="A992" s="2" t="s">
        <v>2002</v>
      </c>
      <c r="B992" s="2" t="s">
        <v>2003</v>
      </c>
      <c r="C992" s="181">
        <v>111.909632</v>
      </c>
      <c r="D992" s="181">
        <v>14258.036</v>
      </c>
      <c r="E992" s="181">
        <v>203.2</v>
      </c>
      <c r="F992" s="181">
        <v>0</v>
      </c>
      <c r="G992" s="181">
        <v>0</v>
      </c>
      <c r="H992" s="181">
        <v>0</v>
      </c>
      <c r="I992" s="181">
        <v>25.4</v>
      </c>
      <c r="J992" s="181">
        <v>0</v>
      </c>
      <c r="K992" s="181">
        <v>0</v>
      </c>
      <c r="L992" s="181">
        <v>0</v>
      </c>
      <c r="M992" s="181">
        <v>57856168.158399992</v>
      </c>
      <c r="N992" s="181">
        <v>796411.31039999996</v>
      </c>
      <c r="O992" s="181">
        <v>460476.49839999998</v>
      </c>
      <c r="P992" s="181">
        <v>63.753999999999991</v>
      </c>
      <c r="Q992" s="181">
        <v>0</v>
      </c>
      <c r="R992" s="181">
        <v>0</v>
      </c>
      <c r="S992" s="181">
        <v>0</v>
      </c>
      <c r="T992" s="181">
        <v>40.64</v>
      </c>
      <c r="U992" s="181">
        <v>0</v>
      </c>
      <c r="V992" s="181">
        <v>0</v>
      </c>
    </row>
    <row r="993" spans="1:22">
      <c r="A993" s="2" t="s">
        <v>2004</v>
      </c>
      <c r="B993" s="2" t="s">
        <v>2005</v>
      </c>
      <c r="C993" s="181">
        <v>111.909632</v>
      </c>
      <c r="D993" s="181">
        <v>14258.036</v>
      </c>
      <c r="E993" s="181">
        <v>203.2</v>
      </c>
      <c r="F993" s="181">
        <v>0</v>
      </c>
      <c r="G993" s="181">
        <v>0</v>
      </c>
      <c r="H993" s="181">
        <v>0</v>
      </c>
      <c r="I993" s="181">
        <v>25.4</v>
      </c>
      <c r="J993" s="181">
        <v>0</v>
      </c>
      <c r="K993" s="181">
        <v>0</v>
      </c>
      <c r="L993" s="181">
        <v>0</v>
      </c>
      <c r="M993" s="181">
        <v>57856168.158399992</v>
      </c>
      <c r="N993" s="181">
        <v>796411.31039999996</v>
      </c>
      <c r="O993" s="181">
        <v>460476.49839999998</v>
      </c>
      <c r="P993" s="181">
        <v>63.753999999999991</v>
      </c>
      <c r="Q993" s="181">
        <v>0</v>
      </c>
      <c r="R993" s="181">
        <v>0</v>
      </c>
      <c r="S993" s="181">
        <v>0</v>
      </c>
      <c r="T993" s="181">
        <v>44.449999999999996</v>
      </c>
      <c r="U993" s="181">
        <v>0</v>
      </c>
      <c r="V993" s="181">
        <v>0</v>
      </c>
    </row>
    <row r="994" spans="1:22">
      <c r="A994" s="2" t="s">
        <v>2006</v>
      </c>
      <c r="B994" s="2" t="s">
        <v>2007</v>
      </c>
      <c r="C994" s="181">
        <v>99.11145599999999</v>
      </c>
      <c r="D994" s="181">
        <v>12645.136</v>
      </c>
      <c r="E994" s="181">
        <v>203.2</v>
      </c>
      <c r="F994" s="181">
        <v>0</v>
      </c>
      <c r="G994" s="181">
        <v>0</v>
      </c>
      <c r="H994" s="181">
        <v>0</v>
      </c>
      <c r="I994" s="181">
        <v>22.224999999999998</v>
      </c>
      <c r="J994" s="181">
        <v>0</v>
      </c>
      <c r="K994" s="181">
        <v>0</v>
      </c>
      <c r="L994" s="181">
        <v>0</v>
      </c>
      <c r="M994" s="181">
        <v>52028928.199999996</v>
      </c>
      <c r="N994" s="181">
        <v>711198.57759999996</v>
      </c>
      <c r="O994" s="181">
        <v>409676.6</v>
      </c>
      <c r="P994" s="181">
        <v>64.261999999999986</v>
      </c>
      <c r="Q994" s="181">
        <v>0</v>
      </c>
      <c r="R994" s="181">
        <v>0</v>
      </c>
      <c r="S994" s="181">
        <v>0</v>
      </c>
      <c r="T994" s="181">
        <v>36.575999999999993</v>
      </c>
      <c r="U994" s="181">
        <v>0</v>
      </c>
      <c r="V994" s="181">
        <v>0</v>
      </c>
    </row>
    <row r="995" spans="1:22">
      <c r="A995" s="2" t="s">
        <v>2008</v>
      </c>
      <c r="B995" s="2" t="s">
        <v>2009</v>
      </c>
      <c r="C995" s="181">
        <v>99.11145599999999</v>
      </c>
      <c r="D995" s="181">
        <v>12645.136</v>
      </c>
      <c r="E995" s="181">
        <v>203.2</v>
      </c>
      <c r="F995" s="181">
        <v>0</v>
      </c>
      <c r="G995" s="181">
        <v>0</v>
      </c>
      <c r="H995" s="181">
        <v>0</v>
      </c>
      <c r="I995" s="181">
        <v>22.224999999999998</v>
      </c>
      <c r="J995" s="181">
        <v>0</v>
      </c>
      <c r="K995" s="181">
        <v>0</v>
      </c>
      <c r="L995" s="181">
        <v>0</v>
      </c>
      <c r="M995" s="181">
        <v>52028928.199999996</v>
      </c>
      <c r="N995" s="181">
        <v>711198.57759999996</v>
      </c>
      <c r="O995" s="181">
        <v>409676.6</v>
      </c>
      <c r="P995" s="181">
        <v>64.261999999999986</v>
      </c>
      <c r="Q995" s="181">
        <v>0</v>
      </c>
      <c r="R995" s="181">
        <v>0</v>
      </c>
      <c r="S995" s="181">
        <v>0</v>
      </c>
      <c r="T995" s="181">
        <v>39.878</v>
      </c>
      <c r="U995" s="181">
        <v>0</v>
      </c>
      <c r="V995" s="181">
        <v>0</v>
      </c>
    </row>
    <row r="996" spans="1:22">
      <c r="A996" s="2" t="s">
        <v>2010</v>
      </c>
      <c r="B996" s="2" t="s">
        <v>2011</v>
      </c>
      <c r="C996" s="181">
        <v>99.11145599999999</v>
      </c>
      <c r="D996" s="181">
        <v>12645.136</v>
      </c>
      <c r="E996" s="181">
        <v>203.2</v>
      </c>
      <c r="F996" s="181">
        <v>0</v>
      </c>
      <c r="G996" s="181">
        <v>0</v>
      </c>
      <c r="H996" s="181">
        <v>0</v>
      </c>
      <c r="I996" s="181">
        <v>22.224999999999998</v>
      </c>
      <c r="J996" s="181">
        <v>0</v>
      </c>
      <c r="K996" s="181">
        <v>0</v>
      </c>
      <c r="L996" s="181">
        <v>0</v>
      </c>
      <c r="M996" s="181">
        <v>52028928.199999996</v>
      </c>
      <c r="N996" s="181">
        <v>711198.57759999996</v>
      </c>
      <c r="O996" s="181">
        <v>409676.6</v>
      </c>
      <c r="P996" s="181">
        <v>64.261999999999986</v>
      </c>
      <c r="Q996" s="181">
        <v>0</v>
      </c>
      <c r="R996" s="181">
        <v>0</v>
      </c>
      <c r="S996" s="181">
        <v>0</v>
      </c>
      <c r="T996" s="181">
        <v>43.687999999999995</v>
      </c>
      <c r="U996" s="181">
        <v>0</v>
      </c>
      <c r="V996" s="181">
        <v>0</v>
      </c>
    </row>
    <row r="997" spans="1:22">
      <c r="A997" s="2" t="s">
        <v>2012</v>
      </c>
      <c r="B997" s="2" t="s">
        <v>2013</v>
      </c>
      <c r="C997" s="181">
        <v>86.015647999999985</v>
      </c>
      <c r="D997" s="181">
        <v>10967.72</v>
      </c>
      <c r="E997" s="181">
        <v>203.2</v>
      </c>
      <c r="F997" s="181">
        <v>0</v>
      </c>
      <c r="G997" s="181">
        <v>0</v>
      </c>
      <c r="H997" s="181">
        <v>0</v>
      </c>
      <c r="I997" s="181">
        <v>19.049999999999997</v>
      </c>
      <c r="J997" s="181">
        <v>0</v>
      </c>
      <c r="K997" s="181">
        <v>0</v>
      </c>
      <c r="L997" s="181">
        <v>0</v>
      </c>
      <c r="M997" s="181">
        <v>45785456.815999992</v>
      </c>
      <c r="N997" s="181">
        <v>621069.72559999989</v>
      </c>
      <c r="O997" s="181">
        <v>355599.28879999998</v>
      </c>
      <c r="P997" s="181">
        <v>64.77</v>
      </c>
      <c r="Q997" s="181">
        <v>0</v>
      </c>
      <c r="R997" s="181">
        <v>0</v>
      </c>
      <c r="S997" s="181">
        <v>0</v>
      </c>
      <c r="T997" s="181">
        <v>36.067999999999998</v>
      </c>
      <c r="U997" s="181">
        <v>0</v>
      </c>
      <c r="V997" s="181">
        <v>0</v>
      </c>
    </row>
    <row r="998" spans="1:22">
      <c r="A998" s="2" t="s">
        <v>2014</v>
      </c>
      <c r="B998" s="2" t="s">
        <v>2015</v>
      </c>
      <c r="C998" s="181">
        <v>86.015647999999985</v>
      </c>
      <c r="D998" s="181">
        <v>10967.72</v>
      </c>
      <c r="E998" s="181">
        <v>203.2</v>
      </c>
      <c r="F998" s="181">
        <v>0</v>
      </c>
      <c r="G998" s="181">
        <v>0</v>
      </c>
      <c r="H998" s="181">
        <v>0</v>
      </c>
      <c r="I998" s="181">
        <v>19.049999999999997</v>
      </c>
      <c r="J998" s="181">
        <v>0</v>
      </c>
      <c r="K998" s="181">
        <v>0</v>
      </c>
      <c r="L998" s="181">
        <v>0</v>
      </c>
      <c r="M998" s="181">
        <v>45785456.815999992</v>
      </c>
      <c r="N998" s="181">
        <v>621069.72559999989</v>
      </c>
      <c r="O998" s="181">
        <v>355599.28879999998</v>
      </c>
      <c r="P998" s="181">
        <v>64.77</v>
      </c>
      <c r="Q998" s="181">
        <v>0</v>
      </c>
      <c r="R998" s="181">
        <v>0</v>
      </c>
      <c r="S998" s="181">
        <v>0</v>
      </c>
      <c r="T998" s="181">
        <v>39.369999999999997</v>
      </c>
      <c r="U998" s="181">
        <v>0</v>
      </c>
      <c r="V998" s="181">
        <v>0</v>
      </c>
    </row>
    <row r="999" spans="1:22">
      <c r="A999" s="2" t="s">
        <v>2016</v>
      </c>
      <c r="B999" s="2" t="s">
        <v>2017</v>
      </c>
      <c r="C999" s="181">
        <v>86.015647999999985</v>
      </c>
      <c r="D999" s="181">
        <v>10967.72</v>
      </c>
      <c r="E999" s="181">
        <v>203.2</v>
      </c>
      <c r="F999" s="181">
        <v>0</v>
      </c>
      <c r="G999" s="181">
        <v>0</v>
      </c>
      <c r="H999" s="181">
        <v>0</v>
      </c>
      <c r="I999" s="181">
        <v>19.049999999999997</v>
      </c>
      <c r="J999" s="181">
        <v>0</v>
      </c>
      <c r="K999" s="181">
        <v>0</v>
      </c>
      <c r="L999" s="181">
        <v>0</v>
      </c>
      <c r="M999" s="181">
        <v>45785456.815999992</v>
      </c>
      <c r="N999" s="181">
        <v>621069.72559999989</v>
      </c>
      <c r="O999" s="181">
        <v>355599.28879999998</v>
      </c>
      <c r="P999" s="181">
        <v>64.77</v>
      </c>
      <c r="Q999" s="181">
        <v>0</v>
      </c>
      <c r="R999" s="181">
        <v>0</v>
      </c>
      <c r="S999" s="181">
        <v>0</v>
      </c>
      <c r="T999" s="181">
        <v>42.925999999999995</v>
      </c>
      <c r="U999" s="181">
        <v>0</v>
      </c>
      <c r="V999" s="181">
        <v>0</v>
      </c>
    </row>
    <row r="1000" spans="1:22">
      <c r="A1000" s="2" t="s">
        <v>2018</v>
      </c>
      <c r="B1000" s="2" t="s">
        <v>2019</v>
      </c>
      <c r="C1000" s="181">
        <v>72.473392000000004</v>
      </c>
      <c r="D1000" s="181">
        <v>9225.7880000000005</v>
      </c>
      <c r="E1000" s="181">
        <v>203.2</v>
      </c>
      <c r="F1000" s="181">
        <v>0</v>
      </c>
      <c r="G1000" s="181">
        <v>0</v>
      </c>
      <c r="H1000" s="181">
        <v>0</v>
      </c>
      <c r="I1000" s="181">
        <v>15.875</v>
      </c>
      <c r="J1000" s="181">
        <v>0</v>
      </c>
      <c r="K1000" s="181">
        <v>0</v>
      </c>
      <c r="L1000" s="181">
        <v>0</v>
      </c>
      <c r="M1000" s="181">
        <v>39167377.148959994</v>
      </c>
      <c r="N1000" s="181">
        <v>527663.4608</v>
      </c>
      <c r="O1000" s="181">
        <v>301521.97759999993</v>
      </c>
      <c r="P1000" s="181">
        <v>65.024000000000001</v>
      </c>
      <c r="Q1000" s="181">
        <v>0</v>
      </c>
      <c r="R1000" s="181">
        <v>0</v>
      </c>
      <c r="S1000" s="181">
        <v>0</v>
      </c>
      <c r="T1000" s="181">
        <v>35.305999999999997</v>
      </c>
      <c r="U1000" s="181">
        <v>0</v>
      </c>
      <c r="V1000" s="181">
        <v>0</v>
      </c>
    </row>
    <row r="1001" spans="1:22">
      <c r="A1001" s="2" t="s">
        <v>2020</v>
      </c>
      <c r="B1001" s="2" t="s">
        <v>2021</v>
      </c>
      <c r="C1001" s="181">
        <v>72.473392000000004</v>
      </c>
      <c r="D1001" s="181">
        <v>9225.7880000000005</v>
      </c>
      <c r="E1001" s="181">
        <v>203.2</v>
      </c>
      <c r="F1001" s="181">
        <v>0</v>
      </c>
      <c r="G1001" s="181">
        <v>0</v>
      </c>
      <c r="H1001" s="181">
        <v>0</v>
      </c>
      <c r="I1001" s="181">
        <v>15.875</v>
      </c>
      <c r="J1001" s="181">
        <v>0</v>
      </c>
      <c r="K1001" s="181">
        <v>0</v>
      </c>
      <c r="L1001" s="181">
        <v>0</v>
      </c>
      <c r="M1001" s="181">
        <v>39167377.148959994</v>
      </c>
      <c r="N1001" s="181">
        <v>527663.4608</v>
      </c>
      <c r="O1001" s="181">
        <v>301521.97759999993</v>
      </c>
      <c r="P1001" s="181">
        <v>65.024000000000001</v>
      </c>
      <c r="Q1001" s="181">
        <v>0</v>
      </c>
      <c r="R1001" s="181">
        <v>0</v>
      </c>
      <c r="S1001" s="181">
        <v>0</v>
      </c>
      <c r="T1001" s="181">
        <v>38.607999999999997</v>
      </c>
      <c r="U1001" s="181">
        <v>0</v>
      </c>
      <c r="V1001" s="181">
        <v>0</v>
      </c>
    </row>
    <row r="1002" spans="1:22">
      <c r="A1002" s="2" t="s">
        <v>2022</v>
      </c>
      <c r="B1002" s="2" t="s">
        <v>2023</v>
      </c>
      <c r="C1002" s="181">
        <v>72.473392000000004</v>
      </c>
      <c r="D1002" s="181">
        <v>9225.7880000000005</v>
      </c>
      <c r="E1002" s="181">
        <v>203.2</v>
      </c>
      <c r="F1002" s="181">
        <v>0</v>
      </c>
      <c r="G1002" s="181">
        <v>0</v>
      </c>
      <c r="H1002" s="181">
        <v>0</v>
      </c>
      <c r="I1002" s="181">
        <v>15.875</v>
      </c>
      <c r="J1002" s="181">
        <v>0</v>
      </c>
      <c r="K1002" s="181">
        <v>0</v>
      </c>
      <c r="L1002" s="181">
        <v>0</v>
      </c>
      <c r="M1002" s="181">
        <v>39167377.148959994</v>
      </c>
      <c r="N1002" s="181">
        <v>527663.4608</v>
      </c>
      <c r="O1002" s="181">
        <v>301521.97759999993</v>
      </c>
      <c r="P1002" s="181">
        <v>65.024000000000001</v>
      </c>
      <c r="Q1002" s="181">
        <v>0</v>
      </c>
      <c r="R1002" s="181">
        <v>0</v>
      </c>
      <c r="S1002" s="181">
        <v>0</v>
      </c>
      <c r="T1002" s="181">
        <v>42.163999999999994</v>
      </c>
      <c r="U1002" s="181">
        <v>0</v>
      </c>
      <c r="V1002" s="181">
        <v>0</v>
      </c>
    </row>
    <row r="1003" spans="1:22">
      <c r="A1003" s="2" t="s">
        <v>2024</v>
      </c>
      <c r="B1003" s="2" t="s">
        <v>2025</v>
      </c>
      <c r="C1003" s="181">
        <v>65.627855999999994</v>
      </c>
      <c r="D1003" s="181">
        <v>8387.08</v>
      </c>
      <c r="E1003" s="181">
        <v>203.2</v>
      </c>
      <c r="F1003" s="181">
        <v>0</v>
      </c>
      <c r="G1003" s="181">
        <v>0</v>
      </c>
      <c r="H1003" s="181">
        <v>0</v>
      </c>
      <c r="I1003" s="181">
        <v>14.2875</v>
      </c>
      <c r="J1003" s="181">
        <v>0</v>
      </c>
      <c r="K1003" s="181">
        <v>0</v>
      </c>
      <c r="L1003" s="181">
        <v>0</v>
      </c>
      <c r="M1003" s="181">
        <v>35671033.173919998</v>
      </c>
      <c r="N1003" s="181">
        <v>478502.26879999996</v>
      </c>
      <c r="O1003" s="181">
        <v>273663.96879999997</v>
      </c>
      <c r="P1003" s="181">
        <v>65.277999999999992</v>
      </c>
      <c r="Q1003" s="181">
        <v>0</v>
      </c>
      <c r="R1003" s="181">
        <v>0</v>
      </c>
      <c r="S1003" s="181">
        <v>0</v>
      </c>
      <c r="T1003" s="181">
        <v>35.051999999999992</v>
      </c>
      <c r="U1003" s="181">
        <v>0</v>
      </c>
      <c r="V1003" s="181">
        <v>0</v>
      </c>
    </row>
    <row r="1004" spans="1:22">
      <c r="A1004" s="2" t="s">
        <v>2026</v>
      </c>
      <c r="B1004" s="2" t="s">
        <v>2027</v>
      </c>
      <c r="C1004" s="181">
        <v>65.627855999999994</v>
      </c>
      <c r="D1004" s="181">
        <v>8387.08</v>
      </c>
      <c r="E1004" s="181">
        <v>203.2</v>
      </c>
      <c r="F1004" s="181">
        <v>0</v>
      </c>
      <c r="G1004" s="181">
        <v>0</v>
      </c>
      <c r="H1004" s="181">
        <v>0</v>
      </c>
      <c r="I1004" s="181">
        <v>14.2875</v>
      </c>
      <c r="J1004" s="181">
        <v>0</v>
      </c>
      <c r="K1004" s="181">
        <v>0</v>
      </c>
      <c r="L1004" s="181">
        <v>0</v>
      </c>
      <c r="M1004" s="181">
        <v>35671033.173919998</v>
      </c>
      <c r="N1004" s="181">
        <v>478502.26879999996</v>
      </c>
      <c r="O1004" s="181">
        <v>273663.96879999997</v>
      </c>
      <c r="P1004" s="181">
        <v>65.277999999999992</v>
      </c>
      <c r="Q1004" s="181">
        <v>0</v>
      </c>
      <c r="R1004" s="181">
        <v>0</v>
      </c>
      <c r="S1004" s="181">
        <v>0</v>
      </c>
      <c r="T1004" s="181">
        <v>38.353999999999999</v>
      </c>
      <c r="U1004" s="181">
        <v>0</v>
      </c>
      <c r="V1004" s="181">
        <v>0</v>
      </c>
    </row>
    <row r="1005" spans="1:22">
      <c r="A1005" s="2" t="s">
        <v>2028</v>
      </c>
      <c r="B1005" s="2" t="s">
        <v>2029</v>
      </c>
      <c r="C1005" s="181">
        <v>65.627855999999994</v>
      </c>
      <c r="D1005" s="181">
        <v>8387.08</v>
      </c>
      <c r="E1005" s="181">
        <v>203.2</v>
      </c>
      <c r="F1005" s="181">
        <v>0</v>
      </c>
      <c r="G1005" s="181">
        <v>0</v>
      </c>
      <c r="H1005" s="181">
        <v>0</v>
      </c>
      <c r="I1005" s="181">
        <v>14.2875</v>
      </c>
      <c r="J1005" s="181">
        <v>0</v>
      </c>
      <c r="K1005" s="181">
        <v>0</v>
      </c>
      <c r="L1005" s="181">
        <v>0</v>
      </c>
      <c r="M1005" s="181">
        <v>35671033.173919998</v>
      </c>
      <c r="N1005" s="181">
        <v>478502.26879999996</v>
      </c>
      <c r="O1005" s="181">
        <v>273663.96879999997</v>
      </c>
      <c r="P1005" s="181">
        <v>65.277999999999992</v>
      </c>
      <c r="Q1005" s="181">
        <v>0</v>
      </c>
      <c r="R1005" s="181">
        <v>0</v>
      </c>
      <c r="S1005" s="181">
        <v>0</v>
      </c>
      <c r="T1005" s="181">
        <v>41.91</v>
      </c>
      <c r="U1005" s="181">
        <v>0</v>
      </c>
      <c r="V1005" s="181">
        <v>0</v>
      </c>
    </row>
    <row r="1006" spans="1:22">
      <c r="A1006" s="2" t="s">
        <v>2030</v>
      </c>
      <c r="B1006" s="2" t="s">
        <v>2031</v>
      </c>
      <c r="C1006" s="181">
        <v>58.782319999999999</v>
      </c>
      <c r="D1006" s="181">
        <v>7483.8559999999998</v>
      </c>
      <c r="E1006" s="181">
        <v>203.2</v>
      </c>
      <c r="F1006" s="181">
        <v>0</v>
      </c>
      <c r="G1006" s="181">
        <v>0</v>
      </c>
      <c r="H1006" s="181">
        <v>0</v>
      </c>
      <c r="I1006" s="181">
        <v>12.7</v>
      </c>
      <c r="J1006" s="181">
        <v>0</v>
      </c>
      <c r="K1006" s="181">
        <v>0</v>
      </c>
      <c r="L1006" s="181">
        <v>0</v>
      </c>
      <c r="M1006" s="181">
        <v>32133066.056319997</v>
      </c>
      <c r="N1006" s="181">
        <v>429341.07679999992</v>
      </c>
      <c r="O1006" s="181">
        <v>245805.95999999996</v>
      </c>
      <c r="P1006" s="181">
        <v>65.531999999999996</v>
      </c>
      <c r="Q1006" s="181">
        <v>0</v>
      </c>
      <c r="R1006" s="181">
        <v>0</v>
      </c>
      <c r="S1006" s="181">
        <v>0</v>
      </c>
      <c r="T1006" s="181">
        <v>35.051999999999992</v>
      </c>
      <c r="U1006" s="181">
        <v>0</v>
      </c>
      <c r="V1006" s="181">
        <v>0</v>
      </c>
    </row>
    <row r="1007" spans="1:22">
      <c r="A1007" s="2" t="s">
        <v>2032</v>
      </c>
      <c r="B1007" s="2" t="s">
        <v>2033</v>
      </c>
      <c r="C1007" s="181">
        <v>58.782319999999999</v>
      </c>
      <c r="D1007" s="181">
        <v>7483.8559999999998</v>
      </c>
      <c r="E1007" s="181">
        <v>203.2</v>
      </c>
      <c r="F1007" s="181">
        <v>0</v>
      </c>
      <c r="G1007" s="181">
        <v>0</v>
      </c>
      <c r="H1007" s="181">
        <v>0</v>
      </c>
      <c r="I1007" s="181">
        <v>12.7</v>
      </c>
      <c r="J1007" s="181">
        <v>0</v>
      </c>
      <c r="K1007" s="181">
        <v>0</v>
      </c>
      <c r="L1007" s="181">
        <v>0</v>
      </c>
      <c r="M1007" s="181">
        <v>32133066.056319997</v>
      </c>
      <c r="N1007" s="181">
        <v>429341.07679999992</v>
      </c>
      <c r="O1007" s="181">
        <v>245805.95999999996</v>
      </c>
      <c r="P1007" s="181">
        <v>65.531999999999996</v>
      </c>
      <c r="Q1007" s="181">
        <v>0</v>
      </c>
      <c r="R1007" s="181">
        <v>0</v>
      </c>
      <c r="S1007" s="181">
        <v>0</v>
      </c>
      <c r="T1007" s="181">
        <v>38.099999999999994</v>
      </c>
      <c r="U1007" s="181">
        <v>0</v>
      </c>
      <c r="V1007" s="181">
        <v>0</v>
      </c>
    </row>
    <row r="1008" spans="1:22">
      <c r="A1008" s="2" t="s">
        <v>2034</v>
      </c>
      <c r="B1008" s="2" t="s">
        <v>2035</v>
      </c>
      <c r="C1008" s="181">
        <v>58.782319999999999</v>
      </c>
      <c r="D1008" s="181">
        <v>7483.8559999999998</v>
      </c>
      <c r="E1008" s="181">
        <v>203.2</v>
      </c>
      <c r="F1008" s="181">
        <v>0</v>
      </c>
      <c r="G1008" s="181">
        <v>0</v>
      </c>
      <c r="H1008" s="181">
        <v>0</v>
      </c>
      <c r="I1008" s="181">
        <v>12.7</v>
      </c>
      <c r="J1008" s="181">
        <v>0</v>
      </c>
      <c r="K1008" s="181">
        <v>0</v>
      </c>
      <c r="L1008" s="181">
        <v>0</v>
      </c>
      <c r="M1008" s="181">
        <v>32133066.056319997</v>
      </c>
      <c r="N1008" s="181">
        <v>429341.07679999992</v>
      </c>
      <c r="O1008" s="181">
        <v>245805.95999999996</v>
      </c>
      <c r="P1008" s="181">
        <v>65.531999999999996</v>
      </c>
      <c r="Q1008" s="181">
        <v>0</v>
      </c>
      <c r="R1008" s="181">
        <v>0</v>
      </c>
      <c r="S1008" s="181">
        <v>0</v>
      </c>
      <c r="T1008" s="181">
        <v>41.401999999999994</v>
      </c>
      <c r="U1008" s="181">
        <v>0</v>
      </c>
      <c r="V1008" s="181">
        <v>0</v>
      </c>
    </row>
    <row r="1009" spans="1:22">
      <c r="A1009" s="2" t="s">
        <v>2036</v>
      </c>
      <c r="B1009" s="2" t="s">
        <v>2037</v>
      </c>
      <c r="C1009" s="181">
        <v>51.787967999999992</v>
      </c>
      <c r="D1009" s="181">
        <v>6580.6319999999996</v>
      </c>
      <c r="E1009" s="181">
        <v>203.2</v>
      </c>
      <c r="F1009" s="181">
        <v>0</v>
      </c>
      <c r="G1009" s="181">
        <v>0</v>
      </c>
      <c r="H1009" s="181">
        <v>0</v>
      </c>
      <c r="I1009" s="181">
        <v>11.112499999999999</v>
      </c>
      <c r="J1009" s="181">
        <v>0</v>
      </c>
      <c r="K1009" s="181">
        <v>0</v>
      </c>
      <c r="L1009" s="181">
        <v>0</v>
      </c>
      <c r="M1009" s="181">
        <v>28511852.653599996</v>
      </c>
      <c r="N1009" s="181">
        <v>380179.88479999994</v>
      </c>
      <c r="O1009" s="181">
        <v>216309.24479999996</v>
      </c>
      <c r="P1009" s="181">
        <v>65.785999999999987</v>
      </c>
      <c r="Q1009" s="181">
        <v>0</v>
      </c>
      <c r="R1009" s="181">
        <v>0</v>
      </c>
      <c r="S1009" s="181">
        <v>0</v>
      </c>
      <c r="T1009" s="181">
        <v>34.798000000000002</v>
      </c>
      <c r="U1009" s="181">
        <v>0</v>
      </c>
      <c r="V1009" s="181">
        <v>0</v>
      </c>
    </row>
    <row r="1010" spans="1:22">
      <c r="A1010" s="2" t="s">
        <v>2038</v>
      </c>
      <c r="B1010" s="2" t="s">
        <v>2039</v>
      </c>
      <c r="C1010" s="181">
        <v>51.787967999999992</v>
      </c>
      <c r="D1010" s="181">
        <v>6580.6319999999996</v>
      </c>
      <c r="E1010" s="181">
        <v>203.2</v>
      </c>
      <c r="F1010" s="181">
        <v>0</v>
      </c>
      <c r="G1010" s="181">
        <v>0</v>
      </c>
      <c r="H1010" s="181">
        <v>0</v>
      </c>
      <c r="I1010" s="181">
        <v>11.112499999999999</v>
      </c>
      <c r="J1010" s="181">
        <v>0</v>
      </c>
      <c r="K1010" s="181">
        <v>0</v>
      </c>
      <c r="L1010" s="181">
        <v>0</v>
      </c>
      <c r="M1010" s="181">
        <v>28511852.653599996</v>
      </c>
      <c r="N1010" s="181">
        <v>380179.88479999994</v>
      </c>
      <c r="O1010" s="181">
        <v>216309.24479999996</v>
      </c>
      <c r="P1010" s="181">
        <v>65.785999999999987</v>
      </c>
      <c r="Q1010" s="181">
        <v>0</v>
      </c>
      <c r="R1010" s="181">
        <v>0</v>
      </c>
      <c r="S1010" s="181">
        <v>0</v>
      </c>
      <c r="T1010" s="181">
        <v>37.845999999999997</v>
      </c>
      <c r="U1010" s="181">
        <v>0</v>
      </c>
      <c r="V1010" s="181">
        <v>0</v>
      </c>
    </row>
    <row r="1011" spans="1:22">
      <c r="A1011" s="2" t="s">
        <v>2040</v>
      </c>
      <c r="B1011" s="2" t="s">
        <v>2041</v>
      </c>
      <c r="C1011" s="181">
        <v>51.787967999999992</v>
      </c>
      <c r="D1011" s="181">
        <v>6580.6319999999996</v>
      </c>
      <c r="E1011" s="181">
        <v>203.2</v>
      </c>
      <c r="F1011" s="181">
        <v>0</v>
      </c>
      <c r="G1011" s="181">
        <v>0</v>
      </c>
      <c r="H1011" s="181">
        <v>0</v>
      </c>
      <c r="I1011" s="181">
        <v>11.112499999999999</v>
      </c>
      <c r="J1011" s="181">
        <v>0</v>
      </c>
      <c r="K1011" s="181">
        <v>0</v>
      </c>
      <c r="L1011" s="181">
        <v>0</v>
      </c>
      <c r="M1011" s="181">
        <v>28511852.653599996</v>
      </c>
      <c r="N1011" s="181">
        <v>380179.88479999994</v>
      </c>
      <c r="O1011" s="181">
        <v>216309.24479999996</v>
      </c>
      <c r="P1011" s="181">
        <v>65.785999999999987</v>
      </c>
      <c r="Q1011" s="181">
        <v>0</v>
      </c>
      <c r="R1011" s="181">
        <v>0</v>
      </c>
      <c r="S1011" s="181">
        <v>0</v>
      </c>
      <c r="T1011" s="181">
        <v>41.148000000000003</v>
      </c>
      <c r="U1011" s="181">
        <v>0</v>
      </c>
      <c r="V1011" s="181">
        <v>0</v>
      </c>
    </row>
    <row r="1012" spans="1:22">
      <c r="A1012" s="2" t="s">
        <v>2042</v>
      </c>
      <c r="B1012" s="2" t="s">
        <v>2043</v>
      </c>
      <c r="C1012" s="181">
        <v>77.979583999999988</v>
      </c>
      <c r="D1012" s="181">
        <v>9935.4639999999999</v>
      </c>
      <c r="E1012" s="181">
        <v>177.79999999999998</v>
      </c>
      <c r="F1012" s="181">
        <v>0</v>
      </c>
      <c r="G1012" s="181">
        <v>0</v>
      </c>
      <c r="H1012" s="181">
        <v>0</v>
      </c>
      <c r="I1012" s="181">
        <v>19.049999999999997</v>
      </c>
      <c r="J1012" s="181">
        <v>0</v>
      </c>
      <c r="K1012" s="181">
        <v>0</v>
      </c>
      <c r="L1012" s="181">
        <v>0</v>
      </c>
      <c r="M1012" s="181">
        <v>31467095.775359996</v>
      </c>
      <c r="N1012" s="181">
        <v>483418.38799999998</v>
      </c>
      <c r="O1012" s="181">
        <v>275302.6752</v>
      </c>
      <c r="P1012" s="181">
        <v>56.133999999999993</v>
      </c>
      <c r="Q1012" s="181">
        <v>0</v>
      </c>
      <c r="R1012" s="181">
        <v>0</v>
      </c>
      <c r="S1012" s="181">
        <v>0</v>
      </c>
      <c r="T1012" s="181">
        <v>37.591999999999999</v>
      </c>
      <c r="U1012" s="181">
        <v>0</v>
      </c>
      <c r="V1012" s="181">
        <v>0</v>
      </c>
    </row>
    <row r="1013" spans="1:22">
      <c r="A1013" s="2" t="s">
        <v>2044</v>
      </c>
      <c r="B1013" s="2" t="s">
        <v>2045</v>
      </c>
      <c r="C1013" s="181">
        <v>77.979583999999988</v>
      </c>
      <c r="D1013" s="181">
        <v>9935.4639999999999</v>
      </c>
      <c r="E1013" s="181">
        <v>177.79999999999998</v>
      </c>
      <c r="F1013" s="181">
        <v>0</v>
      </c>
      <c r="G1013" s="181">
        <v>0</v>
      </c>
      <c r="H1013" s="181">
        <v>0</v>
      </c>
      <c r="I1013" s="181">
        <v>19.049999999999997</v>
      </c>
      <c r="J1013" s="181">
        <v>0</v>
      </c>
      <c r="K1013" s="181">
        <v>0</v>
      </c>
      <c r="L1013" s="181">
        <v>0</v>
      </c>
      <c r="M1013" s="181">
        <v>31467095.775359996</v>
      </c>
      <c r="N1013" s="181">
        <v>483418.38799999998</v>
      </c>
      <c r="O1013" s="181">
        <v>275302.6752</v>
      </c>
      <c r="P1013" s="181">
        <v>56.133999999999993</v>
      </c>
      <c r="Q1013" s="181">
        <v>0</v>
      </c>
      <c r="R1013" s="181">
        <v>0</v>
      </c>
      <c r="S1013" s="181">
        <v>0</v>
      </c>
      <c r="T1013" s="181">
        <v>40.893999999999998</v>
      </c>
      <c r="U1013" s="181">
        <v>0</v>
      </c>
      <c r="V1013" s="181">
        <v>0</v>
      </c>
    </row>
    <row r="1014" spans="1:22">
      <c r="A1014" s="2" t="s">
        <v>2046</v>
      </c>
      <c r="B1014" s="2" t="s">
        <v>2047</v>
      </c>
      <c r="C1014" s="181">
        <v>77.979583999999988</v>
      </c>
      <c r="D1014" s="181">
        <v>9935.4639999999999</v>
      </c>
      <c r="E1014" s="181">
        <v>177.79999999999998</v>
      </c>
      <c r="F1014" s="181">
        <v>0</v>
      </c>
      <c r="G1014" s="181">
        <v>0</v>
      </c>
      <c r="H1014" s="181">
        <v>0</v>
      </c>
      <c r="I1014" s="181">
        <v>19.049999999999997</v>
      </c>
      <c r="J1014" s="181">
        <v>0</v>
      </c>
      <c r="K1014" s="181">
        <v>0</v>
      </c>
      <c r="L1014" s="181">
        <v>0</v>
      </c>
      <c r="M1014" s="181">
        <v>31467095.775359996</v>
      </c>
      <c r="N1014" s="181">
        <v>483418.38799999998</v>
      </c>
      <c r="O1014" s="181">
        <v>275302.6752</v>
      </c>
      <c r="P1014" s="181">
        <v>56.133999999999993</v>
      </c>
      <c r="Q1014" s="181">
        <v>0</v>
      </c>
      <c r="R1014" s="181">
        <v>0</v>
      </c>
      <c r="S1014" s="181">
        <v>0</v>
      </c>
      <c r="T1014" s="181">
        <v>44.449999999999996</v>
      </c>
      <c r="U1014" s="181">
        <v>0</v>
      </c>
      <c r="V1014" s="181">
        <v>0</v>
      </c>
    </row>
    <row r="1015" spans="1:22">
      <c r="A1015" s="2" t="s">
        <v>2048</v>
      </c>
      <c r="B1015" s="2" t="s">
        <v>2049</v>
      </c>
      <c r="C1015" s="181">
        <v>65.776672000000005</v>
      </c>
      <c r="D1015" s="181">
        <v>8387.08</v>
      </c>
      <c r="E1015" s="181">
        <v>177.79999999999998</v>
      </c>
      <c r="F1015" s="181">
        <v>0</v>
      </c>
      <c r="G1015" s="181">
        <v>0</v>
      </c>
      <c r="H1015" s="181">
        <v>0</v>
      </c>
      <c r="I1015" s="181">
        <v>15.875</v>
      </c>
      <c r="J1015" s="181">
        <v>0</v>
      </c>
      <c r="K1015" s="181">
        <v>0</v>
      </c>
      <c r="L1015" s="181">
        <v>0</v>
      </c>
      <c r="M1015" s="181">
        <v>26930173.23632</v>
      </c>
      <c r="N1015" s="181">
        <v>411315.3064</v>
      </c>
      <c r="O1015" s="181">
        <v>232696.30879999997</v>
      </c>
      <c r="P1015" s="181">
        <v>56.641999999999996</v>
      </c>
      <c r="Q1015" s="181">
        <v>0</v>
      </c>
      <c r="R1015" s="181">
        <v>0</v>
      </c>
      <c r="S1015" s="181">
        <v>0</v>
      </c>
      <c r="T1015" s="181">
        <v>36.83</v>
      </c>
      <c r="U1015" s="181">
        <v>0</v>
      </c>
      <c r="V1015" s="181">
        <v>0</v>
      </c>
    </row>
    <row r="1016" spans="1:22">
      <c r="A1016" s="2" t="s">
        <v>2050</v>
      </c>
      <c r="B1016" s="2" t="s">
        <v>2051</v>
      </c>
      <c r="C1016" s="181">
        <v>65.776672000000005</v>
      </c>
      <c r="D1016" s="181">
        <v>8387.08</v>
      </c>
      <c r="E1016" s="181">
        <v>177.79999999999998</v>
      </c>
      <c r="F1016" s="181">
        <v>0</v>
      </c>
      <c r="G1016" s="181">
        <v>0</v>
      </c>
      <c r="H1016" s="181">
        <v>0</v>
      </c>
      <c r="I1016" s="181">
        <v>15.875</v>
      </c>
      <c r="J1016" s="181">
        <v>0</v>
      </c>
      <c r="K1016" s="181">
        <v>0</v>
      </c>
      <c r="L1016" s="181">
        <v>0</v>
      </c>
      <c r="M1016" s="181">
        <v>26930173.23632</v>
      </c>
      <c r="N1016" s="181">
        <v>411315.3064</v>
      </c>
      <c r="O1016" s="181">
        <v>232696.30879999997</v>
      </c>
      <c r="P1016" s="181">
        <v>56.641999999999996</v>
      </c>
      <c r="Q1016" s="181">
        <v>0</v>
      </c>
      <c r="R1016" s="181">
        <v>0</v>
      </c>
      <c r="S1016" s="181">
        <v>0</v>
      </c>
      <c r="T1016" s="181">
        <v>40.131999999999998</v>
      </c>
      <c r="U1016" s="181">
        <v>0</v>
      </c>
      <c r="V1016" s="181">
        <v>0</v>
      </c>
    </row>
    <row r="1017" spans="1:22">
      <c r="A1017" s="2" t="s">
        <v>2052</v>
      </c>
      <c r="B1017" s="2" t="s">
        <v>2053</v>
      </c>
      <c r="C1017" s="181">
        <v>65.776672000000005</v>
      </c>
      <c r="D1017" s="181">
        <v>8387.08</v>
      </c>
      <c r="E1017" s="181">
        <v>177.79999999999998</v>
      </c>
      <c r="F1017" s="181">
        <v>0</v>
      </c>
      <c r="G1017" s="181">
        <v>0</v>
      </c>
      <c r="H1017" s="181">
        <v>0</v>
      </c>
      <c r="I1017" s="181">
        <v>15.875</v>
      </c>
      <c r="J1017" s="181">
        <v>0</v>
      </c>
      <c r="K1017" s="181">
        <v>0</v>
      </c>
      <c r="L1017" s="181">
        <v>0</v>
      </c>
      <c r="M1017" s="181">
        <v>26930173.23632</v>
      </c>
      <c r="N1017" s="181">
        <v>411315.3064</v>
      </c>
      <c r="O1017" s="181">
        <v>232696.30879999997</v>
      </c>
      <c r="P1017" s="181">
        <v>56.641999999999996</v>
      </c>
      <c r="Q1017" s="181">
        <v>0</v>
      </c>
      <c r="R1017" s="181">
        <v>0</v>
      </c>
      <c r="S1017" s="181">
        <v>0</v>
      </c>
      <c r="T1017" s="181">
        <v>43.942</v>
      </c>
      <c r="U1017" s="181">
        <v>0</v>
      </c>
      <c r="V1017" s="181">
        <v>0</v>
      </c>
    </row>
    <row r="1018" spans="1:22">
      <c r="A1018" s="2" t="s">
        <v>2054</v>
      </c>
      <c r="B1018" s="2" t="s">
        <v>2055</v>
      </c>
      <c r="C1018" s="181">
        <v>53.276127999999993</v>
      </c>
      <c r="D1018" s="181">
        <v>6774.1799999999994</v>
      </c>
      <c r="E1018" s="181">
        <v>177.79999999999998</v>
      </c>
      <c r="F1018" s="181">
        <v>0</v>
      </c>
      <c r="G1018" s="181">
        <v>0</v>
      </c>
      <c r="H1018" s="181">
        <v>0</v>
      </c>
      <c r="I1018" s="181">
        <v>12.7</v>
      </c>
      <c r="J1018" s="181">
        <v>0</v>
      </c>
      <c r="K1018" s="181">
        <v>0</v>
      </c>
      <c r="L1018" s="181">
        <v>0</v>
      </c>
      <c r="M1018" s="181">
        <v>22185134.984479997</v>
      </c>
      <c r="N1018" s="181">
        <v>334296.10559999995</v>
      </c>
      <c r="O1018" s="181">
        <v>190089.94239999997</v>
      </c>
      <c r="P1018" s="181">
        <v>57.15</v>
      </c>
      <c r="Q1018" s="181">
        <v>0</v>
      </c>
      <c r="R1018" s="181">
        <v>0</v>
      </c>
      <c r="S1018" s="181">
        <v>0</v>
      </c>
      <c r="T1018" s="181">
        <v>36.575999999999993</v>
      </c>
      <c r="U1018" s="181">
        <v>0</v>
      </c>
      <c r="V1018" s="181">
        <v>0</v>
      </c>
    </row>
    <row r="1019" spans="1:22">
      <c r="A1019" s="2" t="s">
        <v>2056</v>
      </c>
      <c r="B1019" s="2" t="s">
        <v>2057</v>
      </c>
      <c r="C1019" s="181">
        <v>53.276127999999993</v>
      </c>
      <c r="D1019" s="181">
        <v>6774.1799999999994</v>
      </c>
      <c r="E1019" s="181">
        <v>177.79999999999998</v>
      </c>
      <c r="F1019" s="181">
        <v>0</v>
      </c>
      <c r="G1019" s="181">
        <v>0</v>
      </c>
      <c r="H1019" s="181">
        <v>0</v>
      </c>
      <c r="I1019" s="181">
        <v>12.7</v>
      </c>
      <c r="J1019" s="181">
        <v>0</v>
      </c>
      <c r="K1019" s="181">
        <v>0</v>
      </c>
      <c r="L1019" s="181">
        <v>0</v>
      </c>
      <c r="M1019" s="181">
        <v>22185134.984479997</v>
      </c>
      <c r="N1019" s="181">
        <v>334296.10559999995</v>
      </c>
      <c r="O1019" s="181">
        <v>190089.94239999997</v>
      </c>
      <c r="P1019" s="181">
        <v>57.15</v>
      </c>
      <c r="Q1019" s="181">
        <v>0</v>
      </c>
      <c r="R1019" s="181">
        <v>0</v>
      </c>
      <c r="S1019" s="181">
        <v>0</v>
      </c>
      <c r="T1019" s="181">
        <v>39.624000000000002</v>
      </c>
      <c r="U1019" s="181">
        <v>0</v>
      </c>
      <c r="V1019" s="181">
        <v>0</v>
      </c>
    </row>
    <row r="1020" spans="1:22">
      <c r="A1020" s="2" t="s">
        <v>2058</v>
      </c>
      <c r="B1020" s="2" t="s">
        <v>2059</v>
      </c>
      <c r="C1020" s="181">
        <v>53.276127999999993</v>
      </c>
      <c r="D1020" s="181">
        <v>6774.1799999999994</v>
      </c>
      <c r="E1020" s="181">
        <v>177.79999999999998</v>
      </c>
      <c r="F1020" s="181">
        <v>0</v>
      </c>
      <c r="G1020" s="181">
        <v>0</v>
      </c>
      <c r="H1020" s="181">
        <v>0</v>
      </c>
      <c r="I1020" s="181">
        <v>12.7</v>
      </c>
      <c r="J1020" s="181">
        <v>0</v>
      </c>
      <c r="K1020" s="181">
        <v>0</v>
      </c>
      <c r="L1020" s="181">
        <v>0</v>
      </c>
      <c r="M1020" s="181">
        <v>22185134.984479997</v>
      </c>
      <c r="N1020" s="181">
        <v>334296.10559999995</v>
      </c>
      <c r="O1020" s="181">
        <v>190089.94239999997</v>
      </c>
      <c r="P1020" s="181">
        <v>57.15</v>
      </c>
      <c r="Q1020" s="181">
        <v>0</v>
      </c>
      <c r="R1020" s="181">
        <v>0</v>
      </c>
      <c r="S1020" s="181">
        <v>0</v>
      </c>
      <c r="T1020" s="181">
        <v>43.18</v>
      </c>
      <c r="U1020" s="181">
        <v>0</v>
      </c>
      <c r="V1020" s="181">
        <v>0</v>
      </c>
    </row>
    <row r="1021" spans="1:22">
      <c r="A1021" s="2" t="s">
        <v>2060</v>
      </c>
      <c r="B1021" s="2" t="s">
        <v>2061</v>
      </c>
      <c r="C1021" s="181">
        <v>46.877040000000001</v>
      </c>
      <c r="D1021" s="181">
        <v>5980.6331999999993</v>
      </c>
      <c r="E1021" s="181">
        <v>177.79999999999998</v>
      </c>
      <c r="F1021" s="181">
        <v>0</v>
      </c>
      <c r="G1021" s="181">
        <v>0</v>
      </c>
      <c r="H1021" s="181">
        <v>0</v>
      </c>
      <c r="I1021" s="181">
        <v>11.112499999999999</v>
      </c>
      <c r="J1021" s="181">
        <v>0</v>
      </c>
      <c r="K1021" s="181">
        <v>0</v>
      </c>
      <c r="L1021" s="181">
        <v>0</v>
      </c>
      <c r="M1021" s="181">
        <v>19687746.430879995</v>
      </c>
      <c r="N1021" s="181">
        <v>296605.85839999997</v>
      </c>
      <c r="O1021" s="181">
        <v>167148.05279999998</v>
      </c>
      <c r="P1021" s="181">
        <v>57.403999999999989</v>
      </c>
      <c r="Q1021" s="181">
        <v>0</v>
      </c>
      <c r="R1021" s="181">
        <v>0</v>
      </c>
      <c r="S1021" s="181">
        <v>0</v>
      </c>
      <c r="T1021" s="181">
        <v>36.321999999999996</v>
      </c>
      <c r="U1021" s="181">
        <v>0</v>
      </c>
      <c r="V1021" s="181">
        <v>0</v>
      </c>
    </row>
    <row r="1022" spans="1:22">
      <c r="A1022" s="2" t="s">
        <v>2062</v>
      </c>
      <c r="B1022" s="2" t="s">
        <v>2063</v>
      </c>
      <c r="C1022" s="181">
        <v>46.877040000000001</v>
      </c>
      <c r="D1022" s="181">
        <v>5980.6331999999993</v>
      </c>
      <c r="E1022" s="181">
        <v>177.79999999999998</v>
      </c>
      <c r="F1022" s="181">
        <v>0</v>
      </c>
      <c r="G1022" s="181">
        <v>0</v>
      </c>
      <c r="H1022" s="181">
        <v>0</v>
      </c>
      <c r="I1022" s="181">
        <v>11.112499999999999</v>
      </c>
      <c r="J1022" s="181">
        <v>0</v>
      </c>
      <c r="K1022" s="181">
        <v>0</v>
      </c>
      <c r="L1022" s="181">
        <v>0</v>
      </c>
      <c r="M1022" s="181">
        <v>19687746.430879995</v>
      </c>
      <c r="N1022" s="181">
        <v>296605.85839999997</v>
      </c>
      <c r="O1022" s="181">
        <v>167148.05279999998</v>
      </c>
      <c r="P1022" s="181">
        <v>57.403999999999989</v>
      </c>
      <c r="Q1022" s="181">
        <v>0</v>
      </c>
      <c r="R1022" s="181">
        <v>0</v>
      </c>
      <c r="S1022" s="181">
        <v>0</v>
      </c>
      <c r="T1022" s="181">
        <v>39.369999999999997</v>
      </c>
      <c r="U1022" s="181">
        <v>0</v>
      </c>
      <c r="V1022" s="181">
        <v>0</v>
      </c>
    </row>
    <row r="1023" spans="1:22">
      <c r="A1023" s="2" t="s">
        <v>2064</v>
      </c>
      <c r="B1023" s="2" t="s">
        <v>2065</v>
      </c>
      <c r="C1023" s="181">
        <v>46.877040000000001</v>
      </c>
      <c r="D1023" s="181">
        <v>5980.6331999999993</v>
      </c>
      <c r="E1023" s="181">
        <v>177.79999999999998</v>
      </c>
      <c r="F1023" s="181">
        <v>0</v>
      </c>
      <c r="G1023" s="181">
        <v>0</v>
      </c>
      <c r="H1023" s="181">
        <v>0</v>
      </c>
      <c r="I1023" s="181">
        <v>11.112499999999999</v>
      </c>
      <c r="J1023" s="181">
        <v>0</v>
      </c>
      <c r="K1023" s="181">
        <v>0</v>
      </c>
      <c r="L1023" s="181">
        <v>0</v>
      </c>
      <c r="M1023" s="181">
        <v>19687746.430879995</v>
      </c>
      <c r="N1023" s="181">
        <v>296605.85839999997</v>
      </c>
      <c r="O1023" s="181">
        <v>167148.05279999998</v>
      </c>
      <c r="P1023" s="181">
        <v>57.403999999999989</v>
      </c>
      <c r="Q1023" s="181">
        <v>0</v>
      </c>
      <c r="R1023" s="181">
        <v>0</v>
      </c>
      <c r="S1023" s="181">
        <v>0</v>
      </c>
      <c r="T1023" s="181">
        <v>42.671999999999997</v>
      </c>
      <c r="U1023" s="181">
        <v>0</v>
      </c>
      <c r="V1023" s="181">
        <v>0</v>
      </c>
    </row>
    <row r="1024" spans="1:22">
      <c r="A1024" s="2" t="s">
        <v>2066</v>
      </c>
      <c r="B1024" s="2" t="s">
        <v>2067</v>
      </c>
      <c r="C1024" s="181">
        <v>40.477951999999995</v>
      </c>
      <c r="D1024" s="181">
        <v>5161.28</v>
      </c>
      <c r="E1024" s="181">
        <v>177.79999999999998</v>
      </c>
      <c r="F1024" s="181">
        <v>0</v>
      </c>
      <c r="G1024" s="181">
        <v>0</v>
      </c>
      <c r="H1024" s="181">
        <v>0</v>
      </c>
      <c r="I1024" s="181">
        <v>9.5249999999999986</v>
      </c>
      <c r="J1024" s="181">
        <v>0</v>
      </c>
      <c r="K1024" s="181">
        <v>0</v>
      </c>
      <c r="L1024" s="181">
        <v>0</v>
      </c>
      <c r="M1024" s="181">
        <v>17107111.592159998</v>
      </c>
      <c r="N1024" s="181">
        <v>255638.19839999996</v>
      </c>
      <c r="O1024" s="181">
        <v>144697.77511999998</v>
      </c>
      <c r="P1024" s="181">
        <v>57.657999999999994</v>
      </c>
      <c r="Q1024" s="181">
        <v>0</v>
      </c>
      <c r="R1024" s="181">
        <v>0</v>
      </c>
      <c r="S1024" s="181">
        <v>0</v>
      </c>
      <c r="T1024" s="181">
        <v>36.067999999999998</v>
      </c>
      <c r="U1024" s="181">
        <v>0</v>
      </c>
      <c r="V1024" s="181">
        <v>0</v>
      </c>
    </row>
    <row r="1025" spans="1:22">
      <c r="A1025" s="2" t="s">
        <v>2068</v>
      </c>
      <c r="B1025" s="2" t="s">
        <v>2069</v>
      </c>
      <c r="C1025" s="181">
        <v>40.477951999999995</v>
      </c>
      <c r="D1025" s="181">
        <v>5161.28</v>
      </c>
      <c r="E1025" s="181">
        <v>177.79999999999998</v>
      </c>
      <c r="F1025" s="181">
        <v>0</v>
      </c>
      <c r="G1025" s="181">
        <v>0</v>
      </c>
      <c r="H1025" s="181">
        <v>0</v>
      </c>
      <c r="I1025" s="181">
        <v>9.5249999999999986</v>
      </c>
      <c r="J1025" s="181">
        <v>0</v>
      </c>
      <c r="K1025" s="181">
        <v>0</v>
      </c>
      <c r="L1025" s="181">
        <v>0</v>
      </c>
      <c r="M1025" s="181">
        <v>17107111.592159998</v>
      </c>
      <c r="N1025" s="181">
        <v>255638.19839999996</v>
      </c>
      <c r="O1025" s="181">
        <v>144697.77511999998</v>
      </c>
      <c r="P1025" s="181">
        <v>57.657999999999994</v>
      </c>
      <c r="Q1025" s="181">
        <v>0</v>
      </c>
      <c r="R1025" s="181">
        <v>0</v>
      </c>
      <c r="S1025" s="181">
        <v>0</v>
      </c>
      <c r="T1025" s="181">
        <v>39.116</v>
      </c>
      <c r="U1025" s="181">
        <v>0</v>
      </c>
      <c r="V1025" s="181">
        <v>0</v>
      </c>
    </row>
    <row r="1026" spans="1:22">
      <c r="A1026" s="2" t="s">
        <v>2070</v>
      </c>
      <c r="B1026" s="2" t="s">
        <v>2071</v>
      </c>
      <c r="C1026" s="181">
        <v>40.477951999999995</v>
      </c>
      <c r="D1026" s="181">
        <v>5161.28</v>
      </c>
      <c r="E1026" s="181">
        <v>177.79999999999998</v>
      </c>
      <c r="F1026" s="181">
        <v>0</v>
      </c>
      <c r="G1026" s="181">
        <v>0</v>
      </c>
      <c r="H1026" s="181">
        <v>0</v>
      </c>
      <c r="I1026" s="181">
        <v>9.5249999999999986</v>
      </c>
      <c r="J1026" s="181">
        <v>0</v>
      </c>
      <c r="K1026" s="181">
        <v>0</v>
      </c>
      <c r="L1026" s="181">
        <v>0</v>
      </c>
      <c r="M1026" s="181">
        <v>17107111.592159998</v>
      </c>
      <c r="N1026" s="181">
        <v>255638.19839999996</v>
      </c>
      <c r="O1026" s="181">
        <v>144697.77511999998</v>
      </c>
      <c r="P1026" s="181">
        <v>57.657999999999994</v>
      </c>
      <c r="Q1026" s="181">
        <v>0</v>
      </c>
      <c r="R1026" s="181">
        <v>0</v>
      </c>
      <c r="S1026" s="181">
        <v>0</v>
      </c>
      <c r="T1026" s="181">
        <v>42.417999999999999</v>
      </c>
      <c r="U1026" s="181">
        <v>0</v>
      </c>
      <c r="V1026" s="181">
        <v>0</v>
      </c>
    </row>
    <row r="1027" spans="1:22">
      <c r="A1027" s="2" t="s">
        <v>2072</v>
      </c>
      <c r="B1027" s="2" t="s">
        <v>2073</v>
      </c>
      <c r="C1027" s="181">
        <v>80.807087999999993</v>
      </c>
      <c r="D1027" s="181">
        <v>10322.56</v>
      </c>
      <c r="E1027" s="181">
        <v>152.39999999999998</v>
      </c>
      <c r="F1027" s="181">
        <v>0</v>
      </c>
      <c r="G1027" s="181">
        <v>0</v>
      </c>
      <c r="H1027" s="181">
        <v>0</v>
      </c>
      <c r="I1027" s="181">
        <v>22.224999999999998</v>
      </c>
      <c r="J1027" s="181">
        <v>0</v>
      </c>
      <c r="K1027" s="181">
        <v>0</v>
      </c>
      <c r="L1027" s="181">
        <v>0</v>
      </c>
      <c r="M1027" s="181">
        <v>23059220.978239998</v>
      </c>
      <c r="N1027" s="181">
        <v>414592.71919999999</v>
      </c>
      <c r="O1027" s="181">
        <v>234335.01519999999</v>
      </c>
      <c r="P1027" s="181">
        <v>47.244</v>
      </c>
      <c r="Q1027" s="181">
        <v>0</v>
      </c>
      <c r="R1027" s="181">
        <v>0</v>
      </c>
      <c r="S1027" s="181">
        <v>0</v>
      </c>
      <c r="T1027" s="181">
        <v>39.878</v>
      </c>
      <c r="U1027" s="181">
        <v>0</v>
      </c>
      <c r="V1027" s="181">
        <v>0</v>
      </c>
    </row>
    <row r="1028" spans="1:22">
      <c r="A1028" s="2" t="s">
        <v>2074</v>
      </c>
      <c r="B1028" s="2" t="s">
        <v>2075</v>
      </c>
      <c r="C1028" s="181">
        <v>80.807087999999993</v>
      </c>
      <c r="D1028" s="181">
        <v>10322.56</v>
      </c>
      <c r="E1028" s="181">
        <v>152.39999999999998</v>
      </c>
      <c r="F1028" s="181">
        <v>0</v>
      </c>
      <c r="G1028" s="181">
        <v>0</v>
      </c>
      <c r="H1028" s="181">
        <v>0</v>
      </c>
      <c r="I1028" s="181">
        <v>22.224999999999998</v>
      </c>
      <c r="J1028" s="181">
        <v>0</v>
      </c>
      <c r="K1028" s="181">
        <v>0</v>
      </c>
      <c r="L1028" s="181">
        <v>0</v>
      </c>
      <c r="M1028" s="181">
        <v>23059220.978239998</v>
      </c>
      <c r="N1028" s="181">
        <v>414592.71919999999</v>
      </c>
      <c r="O1028" s="181">
        <v>234335.01519999999</v>
      </c>
      <c r="P1028" s="181">
        <v>47.244</v>
      </c>
      <c r="Q1028" s="181">
        <v>0</v>
      </c>
      <c r="R1028" s="181">
        <v>0</v>
      </c>
      <c r="S1028" s="181">
        <v>0</v>
      </c>
      <c r="T1028" s="181">
        <v>43.433999999999997</v>
      </c>
      <c r="U1028" s="181">
        <v>0</v>
      </c>
      <c r="V1028" s="181">
        <v>0</v>
      </c>
    </row>
    <row r="1029" spans="1:22">
      <c r="A1029" s="2" t="s">
        <v>2076</v>
      </c>
      <c r="B1029" s="2" t="s">
        <v>2077</v>
      </c>
      <c r="C1029" s="181">
        <v>80.807087999999993</v>
      </c>
      <c r="D1029" s="181">
        <v>10322.56</v>
      </c>
      <c r="E1029" s="181">
        <v>152.39999999999998</v>
      </c>
      <c r="F1029" s="181">
        <v>0</v>
      </c>
      <c r="G1029" s="181">
        <v>0</v>
      </c>
      <c r="H1029" s="181">
        <v>0</v>
      </c>
      <c r="I1029" s="181">
        <v>22.224999999999998</v>
      </c>
      <c r="J1029" s="181">
        <v>0</v>
      </c>
      <c r="K1029" s="181">
        <v>0</v>
      </c>
      <c r="L1029" s="181">
        <v>0</v>
      </c>
      <c r="M1029" s="181">
        <v>23059220.978239998</v>
      </c>
      <c r="N1029" s="181">
        <v>414592.71919999999</v>
      </c>
      <c r="O1029" s="181">
        <v>234335.01519999999</v>
      </c>
      <c r="P1029" s="181">
        <v>47.244</v>
      </c>
      <c r="Q1029" s="181">
        <v>0</v>
      </c>
      <c r="R1029" s="181">
        <v>0</v>
      </c>
      <c r="S1029" s="181">
        <v>0</v>
      </c>
      <c r="T1029" s="181">
        <v>47.244</v>
      </c>
      <c r="U1029" s="181">
        <v>0</v>
      </c>
      <c r="V1029" s="181">
        <v>0</v>
      </c>
    </row>
    <row r="1030" spans="1:22">
      <c r="A1030" s="2" t="s">
        <v>2078</v>
      </c>
      <c r="B1030" s="2" t="s">
        <v>2079</v>
      </c>
      <c r="C1030" s="181">
        <v>70.241152</v>
      </c>
      <c r="D1030" s="181">
        <v>8967.7240000000002</v>
      </c>
      <c r="E1030" s="181">
        <v>152.39999999999998</v>
      </c>
      <c r="F1030" s="181">
        <v>0</v>
      </c>
      <c r="G1030" s="181">
        <v>0</v>
      </c>
      <c r="H1030" s="181">
        <v>0</v>
      </c>
      <c r="I1030" s="181">
        <v>19.049999999999997</v>
      </c>
      <c r="J1030" s="181">
        <v>0</v>
      </c>
      <c r="K1030" s="181">
        <v>0</v>
      </c>
      <c r="L1030" s="181">
        <v>0</v>
      </c>
      <c r="M1030" s="181">
        <v>20353716.711839996</v>
      </c>
      <c r="N1030" s="181">
        <v>363792.82079999993</v>
      </c>
      <c r="O1030" s="181">
        <v>204838.3</v>
      </c>
      <c r="P1030" s="181">
        <v>47.751999999999995</v>
      </c>
      <c r="Q1030" s="181">
        <v>0</v>
      </c>
      <c r="R1030" s="181">
        <v>0</v>
      </c>
      <c r="S1030" s="181">
        <v>0</v>
      </c>
      <c r="T1030" s="181">
        <v>39.369999999999997</v>
      </c>
      <c r="U1030" s="181">
        <v>0</v>
      </c>
      <c r="V1030" s="181">
        <v>0</v>
      </c>
    </row>
    <row r="1031" spans="1:22">
      <c r="A1031" s="2" t="s">
        <v>2080</v>
      </c>
      <c r="B1031" s="2" t="s">
        <v>2081</v>
      </c>
      <c r="C1031" s="181">
        <v>70.241152</v>
      </c>
      <c r="D1031" s="181">
        <v>8967.7240000000002</v>
      </c>
      <c r="E1031" s="181">
        <v>152.39999999999998</v>
      </c>
      <c r="F1031" s="181">
        <v>0</v>
      </c>
      <c r="G1031" s="181">
        <v>0</v>
      </c>
      <c r="H1031" s="181">
        <v>0</v>
      </c>
      <c r="I1031" s="181">
        <v>19.049999999999997</v>
      </c>
      <c r="J1031" s="181">
        <v>0</v>
      </c>
      <c r="K1031" s="181">
        <v>0</v>
      </c>
      <c r="L1031" s="181">
        <v>0</v>
      </c>
      <c r="M1031" s="181">
        <v>20353716.711839996</v>
      </c>
      <c r="N1031" s="181">
        <v>363792.82079999993</v>
      </c>
      <c r="O1031" s="181">
        <v>204838.3</v>
      </c>
      <c r="P1031" s="181">
        <v>47.751999999999995</v>
      </c>
      <c r="Q1031" s="181">
        <v>0</v>
      </c>
      <c r="R1031" s="181">
        <v>0</v>
      </c>
      <c r="S1031" s="181">
        <v>0</v>
      </c>
      <c r="T1031" s="181">
        <v>42.671999999999997</v>
      </c>
      <c r="U1031" s="181">
        <v>0</v>
      </c>
      <c r="V1031" s="181">
        <v>0</v>
      </c>
    </row>
    <row r="1032" spans="1:22">
      <c r="A1032" s="2" t="s">
        <v>2082</v>
      </c>
      <c r="B1032" s="2" t="s">
        <v>2083</v>
      </c>
      <c r="C1032" s="181">
        <v>70.241152</v>
      </c>
      <c r="D1032" s="181">
        <v>8967.7240000000002</v>
      </c>
      <c r="E1032" s="181">
        <v>152.39999999999998</v>
      </c>
      <c r="F1032" s="181">
        <v>0</v>
      </c>
      <c r="G1032" s="181">
        <v>0</v>
      </c>
      <c r="H1032" s="181">
        <v>0</v>
      </c>
      <c r="I1032" s="181">
        <v>19.049999999999997</v>
      </c>
      <c r="J1032" s="181">
        <v>0</v>
      </c>
      <c r="K1032" s="181">
        <v>0</v>
      </c>
      <c r="L1032" s="181">
        <v>0</v>
      </c>
      <c r="M1032" s="181">
        <v>20353716.711839996</v>
      </c>
      <c r="N1032" s="181">
        <v>363792.82079999993</v>
      </c>
      <c r="O1032" s="181">
        <v>204838.3</v>
      </c>
      <c r="P1032" s="181">
        <v>47.751999999999995</v>
      </c>
      <c r="Q1032" s="181">
        <v>0</v>
      </c>
      <c r="R1032" s="181">
        <v>0</v>
      </c>
      <c r="S1032" s="181">
        <v>0</v>
      </c>
      <c r="T1032" s="181">
        <v>46.481999999999999</v>
      </c>
      <c r="U1032" s="181">
        <v>0</v>
      </c>
      <c r="V1032" s="181">
        <v>0</v>
      </c>
    </row>
    <row r="1033" spans="1:22">
      <c r="A1033" s="2" t="s">
        <v>2084</v>
      </c>
      <c r="B1033" s="2" t="s">
        <v>2085</v>
      </c>
      <c r="C1033" s="181">
        <v>59.377583999999992</v>
      </c>
      <c r="D1033" s="181">
        <v>7548.3719999999994</v>
      </c>
      <c r="E1033" s="181">
        <v>152.39999999999998</v>
      </c>
      <c r="F1033" s="181">
        <v>0</v>
      </c>
      <c r="G1033" s="181">
        <v>0</v>
      </c>
      <c r="H1033" s="181">
        <v>0</v>
      </c>
      <c r="I1033" s="181">
        <v>15.875</v>
      </c>
      <c r="J1033" s="181">
        <v>0</v>
      </c>
      <c r="K1033" s="181">
        <v>0</v>
      </c>
      <c r="L1033" s="181">
        <v>0</v>
      </c>
      <c r="M1033" s="181">
        <v>17481719.8752</v>
      </c>
      <c r="N1033" s="181">
        <v>309715.50959999993</v>
      </c>
      <c r="O1033" s="181">
        <v>173702.87839999999</v>
      </c>
      <c r="P1033" s="181">
        <v>48.005999999999993</v>
      </c>
      <c r="Q1033" s="181">
        <v>0</v>
      </c>
      <c r="R1033" s="181">
        <v>0</v>
      </c>
      <c r="S1033" s="181">
        <v>0</v>
      </c>
      <c r="T1033" s="181">
        <v>38.862000000000002</v>
      </c>
      <c r="U1033" s="181">
        <v>0</v>
      </c>
      <c r="V1033" s="181">
        <v>0</v>
      </c>
    </row>
    <row r="1034" spans="1:22">
      <c r="A1034" s="2" t="s">
        <v>2086</v>
      </c>
      <c r="B1034" s="2" t="s">
        <v>2087</v>
      </c>
      <c r="C1034" s="181">
        <v>59.377583999999992</v>
      </c>
      <c r="D1034" s="181">
        <v>7548.3719999999994</v>
      </c>
      <c r="E1034" s="181">
        <v>152.39999999999998</v>
      </c>
      <c r="F1034" s="181">
        <v>0</v>
      </c>
      <c r="G1034" s="181">
        <v>0</v>
      </c>
      <c r="H1034" s="181">
        <v>0</v>
      </c>
      <c r="I1034" s="181">
        <v>15.875</v>
      </c>
      <c r="J1034" s="181">
        <v>0</v>
      </c>
      <c r="K1034" s="181">
        <v>0</v>
      </c>
      <c r="L1034" s="181">
        <v>0</v>
      </c>
      <c r="M1034" s="181">
        <v>17481719.8752</v>
      </c>
      <c r="N1034" s="181">
        <v>309715.50959999993</v>
      </c>
      <c r="O1034" s="181">
        <v>173702.87839999999</v>
      </c>
      <c r="P1034" s="181">
        <v>48.005999999999993</v>
      </c>
      <c r="Q1034" s="181">
        <v>0</v>
      </c>
      <c r="R1034" s="181">
        <v>0</v>
      </c>
      <c r="S1034" s="181">
        <v>0</v>
      </c>
      <c r="T1034" s="181">
        <v>42.163999999999994</v>
      </c>
      <c r="U1034" s="181">
        <v>0</v>
      </c>
      <c r="V1034" s="181">
        <v>0</v>
      </c>
    </row>
    <row r="1035" spans="1:22">
      <c r="A1035" s="2" t="s">
        <v>2088</v>
      </c>
      <c r="B1035" s="2" t="s">
        <v>2089</v>
      </c>
      <c r="C1035" s="181">
        <v>59.377583999999992</v>
      </c>
      <c r="D1035" s="181">
        <v>7548.3719999999994</v>
      </c>
      <c r="E1035" s="181">
        <v>152.39999999999998</v>
      </c>
      <c r="F1035" s="181">
        <v>0</v>
      </c>
      <c r="G1035" s="181">
        <v>0</v>
      </c>
      <c r="H1035" s="181">
        <v>0</v>
      </c>
      <c r="I1035" s="181">
        <v>15.875</v>
      </c>
      <c r="J1035" s="181">
        <v>0</v>
      </c>
      <c r="K1035" s="181">
        <v>0</v>
      </c>
      <c r="L1035" s="181">
        <v>0</v>
      </c>
      <c r="M1035" s="181">
        <v>17481719.8752</v>
      </c>
      <c r="N1035" s="181">
        <v>309715.50959999993</v>
      </c>
      <c r="O1035" s="181">
        <v>173702.87839999999</v>
      </c>
      <c r="P1035" s="181">
        <v>48.005999999999993</v>
      </c>
      <c r="Q1035" s="181">
        <v>0</v>
      </c>
      <c r="R1035" s="181">
        <v>0</v>
      </c>
      <c r="S1035" s="181">
        <v>0</v>
      </c>
      <c r="T1035" s="181">
        <v>45.72</v>
      </c>
      <c r="U1035" s="181">
        <v>0</v>
      </c>
      <c r="V1035" s="181">
        <v>0</v>
      </c>
    </row>
    <row r="1036" spans="1:22">
      <c r="A1036" s="2" t="s">
        <v>2090</v>
      </c>
      <c r="B1036" s="2" t="s">
        <v>2091</v>
      </c>
      <c r="C1036" s="181">
        <v>53.722575999999997</v>
      </c>
      <c r="D1036" s="181">
        <v>6838.695999999999</v>
      </c>
      <c r="E1036" s="181">
        <v>152.39999999999998</v>
      </c>
      <c r="F1036" s="181">
        <v>0</v>
      </c>
      <c r="G1036" s="181">
        <v>0</v>
      </c>
      <c r="H1036" s="181">
        <v>0</v>
      </c>
      <c r="I1036" s="181">
        <v>14.2875</v>
      </c>
      <c r="J1036" s="181">
        <v>0</v>
      </c>
      <c r="K1036" s="181">
        <v>0</v>
      </c>
      <c r="L1036" s="181">
        <v>0</v>
      </c>
      <c r="M1036" s="181">
        <v>15983286.743039997</v>
      </c>
      <c r="N1036" s="181">
        <v>281857.50079999998</v>
      </c>
      <c r="O1036" s="181">
        <v>157479.68503999998</v>
      </c>
      <c r="P1036" s="181">
        <v>48.26</v>
      </c>
      <c r="Q1036" s="181">
        <v>0</v>
      </c>
      <c r="R1036" s="181">
        <v>0</v>
      </c>
      <c r="S1036" s="181">
        <v>0</v>
      </c>
      <c r="T1036" s="181">
        <v>38.607999999999997</v>
      </c>
      <c r="U1036" s="181">
        <v>0</v>
      </c>
      <c r="V1036" s="181">
        <v>0</v>
      </c>
    </row>
    <row r="1037" spans="1:22">
      <c r="A1037" s="2" t="s">
        <v>2092</v>
      </c>
      <c r="B1037" s="2" t="s">
        <v>2093</v>
      </c>
      <c r="C1037" s="181">
        <v>53.722575999999997</v>
      </c>
      <c r="D1037" s="181">
        <v>6838.695999999999</v>
      </c>
      <c r="E1037" s="181">
        <v>152.39999999999998</v>
      </c>
      <c r="F1037" s="181">
        <v>0</v>
      </c>
      <c r="G1037" s="181">
        <v>0</v>
      </c>
      <c r="H1037" s="181">
        <v>0</v>
      </c>
      <c r="I1037" s="181">
        <v>14.2875</v>
      </c>
      <c r="J1037" s="181">
        <v>0</v>
      </c>
      <c r="K1037" s="181">
        <v>0</v>
      </c>
      <c r="L1037" s="181">
        <v>0</v>
      </c>
      <c r="M1037" s="181">
        <v>15983286.743039997</v>
      </c>
      <c r="N1037" s="181">
        <v>281857.50079999998</v>
      </c>
      <c r="O1037" s="181">
        <v>157479.68503999998</v>
      </c>
      <c r="P1037" s="181">
        <v>48.26</v>
      </c>
      <c r="Q1037" s="181">
        <v>0</v>
      </c>
      <c r="R1037" s="181">
        <v>0</v>
      </c>
      <c r="S1037" s="181">
        <v>0</v>
      </c>
      <c r="T1037" s="181">
        <v>41.91</v>
      </c>
      <c r="U1037" s="181">
        <v>0</v>
      </c>
      <c r="V1037" s="181">
        <v>0</v>
      </c>
    </row>
    <row r="1038" spans="1:22">
      <c r="A1038" s="2" t="s">
        <v>2094</v>
      </c>
      <c r="B1038" s="2" t="s">
        <v>2095</v>
      </c>
      <c r="C1038" s="181">
        <v>53.722575999999997</v>
      </c>
      <c r="D1038" s="181">
        <v>6838.695999999999</v>
      </c>
      <c r="E1038" s="181">
        <v>152.39999999999998</v>
      </c>
      <c r="F1038" s="181">
        <v>0</v>
      </c>
      <c r="G1038" s="181">
        <v>0</v>
      </c>
      <c r="H1038" s="181">
        <v>0</v>
      </c>
      <c r="I1038" s="181">
        <v>14.2875</v>
      </c>
      <c r="J1038" s="181">
        <v>0</v>
      </c>
      <c r="K1038" s="181">
        <v>0</v>
      </c>
      <c r="L1038" s="181">
        <v>0</v>
      </c>
      <c r="M1038" s="181">
        <v>15983286.743039997</v>
      </c>
      <c r="N1038" s="181">
        <v>281857.50079999998</v>
      </c>
      <c r="O1038" s="181">
        <v>157479.68503999998</v>
      </c>
      <c r="P1038" s="181">
        <v>48.26</v>
      </c>
      <c r="Q1038" s="181">
        <v>0</v>
      </c>
      <c r="R1038" s="181">
        <v>0</v>
      </c>
      <c r="S1038" s="181">
        <v>0</v>
      </c>
      <c r="T1038" s="181">
        <v>45.466000000000001</v>
      </c>
      <c r="U1038" s="181">
        <v>0</v>
      </c>
      <c r="V1038" s="181">
        <v>0</v>
      </c>
    </row>
    <row r="1039" spans="1:22">
      <c r="A1039" s="2" t="s">
        <v>2096</v>
      </c>
      <c r="B1039" s="2" t="s">
        <v>2097</v>
      </c>
      <c r="C1039" s="181">
        <v>48.067567999999994</v>
      </c>
      <c r="D1039" s="181">
        <v>6129.0199999999995</v>
      </c>
      <c r="E1039" s="181">
        <v>152.39999999999998</v>
      </c>
      <c r="F1039" s="181">
        <v>0</v>
      </c>
      <c r="G1039" s="181">
        <v>0</v>
      </c>
      <c r="H1039" s="181">
        <v>0</v>
      </c>
      <c r="I1039" s="181">
        <v>12.7</v>
      </c>
      <c r="J1039" s="181">
        <v>0</v>
      </c>
      <c r="K1039" s="181">
        <v>0</v>
      </c>
      <c r="L1039" s="181">
        <v>0</v>
      </c>
      <c r="M1039" s="181">
        <v>14443230.468319999</v>
      </c>
      <c r="N1039" s="181">
        <v>252360.78559999997</v>
      </c>
      <c r="O1039" s="181">
        <v>141420.36231999999</v>
      </c>
      <c r="P1039" s="181">
        <v>48.513999999999996</v>
      </c>
      <c r="Q1039" s="181">
        <v>0</v>
      </c>
      <c r="R1039" s="181">
        <v>0</v>
      </c>
      <c r="S1039" s="181">
        <v>0</v>
      </c>
      <c r="T1039" s="181">
        <v>38.353999999999999</v>
      </c>
      <c r="U1039" s="181">
        <v>0</v>
      </c>
      <c r="V1039" s="181">
        <v>0</v>
      </c>
    </row>
    <row r="1040" spans="1:22">
      <c r="A1040" s="2" t="s">
        <v>2098</v>
      </c>
      <c r="B1040" s="2" t="s">
        <v>2099</v>
      </c>
      <c r="C1040" s="181">
        <v>48.067567999999994</v>
      </c>
      <c r="D1040" s="181">
        <v>6129.0199999999995</v>
      </c>
      <c r="E1040" s="181">
        <v>152.39999999999998</v>
      </c>
      <c r="F1040" s="181">
        <v>0</v>
      </c>
      <c r="G1040" s="181">
        <v>0</v>
      </c>
      <c r="H1040" s="181">
        <v>0</v>
      </c>
      <c r="I1040" s="181">
        <v>12.7</v>
      </c>
      <c r="J1040" s="181">
        <v>0</v>
      </c>
      <c r="K1040" s="181">
        <v>0</v>
      </c>
      <c r="L1040" s="181">
        <v>0</v>
      </c>
      <c r="M1040" s="181">
        <v>14443230.468319999</v>
      </c>
      <c r="N1040" s="181">
        <v>252360.78559999997</v>
      </c>
      <c r="O1040" s="181">
        <v>141420.36231999999</v>
      </c>
      <c r="P1040" s="181">
        <v>48.513999999999996</v>
      </c>
      <c r="Q1040" s="181">
        <v>0</v>
      </c>
      <c r="R1040" s="181">
        <v>0</v>
      </c>
      <c r="S1040" s="181">
        <v>0</v>
      </c>
      <c r="T1040" s="181">
        <v>41.655999999999992</v>
      </c>
      <c r="U1040" s="181">
        <v>0</v>
      </c>
      <c r="V1040" s="181">
        <v>0</v>
      </c>
    </row>
    <row r="1041" spans="1:22">
      <c r="A1041" s="2" t="s">
        <v>2100</v>
      </c>
      <c r="B1041" s="2" t="s">
        <v>2101</v>
      </c>
      <c r="C1041" s="181">
        <v>48.067567999999994</v>
      </c>
      <c r="D1041" s="181">
        <v>6129.0199999999995</v>
      </c>
      <c r="E1041" s="181">
        <v>152.39999999999998</v>
      </c>
      <c r="F1041" s="181">
        <v>0</v>
      </c>
      <c r="G1041" s="181">
        <v>0</v>
      </c>
      <c r="H1041" s="181">
        <v>0</v>
      </c>
      <c r="I1041" s="181">
        <v>12.7</v>
      </c>
      <c r="J1041" s="181">
        <v>0</v>
      </c>
      <c r="K1041" s="181">
        <v>0</v>
      </c>
      <c r="L1041" s="181">
        <v>0</v>
      </c>
      <c r="M1041" s="181">
        <v>14443230.468319999</v>
      </c>
      <c r="N1041" s="181">
        <v>252360.78559999997</v>
      </c>
      <c r="O1041" s="181">
        <v>141420.36231999999</v>
      </c>
      <c r="P1041" s="181">
        <v>48.513999999999996</v>
      </c>
      <c r="Q1041" s="181">
        <v>0</v>
      </c>
      <c r="R1041" s="181">
        <v>0</v>
      </c>
      <c r="S1041" s="181">
        <v>0</v>
      </c>
      <c r="T1041" s="181">
        <v>44.957999999999998</v>
      </c>
      <c r="U1041" s="181">
        <v>0</v>
      </c>
      <c r="V1041" s="181">
        <v>0</v>
      </c>
    </row>
    <row r="1042" spans="1:22">
      <c r="A1042" s="2" t="s">
        <v>2102</v>
      </c>
      <c r="B1042" s="2" t="s">
        <v>2103</v>
      </c>
      <c r="C1042" s="181">
        <v>42.412559999999999</v>
      </c>
      <c r="D1042" s="181">
        <v>5393.5375999999997</v>
      </c>
      <c r="E1042" s="181">
        <v>152.39999999999998</v>
      </c>
      <c r="F1042" s="181">
        <v>0</v>
      </c>
      <c r="G1042" s="181">
        <v>0</v>
      </c>
      <c r="H1042" s="181">
        <v>0</v>
      </c>
      <c r="I1042" s="181">
        <v>11.112499999999999</v>
      </c>
      <c r="J1042" s="181">
        <v>0</v>
      </c>
      <c r="K1042" s="181">
        <v>0</v>
      </c>
      <c r="L1042" s="181">
        <v>0</v>
      </c>
      <c r="M1042" s="181">
        <v>12819927.90848</v>
      </c>
      <c r="N1042" s="181">
        <v>222864.07039999997</v>
      </c>
      <c r="O1042" s="181">
        <v>124869.42767999999</v>
      </c>
      <c r="P1042" s="181">
        <v>48.767999999999994</v>
      </c>
      <c r="Q1042" s="181">
        <v>0</v>
      </c>
      <c r="R1042" s="181">
        <v>0</v>
      </c>
      <c r="S1042" s="181">
        <v>0</v>
      </c>
      <c r="T1042" s="181">
        <v>38.099999999999994</v>
      </c>
      <c r="U1042" s="181">
        <v>0</v>
      </c>
      <c r="V1042" s="181">
        <v>0</v>
      </c>
    </row>
    <row r="1043" spans="1:22">
      <c r="A1043" s="2" t="s">
        <v>2104</v>
      </c>
      <c r="B1043" s="2" t="s">
        <v>2105</v>
      </c>
      <c r="C1043" s="181">
        <v>42.412559999999999</v>
      </c>
      <c r="D1043" s="181">
        <v>5393.5375999999997</v>
      </c>
      <c r="E1043" s="181">
        <v>152.39999999999998</v>
      </c>
      <c r="F1043" s="181">
        <v>0</v>
      </c>
      <c r="G1043" s="181">
        <v>0</v>
      </c>
      <c r="H1043" s="181">
        <v>0</v>
      </c>
      <c r="I1043" s="181">
        <v>11.112499999999999</v>
      </c>
      <c r="J1043" s="181">
        <v>0</v>
      </c>
      <c r="K1043" s="181">
        <v>0</v>
      </c>
      <c r="L1043" s="181">
        <v>0</v>
      </c>
      <c r="M1043" s="181">
        <v>12819927.90848</v>
      </c>
      <c r="N1043" s="181">
        <v>222864.07039999997</v>
      </c>
      <c r="O1043" s="181">
        <v>124869.42767999999</v>
      </c>
      <c r="P1043" s="181">
        <v>48.767999999999994</v>
      </c>
      <c r="Q1043" s="181">
        <v>0</v>
      </c>
      <c r="R1043" s="181">
        <v>0</v>
      </c>
      <c r="S1043" s="181">
        <v>0</v>
      </c>
      <c r="T1043" s="181">
        <v>41.148000000000003</v>
      </c>
      <c r="U1043" s="181">
        <v>0</v>
      </c>
      <c r="V1043" s="181">
        <v>0</v>
      </c>
    </row>
    <row r="1044" spans="1:22">
      <c r="A1044" s="2" t="s">
        <v>2106</v>
      </c>
      <c r="B1044" s="2" t="s">
        <v>2107</v>
      </c>
      <c r="C1044" s="181">
        <v>42.412559999999999</v>
      </c>
      <c r="D1044" s="181">
        <v>5393.5375999999997</v>
      </c>
      <c r="E1044" s="181">
        <v>152.39999999999998</v>
      </c>
      <c r="F1044" s="181">
        <v>0</v>
      </c>
      <c r="G1044" s="181">
        <v>0</v>
      </c>
      <c r="H1044" s="181">
        <v>0</v>
      </c>
      <c r="I1044" s="181">
        <v>11.112499999999999</v>
      </c>
      <c r="J1044" s="181">
        <v>0</v>
      </c>
      <c r="K1044" s="181">
        <v>0</v>
      </c>
      <c r="L1044" s="181">
        <v>0</v>
      </c>
      <c r="M1044" s="181">
        <v>12819927.90848</v>
      </c>
      <c r="N1044" s="181">
        <v>222864.07039999997</v>
      </c>
      <c r="O1044" s="181">
        <v>124869.42767999999</v>
      </c>
      <c r="P1044" s="181">
        <v>48.767999999999994</v>
      </c>
      <c r="Q1044" s="181">
        <v>0</v>
      </c>
      <c r="R1044" s="181">
        <v>0</v>
      </c>
      <c r="S1044" s="181">
        <v>0</v>
      </c>
      <c r="T1044" s="181">
        <v>44.704000000000001</v>
      </c>
      <c r="U1044" s="181">
        <v>0</v>
      </c>
      <c r="V1044" s="181">
        <v>0</v>
      </c>
    </row>
    <row r="1045" spans="1:22">
      <c r="A1045" s="2" t="s">
        <v>2108</v>
      </c>
      <c r="B1045" s="2" t="s">
        <v>2109</v>
      </c>
      <c r="C1045" s="181">
        <v>36.608736</v>
      </c>
      <c r="D1045" s="181">
        <v>4658.0551999999998</v>
      </c>
      <c r="E1045" s="181">
        <v>152.39999999999998</v>
      </c>
      <c r="F1045" s="181">
        <v>0</v>
      </c>
      <c r="G1045" s="181">
        <v>0</v>
      </c>
      <c r="H1045" s="181">
        <v>0</v>
      </c>
      <c r="I1045" s="181">
        <v>9.5249999999999986</v>
      </c>
      <c r="J1045" s="181">
        <v>0</v>
      </c>
      <c r="K1045" s="181">
        <v>0</v>
      </c>
      <c r="L1045" s="181">
        <v>0</v>
      </c>
      <c r="M1045" s="181">
        <v>11155002.206079999</v>
      </c>
      <c r="N1045" s="181">
        <v>193367.35519999999</v>
      </c>
      <c r="O1045" s="181">
        <v>107990.75175999998</v>
      </c>
      <c r="P1045" s="181">
        <v>49.021999999999998</v>
      </c>
      <c r="Q1045" s="181">
        <v>0</v>
      </c>
      <c r="R1045" s="181">
        <v>0</v>
      </c>
      <c r="S1045" s="181">
        <v>0</v>
      </c>
      <c r="T1045" s="181">
        <v>37.845999999999997</v>
      </c>
      <c r="U1045" s="181">
        <v>0</v>
      </c>
      <c r="V1045" s="181">
        <v>0</v>
      </c>
    </row>
    <row r="1046" spans="1:22">
      <c r="A1046" s="2" t="s">
        <v>2110</v>
      </c>
      <c r="B1046" s="2" t="s">
        <v>2111</v>
      </c>
      <c r="C1046" s="181">
        <v>36.608736</v>
      </c>
      <c r="D1046" s="181">
        <v>4658.0551999999998</v>
      </c>
      <c r="E1046" s="181">
        <v>152.39999999999998</v>
      </c>
      <c r="F1046" s="181">
        <v>0</v>
      </c>
      <c r="G1046" s="181">
        <v>0</v>
      </c>
      <c r="H1046" s="181">
        <v>0</v>
      </c>
      <c r="I1046" s="181">
        <v>9.5249999999999986</v>
      </c>
      <c r="J1046" s="181">
        <v>0</v>
      </c>
      <c r="K1046" s="181">
        <v>0</v>
      </c>
      <c r="L1046" s="181">
        <v>0</v>
      </c>
      <c r="M1046" s="181">
        <v>11155002.206079999</v>
      </c>
      <c r="N1046" s="181">
        <v>193367.35519999999</v>
      </c>
      <c r="O1046" s="181">
        <v>107990.75175999998</v>
      </c>
      <c r="P1046" s="181">
        <v>49.021999999999998</v>
      </c>
      <c r="Q1046" s="181">
        <v>0</v>
      </c>
      <c r="R1046" s="181">
        <v>0</v>
      </c>
      <c r="S1046" s="181">
        <v>0</v>
      </c>
      <c r="T1046" s="181">
        <v>40.893999999999998</v>
      </c>
      <c r="U1046" s="181">
        <v>0</v>
      </c>
      <c r="V1046" s="181">
        <v>0</v>
      </c>
    </row>
    <row r="1047" spans="1:22">
      <c r="A1047" s="2" t="s">
        <v>2112</v>
      </c>
      <c r="B1047" s="2" t="s">
        <v>2113</v>
      </c>
      <c r="C1047" s="181">
        <v>36.608736</v>
      </c>
      <c r="D1047" s="181">
        <v>4658.0551999999998</v>
      </c>
      <c r="E1047" s="181">
        <v>152.39999999999998</v>
      </c>
      <c r="F1047" s="181">
        <v>0</v>
      </c>
      <c r="G1047" s="181">
        <v>0</v>
      </c>
      <c r="H1047" s="181">
        <v>0</v>
      </c>
      <c r="I1047" s="181">
        <v>9.5249999999999986</v>
      </c>
      <c r="J1047" s="181">
        <v>0</v>
      </c>
      <c r="K1047" s="181">
        <v>0</v>
      </c>
      <c r="L1047" s="181">
        <v>0</v>
      </c>
      <c r="M1047" s="181">
        <v>11155002.206079999</v>
      </c>
      <c r="N1047" s="181">
        <v>193367.35519999999</v>
      </c>
      <c r="O1047" s="181">
        <v>107990.75175999998</v>
      </c>
      <c r="P1047" s="181">
        <v>49.021999999999998</v>
      </c>
      <c r="Q1047" s="181">
        <v>0</v>
      </c>
      <c r="R1047" s="181">
        <v>0</v>
      </c>
      <c r="S1047" s="181">
        <v>0</v>
      </c>
      <c r="T1047" s="181">
        <v>44.449999999999996</v>
      </c>
      <c r="U1047" s="181">
        <v>0</v>
      </c>
      <c r="V1047" s="181">
        <v>0</v>
      </c>
    </row>
    <row r="1048" spans="1:22">
      <c r="A1048" s="2" t="s">
        <v>2114</v>
      </c>
      <c r="B1048" s="2" t="s">
        <v>2115</v>
      </c>
      <c r="C1048" s="181">
        <v>30.656096000000002</v>
      </c>
      <c r="D1048" s="181">
        <v>3903.2179999999998</v>
      </c>
      <c r="E1048" s="181">
        <v>152.39999999999998</v>
      </c>
      <c r="F1048" s="181">
        <v>0</v>
      </c>
      <c r="G1048" s="181">
        <v>0</v>
      </c>
      <c r="H1048" s="181">
        <v>0</v>
      </c>
      <c r="I1048" s="181">
        <v>7.9375</v>
      </c>
      <c r="J1048" s="181">
        <v>0</v>
      </c>
      <c r="K1048" s="181">
        <v>0</v>
      </c>
      <c r="L1048" s="181">
        <v>0</v>
      </c>
      <c r="M1048" s="181">
        <v>9448453.3611199986</v>
      </c>
      <c r="N1048" s="181">
        <v>162395.80424</v>
      </c>
      <c r="O1048" s="181">
        <v>90948.205199999982</v>
      </c>
      <c r="P1048" s="181">
        <v>49.275999999999996</v>
      </c>
      <c r="Q1048" s="181">
        <v>0</v>
      </c>
      <c r="R1048" s="181">
        <v>0</v>
      </c>
      <c r="S1048" s="181">
        <v>0</v>
      </c>
      <c r="T1048" s="181">
        <v>37.591999999999999</v>
      </c>
      <c r="U1048" s="181">
        <v>0</v>
      </c>
      <c r="V1048" s="181">
        <v>0</v>
      </c>
    </row>
    <row r="1049" spans="1:22">
      <c r="A1049" s="2" t="s">
        <v>2116</v>
      </c>
      <c r="B1049" s="2" t="s">
        <v>2117</v>
      </c>
      <c r="C1049" s="181">
        <v>30.656096000000002</v>
      </c>
      <c r="D1049" s="181">
        <v>3903.2179999999998</v>
      </c>
      <c r="E1049" s="181">
        <v>152.39999999999998</v>
      </c>
      <c r="F1049" s="181">
        <v>0</v>
      </c>
      <c r="G1049" s="181">
        <v>0</v>
      </c>
      <c r="H1049" s="181">
        <v>0</v>
      </c>
      <c r="I1049" s="181">
        <v>7.9375</v>
      </c>
      <c r="J1049" s="181">
        <v>0</v>
      </c>
      <c r="K1049" s="181">
        <v>0</v>
      </c>
      <c r="L1049" s="181">
        <v>0</v>
      </c>
      <c r="M1049" s="181">
        <v>9448453.3611199986</v>
      </c>
      <c r="N1049" s="181">
        <v>162395.80424</v>
      </c>
      <c r="O1049" s="181">
        <v>90948.205199999982</v>
      </c>
      <c r="P1049" s="181">
        <v>49.275999999999996</v>
      </c>
      <c r="Q1049" s="181">
        <v>0</v>
      </c>
      <c r="R1049" s="181">
        <v>0</v>
      </c>
      <c r="S1049" s="181">
        <v>0</v>
      </c>
      <c r="T1049" s="181">
        <v>40.64</v>
      </c>
      <c r="U1049" s="181">
        <v>0</v>
      </c>
      <c r="V1049" s="181">
        <v>0</v>
      </c>
    </row>
    <row r="1050" spans="1:22">
      <c r="A1050" s="2" t="s">
        <v>2118</v>
      </c>
      <c r="B1050" s="2" t="s">
        <v>2119</v>
      </c>
      <c r="C1050" s="181">
        <v>30.656096000000002</v>
      </c>
      <c r="D1050" s="181">
        <v>3903.2179999999998</v>
      </c>
      <c r="E1050" s="181">
        <v>152.39999999999998</v>
      </c>
      <c r="F1050" s="181">
        <v>0</v>
      </c>
      <c r="G1050" s="181">
        <v>0</v>
      </c>
      <c r="H1050" s="181">
        <v>0</v>
      </c>
      <c r="I1050" s="181">
        <v>7.9375</v>
      </c>
      <c r="J1050" s="181">
        <v>0</v>
      </c>
      <c r="K1050" s="181">
        <v>0</v>
      </c>
      <c r="L1050" s="181">
        <v>0</v>
      </c>
      <c r="M1050" s="181">
        <v>9448453.3611199986</v>
      </c>
      <c r="N1050" s="181">
        <v>162395.80424</v>
      </c>
      <c r="O1050" s="181">
        <v>90948.205199999982</v>
      </c>
      <c r="P1050" s="181">
        <v>49.275999999999996</v>
      </c>
      <c r="Q1050" s="181">
        <v>0</v>
      </c>
      <c r="R1050" s="181">
        <v>0</v>
      </c>
      <c r="S1050" s="181">
        <v>0</v>
      </c>
      <c r="T1050" s="181">
        <v>44.195999999999998</v>
      </c>
      <c r="U1050" s="181">
        <v>0</v>
      </c>
      <c r="V1050" s="181">
        <v>0</v>
      </c>
    </row>
    <row r="1051" spans="1:22">
      <c r="A1051" s="2" t="s">
        <v>2120</v>
      </c>
      <c r="B1051" s="2" t="s">
        <v>2121</v>
      </c>
      <c r="C1051" s="181">
        <v>45.686511999999993</v>
      </c>
      <c r="D1051" s="181">
        <v>5832.2463999999991</v>
      </c>
      <c r="E1051" s="181">
        <v>152.39999999999998</v>
      </c>
      <c r="F1051" s="181">
        <v>0</v>
      </c>
      <c r="G1051" s="181">
        <v>0</v>
      </c>
      <c r="H1051" s="181">
        <v>0</v>
      </c>
      <c r="I1051" s="181">
        <v>12.7</v>
      </c>
      <c r="J1051" s="181">
        <v>0</v>
      </c>
      <c r="K1051" s="181">
        <v>0</v>
      </c>
      <c r="L1051" s="181">
        <v>0</v>
      </c>
      <c r="M1051" s="181">
        <v>13818883.329919999</v>
      </c>
      <c r="N1051" s="181">
        <v>245805.95999999996</v>
      </c>
      <c r="O1051" s="181">
        <v>138470.69079999998</v>
      </c>
      <c r="P1051" s="181">
        <v>48.767999999999994</v>
      </c>
      <c r="Q1051" s="181">
        <v>0</v>
      </c>
      <c r="R1051" s="181">
        <v>0</v>
      </c>
      <c r="S1051" s="181">
        <v>0</v>
      </c>
      <c r="T1051" s="181">
        <v>32.257999999999996</v>
      </c>
      <c r="U1051" s="181">
        <v>0</v>
      </c>
      <c r="V1051" s="181">
        <v>0</v>
      </c>
    </row>
    <row r="1052" spans="1:22">
      <c r="A1052" s="2" t="s">
        <v>2122</v>
      </c>
      <c r="B1052" s="2" t="s">
        <v>2123</v>
      </c>
      <c r="C1052" s="181">
        <v>45.686511999999993</v>
      </c>
      <c r="D1052" s="181">
        <v>5832.2463999999991</v>
      </c>
      <c r="E1052" s="181">
        <v>152.39999999999998</v>
      </c>
      <c r="F1052" s="181">
        <v>0</v>
      </c>
      <c r="G1052" s="181">
        <v>0</v>
      </c>
      <c r="H1052" s="181">
        <v>0</v>
      </c>
      <c r="I1052" s="181">
        <v>12.7</v>
      </c>
      <c r="J1052" s="181">
        <v>0</v>
      </c>
      <c r="K1052" s="181">
        <v>0</v>
      </c>
      <c r="L1052" s="181">
        <v>0</v>
      </c>
      <c r="M1052" s="181">
        <v>13818883.329919999</v>
      </c>
      <c r="N1052" s="181">
        <v>245805.95999999996</v>
      </c>
      <c r="O1052" s="181">
        <v>138470.69079999998</v>
      </c>
      <c r="P1052" s="181">
        <v>48.767999999999994</v>
      </c>
      <c r="Q1052" s="181">
        <v>0</v>
      </c>
      <c r="R1052" s="181">
        <v>0</v>
      </c>
      <c r="S1052" s="181">
        <v>0</v>
      </c>
      <c r="T1052" s="181">
        <v>35.559999999999995</v>
      </c>
      <c r="U1052" s="181">
        <v>0</v>
      </c>
      <c r="V1052" s="181">
        <v>0</v>
      </c>
    </row>
    <row r="1053" spans="1:22">
      <c r="A1053" s="2" t="s">
        <v>2124</v>
      </c>
      <c r="B1053" s="2" t="s">
        <v>2125</v>
      </c>
      <c r="C1053" s="181">
        <v>45.686511999999993</v>
      </c>
      <c r="D1053" s="181">
        <v>5832.2463999999991</v>
      </c>
      <c r="E1053" s="181">
        <v>152.39999999999998</v>
      </c>
      <c r="F1053" s="181">
        <v>0</v>
      </c>
      <c r="G1053" s="181">
        <v>0</v>
      </c>
      <c r="H1053" s="181">
        <v>0</v>
      </c>
      <c r="I1053" s="181">
        <v>12.7</v>
      </c>
      <c r="J1053" s="181">
        <v>0</v>
      </c>
      <c r="K1053" s="181">
        <v>0</v>
      </c>
      <c r="L1053" s="181">
        <v>0</v>
      </c>
      <c r="M1053" s="181">
        <v>13818883.329919999</v>
      </c>
      <c r="N1053" s="181">
        <v>245805.95999999996</v>
      </c>
      <c r="O1053" s="181">
        <v>138470.69079999998</v>
      </c>
      <c r="P1053" s="181">
        <v>48.767999999999994</v>
      </c>
      <c r="Q1053" s="181">
        <v>0</v>
      </c>
      <c r="R1053" s="181">
        <v>0</v>
      </c>
      <c r="S1053" s="181">
        <v>0</v>
      </c>
      <c r="T1053" s="181">
        <v>39.116</v>
      </c>
      <c r="U1053" s="181">
        <v>0</v>
      </c>
      <c r="V1053" s="181">
        <v>0</v>
      </c>
    </row>
    <row r="1054" spans="1:22">
      <c r="A1054" s="2" t="s">
        <v>2126</v>
      </c>
      <c r="B1054" s="2" t="s">
        <v>2127</v>
      </c>
      <c r="C1054" s="181">
        <v>34.822944</v>
      </c>
      <c r="D1054" s="181">
        <v>4438.7007999999996</v>
      </c>
      <c r="E1054" s="181">
        <v>152.39999999999998</v>
      </c>
      <c r="F1054" s="181">
        <v>0</v>
      </c>
      <c r="G1054" s="181">
        <v>0</v>
      </c>
      <c r="H1054" s="181">
        <v>0</v>
      </c>
      <c r="I1054" s="181">
        <v>9.5249999999999986</v>
      </c>
      <c r="J1054" s="181">
        <v>0</v>
      </c>
      <c r="K1054" s="181">
        <v>0</v>
      </c>
      <c r="L1054" s="181">
        <v>0</v>
      </c>
      <c r="M1054" s="181">
        <v>10697147.637919998</v>
      </c>
      <c r="N1054" s="181">
        <v>188451.23599999998</v>
      </c>
      <c r="O1054" s="181">
        <v>106024.30407999999</v>
      </c>
      <c r="P1054" s="181">
        <v>49.021999999999998</v>
      </c>
      <c r="Q1054" s="181">
        <v>0</v>
      </c>
      <c r="R1054" s="181">
        <v>0</v>
      </c>
      <c r="S1054" s="181">
        <v>0</v>
      </c>
      <c r="T1054" s="181">
        <v>32.003999999999998</v>
      </c>
      <c r="U1054" s="181">
        <v>0</v>
      </c>
      <c r="V1054" s="181">
        <v>0</v>
      </c>
    </row>
    <row r="1055" spans="1:22">
      <c r="A1055" s="2" t="s">
        <v>2128</v>
      </c>
      <c r="B1055" s="2" t="s">
        <v>2129</v>
      </c>
      <c r="C1055" s="181">
        <v>34.822944</v>
      </c>
      <c r="D1055" s="181">
        <v>4438.7007999999996</v>
      </c>
      <c r="E1055" s="181">
        <v>152.39999999999998</v>
      </c>
      <c r="F1055" s="181">
        <v>0</v>
      </c>
      <c r="G1055" s="181">
        <v>0</v>
      </c>
      <c r="H1055" s="181">
        <v>0</v>
      </c>
      <c r="I1055" s="181">
        <v>9.5249999999999986</v>
      </c>
      <c r="J1055" s="181">
        <v>0</v>
      </c>
      <c r="K1055" s="181">
        <v>0</v>
      </c>
      <c r="L1055" s="181">
        <v>0</v>
      </c>
      <c r="M1055" s="181">
        <v>10697147.637919998</v>
      </c>
      <c r="N1055" s="181">
        <v>188451.23599999998</v>
      </c>
      <c r="O1055" s="181">
        <v>106024.30407999999</v>
      </c>
      <c r="P1055" s="181">
        <v>49.021999999999998</v>
      </c>
      <c r="Q1055" s="181">
        <v>0</v>
      </c>
      <c r="R1055" s="181">
        <v>0</v>
      </c>
      <c r="S1055" s="181">
        <v>0</v>
      </c>
      <c r="T1055" s="181">
        <v>35.051999999999992</v>
      </c>
      <c r="U1055" s="181">
        <v>0</v>
      </c>
      <c r="V1055" s="181">
        <v>0</v>
      </c>
    </row>
    <row r="1056" spans="1:22">
      <c r="A1056" s="2" t="s">
        <v>2130</v>
      </c>
      <c r="B1056" s="2" t="s">
        <v>2131</v>
      </c>
      <c r="C1056" s="181">
        <v>34.822944</v>
      </c>
      <c r="D1056" s="181">
        <v>4438.7007999999996</v>
      </c>
      <c r="E1056" s="181">
        <v>152.39999999999998</v>
      </c>
      <c r="F1056" s="181">
        <v>0</v>
      </c>
      <c r="G1056" s="181">
        <v>0</v>
      </c>
      <c r="H1056" s="181">
        <v>0</v>
      </c>
      <c r="I1056" s="181">
        <v>9.5249999999999986</v>
      </c>
      <c r="J1056" s="181">
        <v>0</v>
      </c>
      <c r="K1056" s="181">
        <v>0</v>
      </c>
      <c r="L1056" s="181">
        <v>0</v>
      </c>
      <c r="M1056" s="181">
        <v>10697147.637919998</v>
      </c>
      <c r="N1056" s="181">
        <v>188451.23599999998</v>
      </c>
      <c r="O1056" s="181">
        <v>106024.30407999999</v>
      </c>
      <c r="P1056" s="181">
        <v>49.021999999999998</v>
      </c>
      <c r="Q1056" s="181">
        <v>0</v>
      </c>
      <c r="R1056" s="181">
        <v>0</v>
      </c>
      <c r="S1056" s="181">
        <v>0</v>
      </c>
      <c r="T1056" s="181">
        <v>38.607999999999997</v>
      </c>
      <c r="U1056" s="181">
        <v>0</v>
      </c>
      <c r="V1056" s="181">
        <v>0</v>
      </c>
    </row>
    <row r="1057" spans="1:22">
      <c r="A1057" s="2" t="s">
        <v>2132</v>
      </c>
      <c r="B1057" s="2" t="s">
        <v>2133</v>
      </c>
      <c r="C1057" s="181">
        <v>29.316751999999997</v>
      </c>
      <c r="D1057" s="181">
        <v>3729.0248000000001</v>
      </c>
      <c r="E1057" s="181">
        <v>152.39999999999998</v>
      </c>
      <c r="F1057" s="181">
        <v>0</v>
      </c>
      <c r="G1057" s="181">
        <v>0</v>
      </c>
      <c r="H1057" s="181">
        <v>0</v>
      </c>
      <c r="I1057" s="181">
        <v>7.9375</v>
      </c>
      <c r="J1057" s="181">
        <v>0</v>
      </c>
      <c r="K1057" s="181">
        <v>0</v>
      </c>
      <c r="L1057" s="181">
        <v>0</v>
      </c>
      <c r="M1057" s="181">
        <v>9073845.0780799985</v>
      </c>
      <c r="N1057" s="181">
        <v>158626.77951999998</v>
      </c>
      <c r="O1057" s="181">
        <v>89309.498800000001</v>
      </c>
      <c r="P1057" s="181">
        <v>49.275999999999996</v>
      </c>
      <c r="Q1057" s="181">
        <v>0</v>
      </c>
      <c r="R1057" s="181">
        <v>0</v>
      </c>
      <c r="S1057" s="181">
        <v>0</v>
      </c>
      <c r="T1057" s="181">
        <v>31.75</v>
      </c>
      <c r="U1057" s="181">
        <v>0</v>
      </c>
      <c r="V1057" s="181">
        <v>0</v>
      </c>
    </row>
    <row r="1058" spans="1:22">
      <c r="A1058" s="2" t="s">
        <v>2134</v>
      </c>
      <c r="B1058" s="2" t="s">
        <v>2135</v>
      </c>
      <c r="C1058" s="181">
        <v>29.316751999999997</v>
      </c>
      <c r="D1058" s="181">
        <v>3729.0248000000001</v>
      </c>
      <c r="E1058" s="181">
        <v>152.39999999999998</v>
      </c>
      <c r="F1058" s="181">
        <v>0</v>
      </c>
      <c r="G1058" s="181">
        <v>0</v>
      </c>
      <c r="H1058" s="181">
        <v>0</v>
      </c>
      <c r="I1058" s="181">
        <v>7.9375</v>
      </c>
      <c r="J1058" s="181">
        <v>0</v>
      </c>
      <c r="K1058" s="181">
        <v>0</v>
      </c>
      <c r="L1058" s="181">
        <v>0</v>
      </c>
      <c r="M1058" s="181">
        <v>9073845.0780799985</v>
      </c>
      <c r="N1058" s="181">
        <v>158626.77951999998</v>
      </c>
      <c r="O1058" s="181">
        <v>89309.498800000001</v>
      </c>
      <c r="P1058" s="181">
        <v>49.275999999999996</v>
      </c>
      <c r="Q1058" s="181">
        <v>0</v>
      </c>
      <c r="R1058" s="181">
        <v>0</v>
      </c>
      <c r="S1058" s="181">
        <v>0</v>
      </c>
      <c r="T1058" s="181">
        <v>34.798000000000002</v>
      </c>
      <c r="U1058" s="181">
        <v>0</v>
      </c>
      <c r="V1058" s="181">
        <v>0</v>
      </c>
    </row>
    <row r="1059" spans="1:22">
      <c r="A1059" s="2" t="s">
        <v>2136</v>
      </c>
      <c r="B1059" s="2" t="s">
        <v>2137</v>
      </c>
      <c r="C1059" s="181">
        <v>29.316751999999997</v>
      </c>
      <c r="D1059" s="181">
        <v>3729.0248000000001</v>
      </c>
      <c r="E1059" s="181">
        <v>152.39999999999998</v>
      </c>
      <c r="F1059" s="181">
        <v>0</v>
      </c>
      <c r="G1059" s="181">
        <v>0</v>
      </c>
      <c r="H1059" s="181">
        <v>0</v>
      </c>
      <c r="I1059" s="181">
        <v>7.9375</v>
      </c>
      <c r="J1059" s="181">
        <v>0</v>
      </c>
      <c r="K1059" s="181">
        <v>0</v>
      </c>
      <c r="L1059" s="181">
        <v>0</v>
      </c>
      <c r="M1059" s="181">
        <v>9073845.0780799985</v>
      </c>
      <c r="N1059" s="181">
        <v>158626.77951999998</v>
      </c>
      <c r="O1059" s="181">
        <v>89309.498800000001</v>
      </c>
      <c r="P1059" s="181">
        <v>49.275999999999996</v>
      </c>
      <c r="Q1059" s="181">
        <v>0</v>
      </c>
      <c r="R1059" s="181">
        <v>0</v>
      </c>
      <c r="S1059" s="181">
        <v>0</v>
      </c>
      <c r="T1059" s="181">
        <v>38.099999999999994</v>
      </c>
      <c r="U1059" s="181">
        <v>0</v>
      </c>
      <c r="V1059" s="181">
        <v>0</v>
      </c>
    </row>
    <row r="1060" spans="1:22">
      <c r="A1060" s="2" t="s">
        <v>2138</v>
      </c>
      <c r="B1060" s="2" t="s">
        <v>2139</v>
      </c>
      <c r="C1060" s="181">
        <v>58.931136000000002</v>
      </c>
      <c r="D1060" s="181">
        <v>7483.8559999999998</v>
      </c>
      <c r="E1060" s="181">
        <v>127</v>
      </c>
      <c r="F1060" s="181">
        <v>0</v>
      </c>
      <c r="G1060" s="181">
        <v>0</v>
      </c>
      <c r="H1060" s="181">
        <v>0</v>
      </c>
      <c r="I1060" s="181">
        <v>19.049999999999997</v>
      </c>
      <c r="J1060" s="181">
        <v>0</v>
      </c>
      <c r="K1060" s="181">
        <v>0</v>
      </c>
      <c r="L1060" s="181">
        <v>0</v>
      </c>
      <c r="M1060" s="181">
        <v>11571233.631679999</v>
      </c>
      <c r="N1060" s="181">
        <v>249083.37279999995</v>
      </c>
      <c r="O1060" s="181">
        <v>139617.78527999998</v>
      </c>
      <c r="P1060" s="181">
        <v>39.369999999999997</v>
      </c>
      <c r="Q1060" s="181">
        <v>0</v>
      </c>
      <c r="R1060" s="181">
        <v>0</v>
      </c>
      <c r="S1060" s="181">
        <v>0</v>
      </c>
      <c r="T1060" s="181">
        <v>35.305999999999997</v>
      </c>
      <c r="U1060" s="181">
        <v>0</v>
      </c>
      <c r="V1060" s="181">
        <v>0</v>
      </c>
    </row>
    <row r="1061" spans="1:22">
      <c r="A1061" s="2" t="s">
        <v>2140</v>
      </c>
      <c r="B1061" s="2" t="s">
        <v>2141</v>
      </c>
      <c r="C1061" s="181">
        <v>58.931136000000002</v>
      </c>
      <c r="D1061" s="181">
        <v>7483.8559999999998</v>
      </c>
      <c r="E1061" s="181">
        <v>127</v>
      </c>
      <c r="F1061" s="181">
        <v>0</v>
      </c>
      <c r="G1061" s="181">
        <v>0</v>
      </c>
      <c r="H1061" s="181">
        <v>0</v>
      </c>
      <c r="I1061" s="181">
        <v>19.049999999999997</v>
      </c>
      <c r="J1061" s="181">
        <v>0</v>
      </c>
      <c r="K1061" s="181">
        <v>0</v>
      </c>
      <c r="L1061" s="181">
        <v>0</v>
      </c>
      <c r="M1061" s="181">
        <v>11571233.631679999</v>
      </c>
      <c r="N1061" s="181">
        <v>249083.37279999995</v>
      </c>
      <c r="O1061" s="181">
        <v>139617.78527999998</v>
      </c>
      <c r="P1061" s="181">
        <v>39.369999999999997</v>
      </c>
      <c r="Q1061" s="181">
        <v>0</v>
      </c>
      <c r="R1061" s="181">
        <v>0</v>
      </c>
      <c r="S1061" s="181">
        <v>0</v>
      </c>
      <c r="T1061" s="181">
        <v>38.862000000000002</v>
      </c>
      <c r="U1061" s="181">
        <v>0</v>
      </c>
      <c r="V1061" s="181">
        <v>0</v>
      </c>
    </row>
    <row r="1062" spans="1:22">
      <c r="A1062" s="2" t="s">
        <v>2142</v>
      </c>
      <c r="B1062" s="2" t="s">
        <v>2143</v>
      </c>
      <c r="C1062" s="181">
        <v>58.931136000000002</v>
      </c>
      <c r="D1062" s="181">
        <v>7483.8559999999998</v>
      </c>
      <c r="E1062" s="181">
        <v>127</v>
      </c>
      <c r="F1062" s="181">
        <v>0</v>
      </c>
      <c r="G1062" s="181">
        <v>0</v>
      </c>
      <c r="H1062" s="181">
        <v>0</v>
      </c>
      <c r="I1062" s="181">
        <v>19.049999999999997</v>
      </c>
      <c r="J1062" s="181">
        <v>0</v>
      </c>
      <c r="K1062" s="181">
        <v>0</v>
      </c>
      <c r="L1062" s="181">
        <v>0</v>
      </c>
      <c r="M1062" s="181">
        <v>11571233.631679999</v>
      </c>
      <c r="N1062" s="181">
        <v>249083.37279999995</v>
      </c>
      <c r="O1062" s="181">
        <v>139617.78527999998</v>
      </c>
      <c r="P1062" s="181">
        <v>39.369999999999997</v>
      </c>
      <c r="Q1062" s="181">
        <v>0</v>
      </c>
      <c r="R1062" s="181">
        <v>0</v>
      </c>
      <c r="S1062" s="181">
        <v>0</v>
      </c>
      <c r="T1062" s="181">
        <v>42.671999999999997</v>
      </c>
      <c r="U1062" s="181">
        <v>0</v>
      </c>
      <c r="V1062" s="181">
        <v>0</v>
      </c>
    </row>
    <row r="1063" spans="1:22">
      <c r="A1063" s="2" t="s">
        <v>2144</v>
      </c>
      <c r="B1063" s="2" t="s">
        <v>2145</v>
      </c>
      <c r="C1063" s="181">
        <v>49.853359999999995</v>
      </c>
      <c r="D1063" s="181">
        <v>6354.8259999999991</v>
      </c>
      <c r="E1063" s="181">
        <v>127</v>
      </c>
      <c r="F1063" s="181">
        <v>0</v>
      </c>
      <c r="G1063" s="181">
        <v>0</v>
      </c>
      <c r="H1063" s="181">
        <v>0</v>
      </c>
      <c r="I1063" s="181">
        <v>15.875</v>
      </c>
      <c r="J1063" s="181">
        <v>0</v>
      </c>
      <c r="K1063" s="181">
        <v>0</v>
      </c>
      <c r="L1063" s="181">
        <v>0</v>
      </c>
      <c r="M1063" s="181">
        <v>9989554.214399999</v>
      </c>
      <c r="N1063" s="181">
        <v>213031.83199999999</v>
      </c>
      <c r="O1063" s="181">
        <v>118970.08463999999</v>
      </c>
      <c r="P1063" s="181">
        <v>39.624000000000002</v>
      </c>
      <c r="Q1063" s="181">
        <v>0</v>
      </c>
      <c r="R1063" s="181">
        <v>0</v>
      </c>
      <c r="S1063" s="181">
        <v>0</v>
      </c>
      <c r="T1063" s="181">
        <v>34.798000000000002</v>
      </c>
      <c r="U1063" s="181">
        <v>0</v>
      </c>
      <c r="V1063" s="181">
        <v>0</v>
      </c>
    </row>
    <row r="1064" spans="1:22">
      <c r="A1064" s="2" t="s">
        <v>2146</v>
      </c>
      <c r="B1064" s="2" t="s">
        <v>2147</v>
      </c>
      <c r="C1064" s="181">
        <v>49.853359999999995</v>
      </c>
      <c r="D1064" s="181">
        <v>6354.8259999999991</v>
      </c>
      <c r="E1064" s="181">
        <v>127</v>
      </c>
      <c r="F1064" s="181">
        <v>0</v>
      </c>
      <c r="G1064" s="181">
        <v>0</v>
      </c>
      <c r="H1064" s="181">
        <v>0</v>
      </c>
      <c r="I1064" s="181">
        <v>15.875</v>
      </c>
      <c r="J1064" s="181">
        <v>0</v>
      </c>
      <c r="K1064" s="181">
        <v>0</v>
      </c>
      <c r="L1064" s="181">
        <v>0</v>
      </c>
      <c r="M1064" s="181">
        <v>9989554.214399999</v>
      </c>
      <c r="N1064" s="181">
        <v>213031.83199999999</v>
      </c>
      <c r="O1064" s="181">
        <v>118970.08463999999</v>
      </c>
      <c r="P1064" s="181">
        <v>39.624000000000002</v>
      </c>
      <c r="Q1064" s="181">
        <v>0</v>
      </c>
      <c r="R1064" s="181">
        <v>0</v>
      </c>
      <c r="S1064" s="181">
        <v>0</v>
      </c>
      <c r="T1064" s="181">
        <v>38.099999999999994</v>
      </c>
      <c r="U1064" s="181">
        <v>0</v>
      </c>
      <c r="V1064" s="181">
        <v>0</v>
      </c>
    </row>
    <row r="1065" spans="1:22">
      <c r="A1065" s="2" t="s">
        <v>2148</v>
      </c>
      <c r="B1065" s="2" t="s">
        <v>2149</v>
      </c>
      <c r="C1065" s="181">
        <v>49.853359999999995</v>
      </c>
      <c r="D1065" s="181">
        <v>6354.8259999999991</v>
      </c>
      <c r="E1065" s="181">
        <v>127</v>
      </c>
      <c r="F1065" s="181">
        <v>0</v>
      </c>
      <c r="G1065" s="181">
        <v>0</v>
      </c>
      <c r="H1065" s="181">
        <v>0</v>
      </c>
      <c r="I1065" s="181">
        <v>15.875</v>
      </c>
      <c r="J1065" s="181">
        <v>0</v>
      </c>
      <c r="K1065" s="181">
        <v>0</v>
      </c>
      <c r="L1065" s="181">
        <v>0</v>
      </c>
      <c r="M1065" s="181">
        <v>9989554.214399999</v>
      </c>
      <c r="N1065" s="181">
        <v>213031.83199999999</v>
      </c>
      <c r="O1065" s="181">
        <v>118970.08463999999</v>
      </c>
      <c r="P1065" s="181">
        <v>39.624000000000002</v>
      </c>
      <c r="Q1065" s="181">
        <v>0</v>
      </c>
      <c r="R1065" s="181">
        <v>0</v>
      </c>
      <c r="S1065" s="181">
        <v>0</v>
      </c>
      <c r="T1065" s="181">
        <v>41.91</v>
      </c>
      <c r="U1065" s="181">
        <v>0</v>
      </c>
      <c r="V1065" s="181">
        <v>0</v>
      </c>
    </row>
    <row r="1066" spans="1:22">
      <c r="A1066" s="2" t="s">
        <v>2150</v>
      </c>
      <c r="B1066" s="2" t="s">
        <v>2151</v>
      </c>
      <c r="C1066" s="181">
        <v>40.477951999999995</v>
      </c>
      <c r="D1066" s="181">
        <v>5167.7315999999992</v>
      </c>
      <c r="E1066" s="181">
        <v>127</v>
      </c>
      <c r="F1066" s="181">
        <v>0</v>
      </c>
      <c r="G1066" s="181">
        <v>0</v>
      </c>
      <c r="H1066" s="181">
        <v>0</v>
      </c>
      <c r="I1066" s="181">
        <v>12.7</v>
      </c>
      <c r="J1066" s="181">
        <v>0</v>
      </c>
      <c r="K1066" s="181">
        <v>0</v>
      </c>
      <c r="L1066" s="181">
        <v>0</v>
      </c>
      <c r="M1066" s="181">
        <v>8283005.3694399986</v>
      </c>
      <c r="N1066" s="181">
        <v>175341.58479999998</v>
      </c>
      <c r="O1066" s="181">
        <v>97339.160159999999</v>
      </c>
      <c r="P1066" s="181">
        <v>40.131999999999998</v>
      </c>
      <c r="Q1066" s="181">
        <v>0</v>
      </c>
      <c r="R1066" s="181">
        <v>0</v>
      </c>
      <c r="S1066" s="181">
        <v>0</v>
      </c>
      <c r="T1066" s="181">
        <v>34.29</v>
      </c>
      <c r="U1066" s="181">
        <v>0</v>
      </c>
      <c r="V1066" s="181">
        <v>0</v>
      </c>
    </row>
    <row r="1067" spans="1:22">
      <c r="A1067" s="2" t="s">
        <v>2152</v>
      </c>
      <c r="B1067" s="2" t="s">
        <v>2153</v>
      </c>
      <c r="C1067" s="181">
        <v>40.477951999999995</v>
      </c>
      <c r="D1067" s="181">
        <v>5167.7315999999992</v>
      </c>
      <c r="E1067" s="181">
        <v>127</v>
      </c>
      <c r="F1067" s="181">
        <v>0</v>
      </c>
      <c r="G1067" s="181">
        <v>0</v>
      </c>
      <c r="H1067" s="181">
        <v>0</v>
      </c>
      <c r="I1067" s="181">
        <v>12.7</v>
      </c>
      <c r="J1067" s="181">
        <v>0</v>
      </c>
      <c r="K1067" s="181">
        <v>0</v>
      </c>
      <c r="L1067" s="181">
        <v>0</v>
      </c>
      <c r="M1067" s="181">
        <v>8283005.3694399986</v>
      </c>
      <c r="N1067" s="181">
        <v>175341.58479999998</v>
      </c>
      <c r="O1067" s="181">
        <v>97339.160159999999</v>
      </c>
      <c r="P1067" s="181">
        <v>40.131999999999998</v>
      </c>
      <c r="Q1067" s="181">
        <v>0</v>
      </c>
      <c r="R1067" s="181">
        <v>0</v>
      </c>
      <c r="S1067" s="181">
        <v>0</v>
      </c>
      <c r="T1067" s="181">
        <v>37.591999999999999</v>
      </c>
      <c r="U1067" s="181">
        <v>0</v>
      </c>
      <c r="V1067" s="181">
        <v>0</v>
      </c>
    </row>
    <row r="1068" spans="1:22">
      <c r="A1068" s="2" t="s">
        <v>2154</v>
      </c>
      <c r="B1068" s="2" t="s">
        <v>2155</v>
      </c>
      <c r="C1068" s="181">
        <v>40.477951999999995</v>
      </c>
      <c r="D1068" s="181">
        <v>5167.7315999999992</v>
      </c>
      <c r="E1068" s="181">
        <v>127</v>
      </c>
      <c r="F1068" s="181">
        <v>0</v>
      </c>
      <c r="G1068" s="181">
        <v>0</v>
      </c>
      <c r="H1068" s="181">
        <v>0</v>
      </c>
      <c r="I1068" s="181">
        <v>12.7</v>
      </c>
      <c r="J1068" s="181">
        <v>0</v>
      </c>
      <c r="K1068" s="181">
        <v>0</v>
      </c>
      <c r="L1068" s="181">
        <v>0</v>
      </c>
      <c r="M1068" s="181">
        <v>8283005.3694399986</v>
      </c>
      <c r="N1068" s="181">
        <v>175341.58479999998</v>
      </c>
      <c r="O1068" s="181">
        <v>97339.160159999999</v>
      </c>
      <c r="P1068" s="181">
        <v>40.131999999999998</v>
      </c>
      <c r="Q1068" s="181">
        <v>0</v>
      </c>
      <c r="R1068" s="181">
        <v>0</v>
      </c>
      <c r="S1068" s="181">
        <v>0</v>
      </c>
      <c r="T1068" s="181">
        <v>41.148000000000003</v>
      </c>
      <c r="U1068" s="181">
        <v>0</v>
      </c>
      <c r="V1068" s="181">
        <v>0</v>
      </c>
    </row>
    <row r="1069" spans="1:22">
      <c r="A1069" s="2" t="s">
        <v>2156</v>
      </c>
      <c r="B1069" s="2" t="s">
        <v>2157</v>
      </c>
      <c r="C1069" s="181">
        <v>30.953727999999998</v>
      </c>
      <c r="D1069" s="181">
        <v>3935.4759999999997</v>
      </c>
      <c r="E1069" s="181">
        <v>127</v>
      </c>
      <c r="F1069" s="181">
        <v>0</v>
      </c>
      <c r="G1069" s="181">
        <v>0</v>
      </c>
      <c r="H1069" s="181">
        <v>0</v>
      </c>
      <c r="I1069" s="181">
        <v>9.5249999999999986</v>
      </c>
      <c r="J1069" s="181">
        <v>0</v>
      </c>
      <c r="K1069" s="181">
        <v>0</v>
      </c>
      <c r="L1069" s="181">
        <v>0</v>
      </c>
      <c r="M1069" s="181">
        <v>6451587.0967999995</v>
      </c>
      <c r="N1069" s="181">
        <v>134046.18351999999</v>
      </c>
      <c r="O1069" s="181">
        <v>74725.011839999992</v>
      </c>
      <c r="P1069" s="181">
        <v>40.386000000000003</v>
      </c>
      <c r="Q1069" s="181">
        <v>0</v>
      </c>
      <c r="R1069" s="181">
        <v>0</v>
      </c>
      <c r="S1069" s="181">
        <v>0</v>
      </c>
      <c r="T1069" s="181">
        <v>33.781999999999996</v>
      </c>
      <c r="U1069" s="181">
        <v>0</v>
      </c>
      <c r="V1069" s="181">
        <v>0</v>
      </c>
    </row>
    <row r="1070" spans="1:22">
      <c r="A1070" s="2" t="s">
        <v>2158</v>
      </c>
      <c r="B1070" s="2" t="s">
        <v>2159</v>
      </c>
      <c r="C1070" s="181">
        <v>30.953727999999998</v>
      </c>
      <c r="D1070" s="181">
        <v>3935.4759999999997</v>
      </c>
      <c r="E1070" s="181">
        <v>127</v>
      </c>
      <c r="F1070" s="181">
        <v>0</v>
      </c>
      <c r="G1070" s="181">
        <v>0</v>
      </c>
      <c r="H1070" s="181">
        <v>0</v>
      </c>
      <c r="I1070" s="181">
        <v>9.5249999999999986</v>
      </c>
      <c r="J1070" s="181">
        <v>0</v>
      </c>
      <c r="K1070" s="181">
        <v>0</v>
      </c>
      <c r="L1070" s="181">
        <v>0</v>
      </c>
      <c r="M1070" s="181">
        <v>6451587.0967999995</v>
      </c>
      <c r="N1070" s="181">
        <v>134046.18351999999</v>
      </c>
      <c r="O1070" s="181">
        <v>74725.011839999992</v>
      </c>
      <c r="P1070" s="181">
        <v>40.386000000000003</v>
      </c>
      <c r="Q1070" s="181">
        <v>0</v>
      </c>
      <c r="R1070" s="181">
        <v>0</v>
      </c>
      <c r="S1070" s="181">
        <v>0</v>
      </c>
      <c r="T1070" s="181">
        <v>37.083999999999996</v>
      </c>
      <c r="U1070" s="181">
        <v>0</v>
      </c>
      <c r="V1070" s="181">
        <v>0</v>
      </c>
    </row>
    <row r="1071" spans="1:22">
      <c r="A1071" s="2" t="s">
        <v>2160</v>
      </c>
      <c r="B1071" s="2" t="s">
        <v>2161</v>
      </c>
      <c r="C1071" s="181">
        <v>30.953727999999998</v>
      </c>
      <c r="D1071" s="181">
        <v>3935.4759999999997</v>
      </c>
      <c r="E1071" s="181">
        <v>127</v>
      </c>
      <c r="F1071" s="181">
        <v>0</v>
      </c>
      <c r="G1071" s="181">
        <v>0</v>
      </c>
      <c r="H1071" s="181">
        <v>0</v>
      </c>
      <c r="I1071" s="181">
        <v>9.5249999999999986</v>
      </c>
      <c r="J1071" s="181">
        <v>0</v>
      </c>
      <c r="K1071" s="181">
        <v>0</v>
      </c>
      <c r="L1071" s="181">
        <v>0</v>
      </c>
      <c r="M1071" s="181">
        <v>6451587.0967999995</v>
      </c>
      <c r="N1071" s="181">
        <v>134046.18351999999</v>
      </c>
      <c r="O1071" s="181">
        <v>74725.011839999992</v>
      </c>
      <c r="P1071" s="181">
        <v>40.386000000000003</v>
      </c>
      <c r="Q1071" s="181">
        <v>0</v>
      </c>
      <c r="R1071" s="181">
        <v>0</v>
      </c>
      <c r="S1071" s="181">
        <v>0</v>
      </c>
      <c r="T1071" s="181">
        <v>40.386000000000003</v>
      </c>
      <c r="U1071" s="181">
        <v>0</v>
      </c>
      <c r="V1071" s="181">
        <v>0</v>
      </c>
    </row>
    <row r="1072" spans="1:22">
      <c r="A1072" s="2" t="s">
        <v>2162</v>
      </c>
      <c r="B1072" s="2" t="s">
        <v>2163</v>
      </c>
      <c r="C1072" s="181">
        <v>25.893983999999996</v>
      </c>
      <c r="D1072" s="181">
        <v>3303.2192</v>
      </c>
      <c r="E1072" s="181">
        <v>127</v>
      </c>
      <c r="F1072" s="181">
        <v>0</v>
      </c>
      <c r="G1072" s="181">
        <v>0</v>
      </c>
      <c r="H1072" s="181">
        <v>0</v>
      </c>
      <c r="I1072" s="181">
        <v>7.9375</v>
      </c>
      <c r="J1072" s="181">
        <v>0</v>
      </c>
      <c r="K1072" s="181">
        <v>0</v>
      </c>
      <c r="L1072" s="181">
        <v>0</v>
      </c>
      <c r="M1072" s="181">
        <v>5494254.8179199994</v>
      </c>
      <c r="N1072" s="181">
        <v>112906.87095999999</v>
      </c>
      <c r="O1072" s="181">
        <v>62926.325759999992</v>
      </c>
      <c r="P1072" s="181">
        <v>40.64</v>
      </c>
      <c r="Q1072" s="181">
        <v>0</v>
      </c>
      <c r="R1072" s="181">
        <v>0</v>
      </c>
      <c r="S1072" s="181">
        <v>0</v>
      </c>
      <c r="T1072" s="181">
        <v>33.527999999999999</v>
      </c>
      <c r="U1072" s="181">
        <v>0</v>
      </c>
      <c r="V1072" s="181">
        <v>0</v>
      </c>
    </row>
    <row r="1073" spans="1:22">
      <c r="A1073" s="2" t="s">
        <v>2164</v>
      </c>
      <c r="B1073" s="2" t="s">
        <v>2165</v>
      </c>
      <c r="C1073" s="181">
        <v>25.893983999999996</v>
      </c>
      <c r="D1073" s="181">
        <v>3303.2192</v>
      </c>
      <c r="E1073" s="181">
        <v>127</v>
      </c>
      <c r="F1073" s="181">
        <v>0</v>
      </c>
      <c r="G1073" s="181">
        <v>0</v>
      </c>
      <c r="H1073" s="181">
        <v>0</v>
      </c>
      <c r="I1073" s="181">
        <v>7.9375</v>
      </c>
      <c r="J1073" s="181">
        <v>0</v>
      </c>
      <c r="K1073" s="181">
        <v>0</v>
      </c>
      <c r="L1073" s="181">
        <v>0</v>
      </c>
      <c r="M1073" s="181">
        <v>5494254.8179199994</v>
      </c>
      <c r="N1073" s="181">
        <v>112906.87095999999</v>
      </c>
      <c r="O1073" s="181">
        <v>62926.325759999992</v>
      </c>
      <c r="P1073" s="181">
        <v>40.64</v>
      </c>
      <c r="Q1073" s="181">
        <v>0</v>
      </c>
      <c r="R1073" s="181">
        <v>0</v>
      </c>
      <c r="S1073" s="181">
        <v>0</v>
      </c>
      <c r="T1073" s="181">
        <v>36.575999999999993</v>
      </c>
      <c r="U1073" s="181">
        <v>0</v>
      </c>
      <c r="V1073" s="181">
        <v>0</v>
      </c>
    </row>
    <row r="1074" spans="1:22">
      <c r="A1074" s="2" t="s">
        <v>2166</v>
      </c>
      <c r="B1074" s="2" t="s">
        <v>2167</v>
      </c>
      <c r="C1074" s="181">
        <v>25.893983999999996</v>
      </c>
      <c r="D1074" s="181">
        <v>3303.2192</v>
      </c>
      <c r="E1074" s="181">
        <v>127</v>
      </c>
      <c r="F1074" s="181">
        <v>0</v>
      </c>
      <c r="G1074" s="181">
        <v>0</v>
      </c>
      <c r="H1074" s="181">
        <v>0</v>
      </c>
      <c r="I1074" s="181">
        <v>7.9375</v>
      </c>
      <c r="J1074" s="181">
        <v>0</v>
      </c>
      <c r="K1074" s="181">
        <v>0</v>
      </c>
      <c r="L1074" s="181">
        <v>0</v>
      </c>
      <c r="M1074" s="181">
        <v>5494254.8179199994</v>
      </c>
      <c r="N1074" s="181">
        <v>112906.87095999999</v>
      </c>
      <c r="O1074" s="181">
        <v>62926.325759999992</v>
      </c>
      <c r="P1074" s="181">
        <v>40.64</v>
      </c>
      <c r="Q1074" s="181">
        <v>0</v>
      </c>
      <c r="R1074" s="181">
        <v>0</v>
      </c>
      <c r="S1074" s="181">
        <v>0</v>
      </c>
      <c r="T1074" s="181">
        <v>40.131999999999998</v>
      </c>
      <c r="U1074" s="181">
        <v>0</v>
      </c>
      <c r="V1074" s="181">
        <v>0</v>
      </c>
    </row>
    <row r="1075" spans="1:22">
      <c r="A1075" s="2" t="s">
        <v>2168</v>
      </c>
      <c r="B1075" s="2" t="s">
        <v>2169</v>
      </c>
      <c r="C1075" s="181">
        <v>20.983055999999998</v>
      </c>
      <c r="D1075" s="181">
        <v>2664.5108</v>
      </c>
      <c r="E1075" s="181">
        <v>127</v>
      </c>
      <c r="F1075" s="181">
        <v>0</v>
      </c>
      <c r="G1075" s="181">
        <v>0</v>
      </c>
      <c r="H1075" s="181">
        <v>0</v>
      </c>
      <c r="I1075" s="181">
        <v>6.35</v>
      </c>
      <c r="J1075" s="181">
        <v>0</v>
      </c>
      <c r="K1075" s="181">
        <v>0</v>
      </c>
      <c r="L1075" s="181">
        <v>0</v>
      </c>
      <c r="M1075" s="181">
        <v>4453676.2539199991</v>
      </c>
      <c r="N1075" s="181">
        <v>91275.946479999999</v>
      </c>
      <c r="O1075" s="181">
        <v>50799.898399999998</v>
      </c>
      <c r="P1075" s="181">
        <v>40.893999999999998</v>
      </c>
      <c r="Q1075" s="181">
        <v>0</v>
      </c>
      <c r="R1075" s="181">
        <v>0</v>
      </c>
      <c r="S1075" s="181">
        <v>0</v>
      </c>
      <c r="T1075" s="181">
        <v>33.274000000000001</v>
      </c>
      <c r="U1075" s="181">
        <v>0</v>
      </c>
      <c r="V1075" s="181">
        <v>0</v>
      </c>
    </row>
    <row r="1076" spans="1:22">
      <c r="A1076" s="2" t="s">
        <v>2170</v>
      </c>
      <c r="B1076" s="2" t="s">
        <v>2171</v>
      </c>
      <c r="C1076" s="181">
        <v>20.983055999999998</v>
      </c>
      <c r="D1076" s="181">
        <v>2664.5108</v>
      </c>
      <c r="E1076" s="181">
        <v>127</v>
      </c>
      <c r="F1076" s="181">
        <v>0</v>
      </c>
      <c r="G1076" s="181">
        <v>0</v>
      </c>
      <c r="H1076" s="181">
        <v>0</v>
      </c>
      <c r="I1076" s="181">
        <v>6.35</v>
      </c>
      <c r="J1076" s="181">
        <v>0</v>
      </c>
      <c r="K1076" s="181">
        <v>0</v>
      </c>
      <c r="L1076" s="181">
        <v>0</v>
      </c>
      <c r="M1076" s="181">
        <v>4453676.2539199991</v>
      </c>
      <c r="N1076" s="181">
        <v>91275.946479999999</v>
      </c>
      <c r="O1076" s="181">
        <v>50799.898399999998</v>
      </c>
      <c r="P1076" s="181">
        <v>40.893999999999998</v>
      </c>
      <c r="Q1076" s="181">
        <v>0</v>
      </c>
      <c r="R1076" s="181">
        <v>0</v>
      </c>
      <c r="S1076" s="181">
        <v>0</v>
      </c>
      <c r="T1076" s="181">
        <v>36.321999999999996</v>
      </c>
      <c r="U1076" s="181">
        <v>0</v>
      </c>
      <c r="V1076" s="181">
        <v>0</v>
      </c>
    </row>
    <row r="1077" spans="1:22">
      <c r="A1077" s="2" t="s">
        <v>2172</v>
      </c>
      <c r="B1077" s="2" t="s">
        <v>2173</v>
      </c>
      <c r="C1077" s="181">
        <v>20.983055999999998</v>
      </c>
      <c r="D1077" s="181">
        <v>2664.5108</v>
      </c>
      <c r="E1077" s="181">
        <v>127</v>
      </c>
      <c r="F1077" s="181">
        <v>0</v>
      </c>
      <c r="G1077" s="181">
        <v>0</v>
      </c>
      <c r="H1077" s="181">
        <v>0</v>
      </c>
      <c r="I1077" s="181">
        <v>6.35</v>
      </c>
      <c r="J1077" s="181">
        <v>0</v>
      </c>
      <c r="K1077" s="181">
        <v>0</v>
      </c>
      <c r="L1077" s="181">
        <v>0</v>
      </c>
      <c r="M1077" s="181">
        <v>4453676.2539199991</v>
      </c>
      <c r="N1077" s="181">
        <v>91275.946479999999</v>
      </c>
      <c r="O1077" s="181">
        <v>50799.898399999998</v>
      </c>
      <c r="P1077" s="181">
        <v>40.893999999999998</v>
      </c>
      <c r="Q1077" s="181">
        <v>0</v>
      </c>
      <c r="R1077" s="181">
        <v>0</v>
      </c>
      <c r="S1077" s="181">
        <v>0</v>
      </c>
      <c r="T1077" s="181">
        <v>39.878</v>
      </c>
      <c r="U1077" s="181">
        <v>0</v>
      </c>
      <c r="V1077" s="181">
        <v>0</v>
      </c>
    </row>
    <row r="1078" spans="1:22">
      <c r="A1078" s="2" t="s">
        <v>2174</v>
      </c>
      <c r="B1078" s="2" t="s">
        <v>2175</v>
      </c>
      <c r="C1078" s="181">
        <v>37.948079999999997</v>
      </c>
      <c r="D1078" s="181">
        <v>4845.1515999999992</v>
      </c>
      <c r="E1078" s="181">
        <v>127</v>
      </c>
      <c r="F1078" s="181">
        <v>0</v>
      </c>
      <c r="G1078" s="181">
        <v>0</v>
      </c>
      <c r="H1078" s="181">
        <v>0</v>
      </c>
      <c r="I1078" s="181">
        <v>12.7</v>
      </c>
      <c r="J1078" s="181">
        <v>0</v>
      </c>
      <c r="K1078" s="181">
        <v>0</v>
      </c>
      <c r="L1078" s="181">
        <v>0</v>
      </c>
      <c r="M1078" s="181">
        <v>7866773.9438399989</v>
      </c>
      <c r="N1078" s="181">
        <v>167148.05279999998</v>
      </c>
      <c r="O1078" s="181">
        <v>94881.100559999992</v>
      </c>
      <c r="P1078" s="181">
        <v>40.131999999999998</v>
      </c>
      <c r="Q1078" s="181">
        <v>0</v>
      </c>
      <c r="R1078" s="181">
        <v>0</v>
      </c>
      <c r="S1078" s="181">
        <v>0</v>
      </c>
      <c r="T1078" s="181">
        <v>28.194000000000003</v>
      </c>
      <c r="U1078" s="181">
        <v>0</v>
      </c>
      <c r="V1078" s="181">
        <v>0</v>
      </c>
    </row>
    <row r="1079" spans="1:22">
      <c r="A1079" s="2" t="s">
        <v>2176</v>
      </c>
      <c r="B1079" s="2" t="s">
        <v>2177</v>
      </c>
      <c r="C1079" s="181">
        <v>37.948079999999997</v>
      </c>
      <c r="D1079" s="181">
        <v>4845.1515999999992</v>
      </c>
      <c r="E1079" s="181">
        <v>127</v>
      </c>
      <c r="F1079" s="181">
        <v>0</v>
      </c>
      <c r="G1079" s="181">
        <v>0</v>
      </c>
      <c r="H1079" s="181">
        <v>0</v>
      </c>
      <c r="I1079" s="181">
        <v>12.7</v>
      </c>
      <c r="J1079" s="181">
        <v>0</v>
      </c>
      <c r="K1079" s="181">
        <v>0</v>
      </c>
      <c r="L1079" s="181">
        <v>0</v>
      </c>
      <c r="M1079" s="181">
        <v>7866773.9438399989</v>
      </c>
      <c r="N1079" s="181">
        <v>167148.05279999998</v>
      </c>
      <c r="O1079" s="181">
        <v>94881.100559999992</v>
      </c>
      <c r="P1079" s="181">
        <v>40.131999999999998</v>
      </c>
      <c r="Q1079" s="181">
        <v>0</v>
      </c>
      <c r="R1079" s="181">
        <v>0</v>
      </c>
      <c r="S1079" s="181">
        <v>0</v>
      </c>
      <c r="T1079" s="181">
        <v>31.495999999999999</v>
      </c>
      <c r="U1079" s="181">
        <v>0</v>
      </c>
      <c r="V1079" s="181">
        <v>0</v>
      </c>
    </row>
    <row r="1080" spans="1:22">
      <c r="A1080" s="2" t="s">
        <v>2178</v>
      </c>
      <c r="B1080" s="2" t="s">
        <v>2179</v>
      </c>
      <c r="C1080" s="181">
        <v>37.948079999999997</v>
      </c>
      <c r="D1080" s="181">
        <v>4845.1515999999992</v>
      </c>
      <c r="E1080" s="181">
        <v>127</v>
      </c>
      <c r="F1080" s="181">
        <v>0</v>
      </c>
      <c r="G1080" s="181">
        <v>0</v>
      </c>
      <c r="H1080" s="181">
        <v>0</v>
      </c>
      <c r="I1080" s="181">
        <v>12.7</v>
      </c>
      <c r="J1080" s="181">
        <v>0</v>
      </c>
      <c r="K1080" s="181">
        <v>0</v>
      </c>
      <c r="L1080" s="181">
        <v>0</v>
      </c>
      <c r="M1080" s="181">
        <v>7866773.9438399989</v>
      </c>
      <c r="N1080" s="181">
        <v>167148.05279999998</v>
      </c>
      <c r="O1080" s="181">
        <v>94881.100559999992</v>
      </c>
      <c r="P1080" s="181">
        <v>40.131999999999998</v>
      </c>
      <c r="Q1080" s="181">
        <v>0</v>
      </c>
      <c r="R1080" s="181">
        <v>0</v>
      </c>
      <c r="S1080" s="181">
        <v>0</v>
      </c>
      <c r="T1080" s="181">
        <v>35.305999999999997</v>
      </c>
      <c r="U1080" s="181">
        <v>0</v>
      </c>
      <c r="V1080" s="181">
        <v>0</v>
      </c>
    </row>
    <row r="1081" spans="1:22">
      <c r="A1081" s="2" t="s">
        <v>2180</v>
      </c>
      <c r="B1081" s="2" t="s">
        <v>2181</v>
      </c>
      <c r="C1081" s="181">
        <v>33.483599999999996</v>
      </c>
      <c r="D1081" s="181">
        <v>4270.9592000000002</v>
      </c>
      <c r="E1081" s="181">
        <v>127</v>
      </c>
      <c r="F1081" s="181">
        <v>0</v>
      </c>
      <c r="G1081" s="181">
        <v>0</v>
      </c>
      <c r="H1081" s="181">
        <v>0</v>
      </c>
      <c r="I1081" s="181">
        <v>11.112499999999999</v>
      </c>
      <c r="J1081" s="181">
        <v>0</v>
      </c>
      <c r="K1081" s="181">
        <v>0</v>
      </c>
      <c r="L1081" s="181">
        <v>0</v>
      </c>
      <c r="M1081" s="181">
        <v>6992687.9500799999</v>
      </c>
      <c r="N1081" s="181">
        <v>148630.67048</v>
      </c>
      <c r="O1081" s="181">
        <v>83901.76767999999</v>
      </c>
      <c r="P1081" s="181">
        <v>40.386000000000003</v>
      </c>
      <c r="Q1081" s="181">
        <v>0</v>
      </c>
      <c r="R1081" s="181">
        <v>0</v>
      </c>
      <c r="S1081" s="181">
        <v>0</v>
      </c>
      <c r="T1081" s="181">
        <v>27.94</v>
      </c>
      <c r="U1081" s="181">
        <v>0</v>
      </c>
      <c r="V1081" s="181">
        <v>0</v>
      </c>
    </row>
    <row r="1082" spans="1:22">
      <c r="A1082" s="2" t="s">
        <v>2182</v>
      </c>
      <c r="B1082" s="2" t="s">
        <v>2183</v>
      </c>
      <c r="C1082" s="181">
        <v>33.483599999999996</v>
      </c>
      <c r="D1082" s="181">
        <v>4270.9592000000002</v>
      </c>
      <c r="E1082" s="181">
        <v>127</v>
      </c>
      <c r="F1082" s="181">
        <v>0</v>
      </c>
      <c r="G1082" s="181">
        <v>0</v>
      </c>
      <c r="H1082" s="181">
        <v>0</v>
      </c>
      <c r="I1082" s="181">
        <v>11.112499999999999</v>
      </c>
      <c r="J1082" s="181">
        <v>0</v>
      </c>
      <c r="K1082" s="181">
        <v>0</v>
      </c>
      <c r="L1082" s="181">
        <v>0</v>
      </c>
      <c r="M1082" s="181">
        <v>6992687.9500799999</v>
      </c>
      <c r="N1082" s="181">
        <v>148630.67048</v>
      </c>
      <c r="O1082" s="181">
        <v>83901.76767999999</v>
      </c>
      <c r="P1082" s="181">
        <v>40.386000000000003</v>
      </c>
      <c r="Q1082" s="181">
        <v>0</v>
      </c>
      <c r="R1082" s="181">
        <v>0</v>
      </c>
      <c r="S1082" s="181">
        <v>0</v>
      </c>
      <c r="T1082" s="181">
        <v>31.241999999999997</v>
      </c>
      <c r="U1082" s="181">
        <v>0</v>
      </c>
      <c r="V1082" s="181">
        <v>0</v>
      </c>
    </row>
    <row r="1083" spans="1:22">
      <c r="A1083" s="2" t="s">
        <v>2184</v>
      </c>
      <c r="B1083" s="2" t="s">
        <v>2185</v>
      </c>
      <c r="C1083" s="181">
        <v>33.483599999999996</v>
      </c>
      <c r="D1083" s="181">
        <v>4270.9592000000002</v>
      </c>
      <c r="E1083" s="181">
        <v>127</v>
      </c>
      <c r="F1083" s="181">
        <v>0</v>
      </c>
      <c r="G1083" s="181">
        <v>0</v>
      </c>
      <c r="H1083" s="181">
        <v>0</v>
      </c>
      <c r="I1083" s="181">
        <v>11.112499999999999</v>
      </c>
      <c r="J1083" s="181">
        <v>0</v>
      </c>
      <c r="K1083" s="181">
        <v>0</v>
      </c>
      <c r="L1083" s="181">
        <v>0</v>
      </c>
      <c r="M1083" s="181">
        <v>6992687.9500799999</v>
      </c>
      <c r="N1083" s="181">
        <v>148630.67048</v>
      </c>
      <c r="O1083" s="181">
        <v>83901.76767999999</v>
      </c>
      <c r="P1083" s="181">
        <v>40.386000000000003</v>
      </c>
      <c r="Q1083" s="181">
        <v>0</v>
      </c>
      <c r="R1083" s="181">
        <v>0</v>
      </c>
      <c r="S1083" s="181">
        <v>0</v>
      </c>
      <c r="T1083" s="181">
        <v>35.051999999999992</v>
      </c>
      <c r="U1083" s="181">
        <v>0</v>
      </c>
      <c r="V1083" s="181">
        <v>0</v>
      </c>
    </row>
    <row r="1084" spans="1:22">
      <c r="A1084" s="2" t="s">
        <v>2186</v>
      </c>
      <c r="B1084" s="2" t="s">
        <v>2187</v>
      </c>
      <c r="C1084" s="181">
        <v>29.019119999999997</v>
      </c>
      <c r="D1084" s="181">
        <v>3696.7667999999999</v>
      </c>
      <c r="E1084" s="181">
        <v>127</v>
      </c>
      <c r="F1084" s="181">
        <v>0</v>
      </c>
      <c r="G1084" s="181">
        <v>0</v>
      </c>
      <c r="H1084" s="181">
        <v>0</v>
      </c>
      <c r="I1084" s="181">
        <v>9.5249999999999986</v>
      </c>
      <c r="J1084" s="181">
        <v>0</v>
      </c>
      <c r="K1084" s="181">
        <v>0</v>
      </c>
      <c r="L1084" s="181">
        <v>0</v>
      </c>
      <c r="M1084" s="181">
        <v>6118601.9563199989</v>
      </c>
      <c r="N1084" s="181">
        <v>128966.19368</v>
      </c>
      <c r="O1084" s="181">
        <v>72758.564159999994</v>
      </c>
      <c r="P1084" s="181">
        <v>40.64</v>
      </c>
      <c r="Q1084" s="181">
        <v>0</v>
      </c>
      <c r="R1084" s="181">
        <v>0</v>
      </c>
      <c r="S1084" s="181">
        <v>0</v>
      </c>
      <c r="T1084" s="181">
        <v>27.686</v>
      </c>
      <c r="U1084" s="181">
        <v>0</v>
      </c>
      <c r="V1084" s="181">
        <v>0</v>
      </c>
    </row>
    <row r="1085" spans="1:22">
      <c r="A1085" s="2" t="s">
        <v>2188</v>
      </c>
      <c r="B1085" s="2" t="s">
        <v>2189</v>
      </c>
      <c r="C1085" s="181">
        <v>29.019119999999997</v>
      </c>
      <c r="D1085" s="181">
        <v>3696.7667999999999</v>
      </c>
      <c r="E1085" s="181">
        <v>127</v>
      </c>
      <c r="F1085" s="181">
        <v>0</v>
      </c>
      <c r="G1085" s="181">
        <v>0</v>
      </c>
      <c r="H1085" s="181">
        <v>0</v>
      </c>
      <c r="I1085" s="181">
        <v>9.5249999999999986</v>
      </c>
      <c r="J1085" s="181">
        <v>0</v>
      </c>
      <c r="K1085" s="181">
        <v>0</v>
      </c>
      <c r="L1085" s="181">
        <v>0</v>
      </c>
      <c r="M1085" s="181">
        <v>6118601.9563199989</v>
      </c>
      <c r="N1085" s="181">
        <v>128966.19368</v>
      </c>
      <c r="O1085" s="181">
        <v>72758.564159999994</v>
      </c>
      <c r="P1085" s="181">
        <v>40.64</v>
      </c>
      <c r="Q1085" s="181">
        <v>0</v>
      </c>
      <c r="R1085" s="181">
        <v>0</v>
      </c>
      <c r="S1085" s="181">
        <v>0</v>
      </c>
      <c r="T1085" s="181">
        <v>30.987999999999996</v>
      </c>
      <c r="U1085" s="181">
        <v>0</v>
      </c>
      <c r="V1085" s="181">
        <v>0</v>
      </c>
    </row>
    <row r="1086" spans="1:22">
      <c r="A1086" s="2" t="s">
        <v>2190</v>
      </c>
      <c r="B1086" s="2" t="s">
        <v>2191</v>
      </c>
      <c r="C1086" s="181">
        <v>29.019119999999997</v>
      </c>
      <c r="D1086" s="181">
        <v>3696.7667999999999</v>
      </c>
      <c r="E1086" s="181">
        <v>127</v>
      </c>
      <c r="F1086" s="181">
        <v>0</v>
      </c>
      <c r="G1086" s="181">
        <v>0</v>
      </c>
      <c r="H1086" s="181">
        <v>0</v>
      </c>
      <c r="I1086" s="181">
        <v>9.5249999999999986</v>
      </c>
      <c r="J1086" s="181">
        <v>0</v>
      </c>
      <c r="K1086" s="181">
        <v>0</v>
      </c>
      <c r="L1086" s="181">
        <v>0</v>
      </c>
      <c r="M1086" s="181">
        <v>6118601.9563199989</v>
      </c>
      <c r="N1086" s="181">
        <v>128966.19368</v>
      </c>
      <c r="O1086" s="181">
        <v>72758.564159999994</v>
      </c>
      <c r="P1086" s="181">
        <v>40.64</v>
      </c>
      <c r="Q1086" s="181">
        <v>0</v>
      </c>
      <c r="R1086" s="181">
        <v>0</v>
      </c>
      <c r="S1086" s="181">
        <v>0</v>
      </c>
      <c r="T1086" s="181">
        <v>34.544000000000004</v>
      </c>
      <c r="U1086" s="181">
        <v>0</v>
      </c>
      <c r="V1086" s="181">
        <v>0</v>
      </c>
    </row>
    <row r="1087" spans="1:22">
      <c r="A1087" s="2" t="s">
        <v>2192</v>
      </c>
      <c r="B1087" s="2" t="s">
        <v>2193</v>
      </c>
      <c r="C1087" s="181">
        <v>24.405823999999996</v>
      </c>
      <c r="D1087" s="181">
        <v>3103.2195999999994</v>
      </c>
      <c r="E1087" s="181">
        <v>127</v>
      </c>
      <c r="F1087" s="181">
        <v>0</v>
      </c>
      <c r="G1087" s="181">
        <v>0</v>
      </c>
      <c r="H1087" s="181">
        <v>0</v>
      </c>
      <c r="I1087" s="181">
        <v>7.9375</v>
      </c>
      <c r="J1087" s="181">
        <v>0</v>
      </c>
      <c r="K1087" s="181">
        <v>0</v>
      </c>
      <c r="L1087" s="181">
        <v>0</v>
      </c>
      <c r="M1087" s="181">
        <v>5202892.8199999994</v>
      </c>
      <c r="N1087" s="181">
        <v>108646.23431999999</v>
      </c>
      <c r="O1087" s="181">
        <v>61287.619359999997</v>
      </c>
      <c r="P1087" s="181">
        <v>40.893999999999998</v>
      </c>
      <c r="Q1087" s="181">
        <v>0</v>
      </c>
      <c r="R1087" s="181">
        <v>0</v>
      </c>
      <c r="S1087" s="181">
        <v>0</v>
      </c>
      <c r="T1087" s="181">
        <v>27.431999999999999</v>
      </c>
      <c r="U1087" s="181">
        <v>0</v>
      </c>
      <c r="V1087" s="181">
        <v>0</v>
      </c>
    </row>
    <row r="1088" spans="1:22">
      <c r="A1088" s="2" t="s">
        <v>2194</v>
      </c>
      <c r="B1088" s="2" t="s">
        <v>2195</v>
      </c>
      <c r="C1088" s="181">
        <v>24.405823999999996</v>
      </c>
      <c r="D1088" s="181">
        <v>3103.2195999999994</v>
      </c>
      <c r="E1088" s="181">
        <v>127</v>
      </c>
      <c r="F1088" s="181">
        <v>0</v>
      </c>
      <c r="G1088" s="181">
        <v>0</v>
      </c>
      <c r="H1088" s="181">
        <v>0</v>
      </c>
      <c r="I1088" s="181">
        <v>7.9375</v>
      </c>
      <c r="J1088" s="181">
        <v>0</v>
      </c>
      <c r="K1088" s="181">
        <v>0</v>
      </c>
      <c r="L1088" s="181">
        <v>0</v>
      </c>
      <c r="M1088" s="181">
        <v>5202892.8199999994</v>
      </c>
      <c r="N1088" s="181">
        <v>108646.23431999999</v>
      </c>
      <c r="O1088" s="181">
        <v>61287.619359999997</v>
      </c>
      <c r="P1088" s="181">
        <v>40.893999999999998</v>
      </c>
      <c r="Q1088" s="181">
        <v>0</v>
      </c>
      <c r="R1088" s="181">
        <v>0</v>
      </c>
      <c r="S1088" s="181">
        <v>0</v>
      </c>
      <c r="T1088" s="181">
        <v>30.733999999999998</v>
      </c>
      <c r="U1088" s="181">
        <v>0</v>
      </c>
      <c r="V1088" s="181">
        <v>0</v>
      </c>
    </row>
    <row r="1089" spans="1:22">
      <c r="A1089" s="2" t="s">
        <v>2196</v>
      </c>
      <c r="B1089" s="2" t="s">
        <v>2197</v>
      </c>
      <c r="C1089" s="181">
        <v>24.405823999999996</v>
      </c>
      <c r="D1089" s="181">
        <v>3103.2195999999994</v>
      </c>
      <c r="E1089" s="181">
        <v>127</v>
      </c>
      <c r="F1089" s="181">
        <v>0</v>
      </c>
      <c r="G1089" s="181">
        <v>0</v>
      </c>
      <c r="H1089" s="181">
        <v>0</v>
      </c>
      <c r="I1089" s="181">
        <v>7.9375</v>
      </c>
      <c r="J1089" s="181">
        <v>0</v>
      </c>
      <c r="K1089" s="181">
        <v>0</v>
      </c>
      <c r="L1089" s="181">
        <v>0</v>
      </c>
      <c r="M1089" s="181">
        <v>5202892.8199999994</v>
      </c>
      <c r="N1089" s="181">
        <v>108646.23431999999</v>
      </c>
      <c r="O1089" s="181">
        <v>61287.619359999997</v>
      </c>
      <c r="P1089" s="181">
        <v>40.893999999999998</v>
      </c>
      <c r="Q1089" s="181">
        <v>0</v>
      </c>
      <c r="R1089" s="181">
        <v>0</v>
      </c>
      <c r="S1089" s="181">
        <v>0</v>
      </c>
      <c r="T1089" s="181">
        <v>34.29</v>
      </c>
      <c r="U1089" s="181">
        <v>0</v>
      </c>
      <c r="V1089" s="181">
        <v>0</v>
      </c>
    </row>
    <row r="1090" spans="1:22">
      <c r="A1090" s="2" t="s">
        <v>2198</v>
      </c>
      <c r="B1090" s="2" t="s">
        <v>2199</v>
      </c>
      <c r="C1090" s="181">
        <v>19.643711999999997</v>
      </c>
      <c r="D1090" s="181">
        <v>2503.2207999999996</v>
      </c>
      <c r="E1090" s="181">
        <v>127</v>
      </c>
      <c r="F1090" s="181">
        <v>0</v>
      </c>
      <c r="G1090" s="181">
        <v>0</v>
      </c>
      <c r="H1090" s="181">
        <v>0</v>
      </c>
      <c r="I1090" s="181">
        <v>6.35</v>
      </c>
      <c r="J1090" s="181">
        <v>0</v>
      </c>
      <c r="K1090" s="181">
        <v>0</v>
      </c>
      <c r="L1090" s="181">
        <v>0</v>
      </c>
      <c r="M1090" s="181">
        <v>4245560.5411199993</v>
      </c>
      <c r="N1090" s="181">
        <v>87998.533679999993</v>
      </c>
      <c r="O1090" s="181">
        <v>49652.803919999991</v>
      </c>
      <c r="P1090" s="181">
        <v>41.148000000000003</v>
      </c>
      <c r="Q1090" s="181">
        <v>0</v>
      </c>
      <c r="R1090" s="181">
        <v>0</v>
      </c>
      <c r="S1090" s="181">
        <v>0</v>
      </c>
      <c r="T1090" s="181">
        <v>27.178000000000001</v>
      </c>
      <c r="U1090" s="181">
        <v>0</v>
      </c>
      <c r="V1090" s="181">
        <v>0</v>
      </c>
    </row>
    <row r="1091" spans="1:22">
      <c r="A1091" s="2" t="s">
        <v>2200</v>
      </c>
      <c r="B1091" s="2" t="s">
        <v>2201</v>
      </c>
      <c r="C1091" s="181">
        <v>19.643711999999997</v>
      </c>
      <c r="D1091" s="181">
        <v>2503.2207999999996</v>
      </c>
      <c r="E1091" s="181">
        <v>127</v>
      </c>
      <c r="F1091" s="181">
        <v>0</v>
      </c>
      <c r="G1091" s="181">
        <v>0</v>
      </c>
      <c r="H1091" s="181">
        <v>0</v>
      </c>
      <c r="I1091" s="181">
        <v>6.35</v>
      </c>
      <c r="J1091" s="181">
        <v>0</v>
      </c>
      <c r="K1091" s="181">
        <v>0</v>
      </c>
      <c r="L1091" s="181">
        <v>0</v>
      </c>
      <c r="M1091" s="181">
        <v>4245560.5411199993</v>
      </c>
      <c r="N1091" s="181">
        <v>87998.533679999993</v>
      </c>
      <c r="O1091" s="181">
        <v>49652.803919999991</v>
      </c>
      <c r="P1091" s="181">
        <v>41.148000000000003</v>
      </c>
      <c r="Q1091" s="181">
        <v>0</v>
      </c>
      <c r="R1091" s="181">
        <v>0</v>
      </c>
      <c r="S1091" s="181">
        <v>0</v>
      </c>
      <c r="T1091" s="181">
        <v>30.225999999999996</v>
      </c>
      <c r="U1091" s="181">
        <v>0</v>
      </c>
      <c r="V1091" s="181">
        <v>0</v>
      </c>
    </row>
    <row r="1092" spans="1:22">
      <c r="A1092" s="2" t="s">
        <v>2202</v>
      </c>
      <c r="B1092" s="2" t="s">
        <v>2203</v>
      </c>
      <c r="C1092" s="181">
        <v>19.643711999999997</v>
      </c>
      <c r="D1092" s="181">
        <v>2503.2207999999996</v>
      </c>
      <c r="E1092" s="181">
        <v>127</v>
      </c>
      <c r="F1092" s="181">
        <v>0</v>
      </c>
      <c r="G1092" s="181">
        <v>0</v>
      </c>
      <c r="H1092" s="181">
        <v>0</v>
      </c>
      <c r="I1092" s="181">
        <v>6.35</v>
      </c>
      <c r="J1092" s="181">
        <v>0</v>
      </c>
      <c r="K1092" s="181">
        <v>0</v>
      </c>
      <c r="L1092" s="181">
        <v>0</v>
      </c>
      <c r="M1092" s="181">
        <v>4245560.5411199993</v>
      </c>
      <c r="N1092" s="181">
        <v>87998.533679999993</v>
      </c>
      <c r="O1092" s="181">
        <v>49652.803919999991</v>
      </c>
      <c r="P1092" s="181">
        <v>41.148000000000003</v>
      </c>
      <c r="Q1092" s="181">
        <v>0</v>
      </c>
      <c r="R1092" s="181">
        <v>0</v>
      </c>
      <c r="S1092" s="181">
        <v>0</v>
      </c>
      <c r="T1092" s="181">
        <v>33.781999999999996</v>
      </c>
      <c r="U1092" s="181">
        <v>0</v>
      </c>
      <c r="V1092" s="181">
        <v>0</v>
      </c>
    </row>
    <row r="1093" spans="1:22">
      <c r="A1093" s="2" t="s">
        <v>2204</v>
      </c>
      <c r="B1093" s="2" t="s">
        <v>2205</v>
      </c>
      <c r="C1093" s="181">
        <v>35.418208</v>
      </c>
      <c r="D1093" s="181">
        <v>4522.5715999999993</v>
      </c>
      <c r="E1093" s="181">
        <v>101.6</v>
      </c>
      <c r="F1093" s="181">
        <v>0</v>
      </c>
      <c r="G1093" s="181">
        <v>0</v>
      </c>
      <c r="H1093" s="181">
        <v>0</v>
      </c>
      <c r="I1093" s="181">
        <v>12.7</v>
      </c>
      <c r="J1093" s="181">
        <v>0</v>
      </c>
      <c r="K1093" s="181">
        <v>0</v>
      </c>
      <c r="L1093" s="181">
        <v>0</v>
      </c>
      <c r="M1093" s="181">
        <v>4412053.1113599995</v>
      </c>
      <c r="N1093" s="181">
        <v>113234.61223999999</v>
      </c>
      <c r="O1093" s="181">
        <v>62926.325759999992</v>
      </c>
      <c r="P1093" s="181">
        <v>31.241999999999997</v>
      </c>
      <c r="Q1093" s="181">
        <v>0</v>
      </c>
      <c r="R1093" s="181">
        <v>0</v>
      </c>
      <c r="S1093" s="181">
        <v>0</v>
      </c>
      <c r="T1093" s="181">
        <v>36.575999999999993</v>
      </c>
      <c r="U1093" s="181">
        <v>0</v>
      </c>
      <c r="V1093" s="181">
        <v>0</v>
      </c>
    </row>
    <row r="1094" spans="1:22">
      <c r="A1094" s="2" t="s">
        <v>2206</v>
      </c>
      <c r="B1094" s="2" t="s">
        <v>2207</v>
      </c>
      <c r="C1094" s="181">
        <v>35.418208</v>
      </c>
      <c r="D1094" s="181">
        <v>4522.5715999999993</v>
      </c>
      <c r="E1094" s="181">
        <v>101.6</v>
      </c>
      <c r="F1094" s="181">
        <v>0</v>
      </c>
      <c r="G1094" s="181">
        <v>0</v>
      </c>
      <c r="H1094" s="181">
        <v>0</v>
      </c>
      <c r="I1094" s="181">
        <v>12.7</v>
      </c>
      <c r="J1094" s="181">
        <v>0</v>
      </c>
      <c r="K1094" s="181">
        <v>0</v>
      </c>
      <c r="L1094" s="181">
        <v>0</v>
      </c>
      <c r="M1094" s="181">
        <v>4412053.1113599995</v>
      </c>
      <c r="N1094" s="181">
        <v>113234.61223999999</v>
      </c>
      <c r="O1094" s="181">
        <v>62926.325759999992</v>
      </c>
      <c r="P1094" s="181">
        <v>31.241999999999997</v>
      </c>
      <c r="Q1094" s="181">
        <v>0</v>
      </c>
      <c r="R1094" s="181">
        <v>0</v>
      </c>
      <c r="S1094" s="181">
        <v>0</v>
      </c>
      <c r="T1094" s="181">
        <v>39.878</v>
      </c>
      <c r="U1094" s="181">
        <v>0</v>
      </c>
      <c r="V1094" s="181">
        <v>0</v>
      </c>
    </row>
    <row r="1095" spans="1:22">
      <c r="A1095" s="2" t="s">
        <v>2208</v>
      </c>
      <c r="B1095" s="2" t="s">
        <v>2209</v>
      </c>
      <c r="C1095" s="181">
        <v>35.418208</v>
      </c>
      <c r="D1095" s="181">
        <v>4522.5715999999993</v>
      </c>
      <c r="E1095" s="181">
        <v>101.6</v>
      </c>
      <c r="F1095" s="181">
        <v>0</v>
      </c>
      <c r="G1095" s="181">
        <v>0</v>
      </c>
      <c r="H1095" s="181">
        <v>0</v>
      </c>
      <c r="I1095" s="181">
        <v>12.7</v>
      </c>
      <c r="J1095" s="181">
        <v>0</v>
      </c>
      <c r="K1095" s="181">
        <v>0</v>
      </c>
      <c r="L1095" s="181">
        <v>0</v>
      </c>
      <c r="M1095" s="181">
        <v>4412053.1113599995</v>
      </c>
      <c r="N1095" s="181">
        <v>113234.61223999999</v>
      </c>
      <c r="O1095" s="181">
        <v>62926.325759999992</v>
      </c>
      <c r="P1095" s="181">
        <v>31.241999999999997</v>
      </c>
      <c r="Q1095" s="181">
        <v>0</v>
      </c>
      <c r="R1095" s="181">
        <v>0</v>
      </c>
      <c r="S1095" s="181">
        <v>0</v>
      </c>
      <c r="T1095" s="181">
        <v>43.687999999999995</v>
      </c>
      <c r="U1095" s="181">
        <v>0</v>
      </c>
      <c r="V1095" s="181">
        <v>0</v>
      </c>
    </row>
    <row r="1096" spans="1:22">
      <c r="A1096" s="2" t="s">
        <v>2210</v>
      </c>
      <c r="B1096" s="2" t="s">
        <v>2211</v>
      </c>
      <c r="C1096" s="181">
        <v>27.084511999999997</v>
      </c>
      <c r="D1096" s="181">
        <v>3451.6059999999998</v>
      </c>
      <c r="E1096" s="181">
        <v>101.6</v>
      </c>
      <c r="F1096" s="181">
        <v>0</v>
      </c>
      <c r="G1096" s="181">
        <v>0</v>
      </c>
      <c r="H1096" s="181">
        <v>0</v>
      </c>
      <c r="I1096" s="181">
        <v>9.5249999999999986</v>
      </c>
      <c r="J1096" s="181">
        <v>0</v>
      </c>
      <c r="K1096" s="181">
        <v>0</v>
      </c>
      <c r="L1096" s="181">
        <v>0</v>
      </c>
      <c r="M1096" s="181">
        <v>3454720.8324799999</v>
      </c>
      <c r="N1096" s="181">
        <v>87179.180479999995</v>
      </c>
      <c r="O1096" s="181">
        <v>48505.709439999991</v>
      </c>
      <c r="P1096" s="181">
        <v>31.75</v>
      </c>
      <c r="Q1096" s="181">
        <v>0</v>
      </c>
      <c r="R1096" s="181">
        <v>0</v>
      </c>
      <c r="S1096" s="181">
        <v>0</v>
      </c>
      <c r="T1096" s="181">
        <v>36.067999999999998</v>
      </c>
      <c r="U1096" s="181">
        <v>0</v>
      </c>
      <c r="V1096" s="181">
        <v>0</v>
      </c>
    </row>
    <row r="1097" spans="1:22">
      <c r="A1097" s="2" t="s">
        <v>2212</v>
      </c>
      <c r="B1097" s="2" t="s">
        <v>2213</v>
      </c>
      <c r="C1097" s="181">
        <v>27.084511999999997</v>
      </c>
      <c r="D1097" s="181">
        <v>3451.6059999999998</v>
      </c>
      <c r="E1097" s="181">
        <v>101.6</v>
      </c>
      <c r="F1097" s="181">
        <v>0</v>
      </c>
      <c r="G1097" s="181">
        <v>0</v>
      </c>
      <c r="H1097" s="181">
        <v>0</v>
      </c>
      <c r="I1097" s="181">
        <v>9.5249999999999986</v>
      </c>
      <c r="J1097" s="181">
        <v>0</v>
      </c>
      <c r="K1097" s="181">
        <v>0</v>
      </c>
      <c r="L1097" s="181">
        <v>0</v>
      </c>
      <c r="M1097" s="181">
        <v>3454720.8324799999</v>
      </c>
      <c r="N1097" s="181">
        <v>87179.180479999995</v>
      </c>
      <c r="O1097" s="181">
        <v>48505.709439999991</v>
      </c>
      <c r="P1097" s="181">
        <v>31.75</v>
      </c>
      <c r="Q1097" s="181">
        <v>0</v>
      </c>
      <c r="R1097" s="181">
        <v>0</v>
      </c>
      <c r="S1097" s="181">
        <v>0</v>
      </c>
      <c r="T1097" s="181">
        <v>39.369999999999997</v>
      </c>
      <c r="U1097" s="181">
        <v>0</v>
      </c>
      <c r="V1097" s="181">
        <v>0</v>
      </c>
    </row>
    <row r="1098" spans="1:22">
      <c r="A1098" s="2" t="s">
        <v>2214</v>
      </c>
      <c r="B1098" s="2" t="s">
        <v>2215</v>
      </c>
      <c r="C1098" s="181">
        <v>27.084511999999997</v>
      </c>
      <c r="D1098" s="181">
        <v>3451.6059999999998</v>
      </c>
      <c r="E1098" s="181">
        <v>101.6</v>
      </c>
      <c r="F1098" s="181">
        <v>0</v>
      </c>
      <c r="G1098" s="181">
        <v>0</v>
      </c>
      <c r="H1098" s="181">
        <v>0</v>
      </c>
      <c r="I1098" s="181">
        <v>9.5249999999999986</v>
      </c>
      <c r="J1098" s="181">
        <v>0</v>
      </c>
      <c r="K1098" s="181">
        <v>0</v>
      </c>
      <c r="L1098" s="181">
        <v>0</v>
      </c>
      <c r="M1098" s="181">
        <v>3454720.8324799999</v>
      </c>
      <c r="N1098" s="181">
        <v>87179.180479999995</v>
      </c>
      <c r="O1098" s="181">
        <v>48505.709439999991</v>
      </c>
      <c r="P1098" s="181">
        <v>31.75</v>
      </c>
      <c r="Q1098" s="181">
        <v>0</v>
      </c>
      <c r="R1098" s="181">
        <v>0</v>
      </c>
      <c r="S1098" s="181">
        <v>0</v>
      </c>
      <c r="T1098" s="181">
        <v>42.925999999999995</v>
      </c>
      <c r="U1098" s="181">
        <v>0</v>
      </c>
      <c r="V1098" s="181">
        <v>0</v>
      </c>
    </row>
    <row r="1099" spans="1:22">
      <c r="A1099" s="2" t="s">
        <v>2216</v>
      </c>
      <c r="B1099" s="2" t="s">
        <v>2217</v>
      </c>
      <c r="C1099" s="181">
        <v>22.768847999999998</v>
      </c>
      <c r="D1099" s="181">
        <v>2903.22</v>
      </c>
      <c r="E1099" s="181">
        <v>101.6</v>
      </c>
      <c r="F1099" s="181">
        <v>0</v>
      </c>
      <c r="G1099" s="181">
        <v>0</v>
      </c>
      <c r="H1099" s="181">
        <v>0</v>
      </c>
      <c r="I1099" s="181">
        <v>7.9375</v>
      </c>
      <c r="J1099" s="181">
        <v>0</v>
      </c>
      <c r="K1099" s="181">
        <v>0</v>
      </c>
      <c r="L1099" s="181">
        <v>0</v>
      </c>
      <c r="M1099" s="181">
        <v>2942756.1789919999</v>
      </c>
      <c r="N1099" s="181">
        <v>73577.917359999992</v>
      </c>
      <c r="O1099" s="181">
        <v>40967.659999999996</v>
      </c>
      <c r="P1099" s="181">
        <v>31.75</v>
      </c>
      <c r="Q1099" s="181">
        <v>0</v>
      </c>
      <c r="R1099" s="181">
        <v>0</v>
      </c>
      <c r="S1099" s="181">
        <v>0</v>
      </c>
      <c r="T1099" s="181">
        <v>35.559999999999995</v>
      </c>
      <c r="U1099" s="181">
        <v>0</v>
      </c>
      <c r="V1099" s="181">
        <v>0</v>
      </c>
    </row>
    <row r="1100" spans="1:22">
      <c r="A1100" s="2" t="s">
        <v>2218</v>
      </c>
      <c r="B1100" s="2" t="s">
        <v>2219</v>
      </c>
      <c r="C1100" s="181">
        <v>22.768847999999998</v>
      </c>
      <c r="D1100" s="181">
        <v>2903.22</v>
      </c>
      <c r="E1100" s="181">
        <v>101.6</v>
      </c>
      <c r="F1100" s="181">
        <v>0</v>
      </c>
      <c r="G1100" s="181">
        <v>0</v>
      </c>
      <c r="H1100" s="181">
        <v>0</v>
      </c>
      <c r="I1100" s="181">
        <v>7.9375</v>
      </c>
      <c r="J1100" s="181">
        <v>0</v>
      </c>
      <c r="K1100" s="181">
        <v>0</v>
      </c>
      <c r="L1100" s="181">
        <v>0</v>
      </c>
      <c r="M1100" s="181">
        <v>2942756.1789919999</v>
      </c>
      <c r="N1100" s="181">
        <v>73577.917359999992</v>
      </c>
      <c r="O1100" s="181">
        <v>40967.659999999996</v>
      </c>
      <c r="P1100" s="181">
        <v>31.75</v>
      </c>
      <c r="Q1100" s="181">
        <v>0</v>
      </c>
      <c r="R1100" s="181">
        <v>0</v>
      </c>
      <c r="S1100" s="181">
        <v>0</v>
      </c>
      <c r="T1100" s="181">
        <v>38.862000000000002</v>
      </c>
      <c r="U1100" s="181">
        <v>0</v>
      </c>
      <c r="V1100" s="181">
        <v>0</v>
      </c>
    </row>
    <row r="1101" spans="1:22">
      <c r="A1101" s="2" t="s">
        <v>2220</v>
      </c>
      <c r="B1101" s="2" t="s">
        <v>2221</v>
      </c>
      <c r="C1101" s="181">
        <v>22.768847999999998</v>
      </c>
      <c r="D1101" s="181">
        <v>2903.22</v>
      </c>
      <c r="E1101" s="181">
        <v>101.6</v>
      </c>
      <c r="F1101" s="181">
        <v>0</v>
      </c>
      <c r="G1101" s="181">
        <v>0</v>
      </c>
      <c r="H1101" s="181">
        <v>0</v>
      </c>
      <c r="I1101" s="181">
        <v>7.9375</v>
      </c>
      <c r="J1101" s="181">
        <v>0</v>
      </c>
      <c r="K1101" s="181">
        <v>0</v>
      </c>
      <c r="L1101" s="181">
        <v>0</v>
      </c>
      <c r="M1101" s="181">
        <v>2942756.1789919999</v>
      </c>
      <c r="N1101" s="181">
        <v>73577.917359999992</v>
      </c>
      <c r="O1101" s="181">
        <v>40967.659999999996</v>
      </c>
      <c r="P1101" s="181">
        <v>31.75</v>
      </c>
      <c r="Q1101" s="181">
        <v>0</v>
      </c>
      <c r="R1101" s="181">
        <v>0</v>
      </c>
      <c r="S1101" s="181">
        <v>0</v>
      </c>
      <c r="T1101" s="181">
        <v>42.671999999999997</v>
      </c>
      <c r="U1101" s="181">
        <v>0</v>
      </c>
      <c r="V1101" s="181">
        <v>0</v>
      </c>
    </row>
    <row r="1102" spans="1:22">
      <c r="A1102" s="2" t="s">
        <v>2222</v>
      </c>
      <c r="B1102" s="2" t="s">
        <v>2223</v>
      </c>
      <c r="C1102" s="181">
        <v>18.453184</v>
      </c>
      <c r="D1102" s="181">
        <v>2341.9307999999996</v>
      </c>
      <c r="E1102" s="181">
        <v>101.6</v>
      </c>
      <c r="F1102" s="181">
        <v>0</v>
      </c>
      <c r="G1102" s="181">
        <v>0</v>
      </c>
      <c r="H1102" s="181">
        <v>0</v>
      </c>
      <c r="I1102" s="181">
        <v>6.35</v>
      </c>
      <c r="J1102" s="181">
        <v>0</v>
      </c>
      <c r="K1102" s="181">
        <v>0</v>
      </c>
      <c r="L1102" s="181">
        <v>0</v>
      </c>
      <c r="M1102" s="181">
        <v>2405817.6399679999</v>
      </c>
      <c r="N1102" s="181">
        <v>59485.042319999993</v>
      </c>
      <c r="O1102" s="181">
        <v>33101.869279999999</v>
      </c>
      <c r="P1102" s="181">
        <v>32.003999999999998</v>
      </c>
      <c r="Q1102" s="181">
        <v>0</v>
      </c>
      <c r="R1102" s="181">
        <v>0</v>
      </c>
      <c r="S1102" s="181">
        <v>0</v>
      </c>
      <c r="T1102" s="181">
        <v>35.305999999999997</v>
      </c>
      <c r="U1102" s="181">
        <v>0</v>
      </c>
      <c r="V1102" s="181">
        <v>0</v>
      </c>
    </row>
    <row r="1103" spans="1:22">
      <c r="A1103" s="2" t="s">
        <v>2224</v>
      </c>
      <c r="B1103" s="2" t="s">
        <v>2225</v>
      </c>
      <c r="C1103" s="181">
        <v>18.453184</v>
      </c>
      <c r="D1103" s="181">
        <v>2341.9307999999996</v>
      </c>
      <c r="E1103" s="181">
        <v>101.6</v>
      </c>
      <c r="F1103" s="181">
        <v>0</v>
      </c>
      <c r="G1103" s="181">
        <v>0</v>
      </c>
      <c r="H1103" s="181">
        <v>0</v>
      </c>
      <c r="I1103" s="181">
        <v>6.35</v>
      </c>
      <c r="J1103" s="181">
        <v>0</v>
      </c>
      <c r="K1103" s="181">
        <v>0</v>
      </c>
      <c r="L1103" s="181">
        <v>0</v>
      </c>
      <c r="M1103" s="181">
        <v>2405817.6399679999</v>
      </c>
      <c r="N1103" s="181">
        <v>59485.042319999993</v>
      </c>
      <c r="O1103" s="181">
        <v>33101.869279999999</v>
      </c>
      <c r="P1103" s="181">
        <v>32.003999999999998</v>
      </c>
      <c r="Q1103" s="181">
        <v>0</v>
      </c>
      <c r="R1103" s="181">
        <v>0</v>
      </c>
      <c r="S1103" s="181">
        <v>0</v>
      </c>
      <c r="T1103" s="181">
        <v>38.607999999999997</v>
      </c>
      <c r="U1103" s="181">
        <v>0</v>
      </c>
      <c r="V1103" s="181">
        <v>0</v>
      </c>
    </row>
    <row r="1104" spans="1:22">
      <c r="A1104" s="2" t="s">
        <v>2226</v>
      </c>
      <c r="B1104" s="2" t="s">
        <v>2227</v>
      </c>
      <c r="C1104" s="181">
        <v>18.453184</v>
      </c>
      <c r="D1104" s="181">
        <v>2341.9307999999996</v>
      </c>
      <c r="E1104" s="181">
        <v>101.6</v>
      </c>
      <c r="F1104" s="181">
        <v>0</v>
      </c>
      <c r="G1104" s="181">
        <v>0</v>
      </c>
      <c r="H1104" s="181">
        <v>0</v>
      </c>
      <c r="I1104" s="181">
        <v>6.35</v>
      </c>
      <c r="J1104" s="181">
        <v>0</v>
      </c>
      <c r="K1104" s="181">
        <v>0</v>
      </c>
      <c r="L1104" s="181">
        <v>0</v>
      </c>
      <c r="M1104" s="181">
        <v>2405817.6399679999</v>
      </c>
      <c r="N1104" s="181">
        <v>59485.042319999993</v>
      </c>
      <c r="O1104" s="181">
        <v>33101.869279999999</v>
      </c>
      <c r="P1104" s="181">
        <v>32.003999999999998</v>
      </c>
      <c r="Q1104" s="181">
        <v>0</v>
      </c>
      <c r="R1104" s="181">
        <v>0</v>
      </c>
      <c r="S1104" s="181">
        <v>0</v>
      </c>
      <c r="T1104" s="181">
        <v>42.163999999999994</v>
      </c>
      <c r="U1104" s="181">
        <v>0</v>
      </c>
      <c r="V1104" s="181">
        <v>0</v>
      </c>
    </row>
    <row r="1105" spans="1:22">
      <c r="A1105" s="2" t="s">
        <v>2228</v>
      </c>
      <c r="B1105" s="2" t="s">
        <v>2229</v>
      </c>
      <c r="C1105" s="181">
        <v>40.329135999999998</v>
      </c>
      <c r="D1105" s="181">
        <v>5148.3768</v>
      </c>
      <c r="E1105" s="181">
        <v>101.6</v>
      </c>
      <c r="F1105" s="181">
        <v>0</v>
      </c>
      <c r="G1105" s="181">
        <v>0</v>
      </c>
      <c r="H1105" s="181">
        <v>0</v>
      </c>
      <c r="I1105" s="181">
        <v>15.875</v>
      </c>
      <c r="J1105" s="181">
        <v>0</v>
      </c>
      <c r="K1105" s="181">
        <v>0</v>
      </c>
      <c r="L1105" s="181">
        <v>0</v>
      </c>
      <c r="M1105" s="181">
        <v>4994777.1071999995</v>
      </c>
      <c r="N1105" s="181">
        <v>133718.44224</v>
      </c>
      <c r="O1105" s="181">
        <v>74725.011839999992</v>
      </c>
      <c r="P1105" s="181">
        <v>31.241999999999997</v>
      </c>
      <c r="Q1105" s="181">
        <v>0</v>
      </c>
      <c r="R1105" s="181">
        <v>0</v>
      </c>
      <c r="S1105" s="181">
        <v>0</v>
      </c>
      <c r="T1105" s="181">
        <v>30.733999999999998</v>
      </c>
      <c r="U1105" s="181">
        <v>0</v>
      </c>
      <c r="V1105" s="181">
        <v>0</v>
      </c>
    </row>
    <row r="1106" spans="1:22">
      <c r="A1106" s="2" t="s">
        <v>2230</v>
      </c>
      <c r="B1106" s="2" t="s">
        <v>2231</v>
      </c>
      <c r="C1106" s="181">
        <v>40.329135999999998</v>
      </c>
      <c r="D1106" s="181">
        <v>5148.3768</v>
      </c>
      <c r="E1106" s="181">
        <v>101.6</v>
      </c>
      <c r="F1106" s="181">
        <v>0</v>
      </c>
      <c r="G1106" s="181">
        <v>0</v>
      </c>
      <c r="H1106" s="181">
        <v>0</v>
      </c>
      <c r="I1106" s="181">
        <v>15.875</v>
      </c>
      <c r="J1106" s="181">
        <v>0</v>
      </c>
      <c r="K1106" s="181">
        <v>0</v>
      </c>
      <c r="L1106" s="181">
        <v>0</v>
      </c>
      <c r="M1106" s="181">
        <v>4994777.1071999995</v>
      </c>
      <c r="N1106" s="181">
        <v>133718.44224</v>
      </c>
      <c r="O1106" s="181">
        <v>74725.011839999992</v>
      </c>
      <c r="P1106" s="181">
        <v>31.241999999999997</v>
      </c>
      <c r="Q1106" s="181">
        <v>0</v>
      </c>
      <c r="R1106" s="181">
        <v>0</v>
      </c>
      <c r="S1106" s="181">
        <v>0</v>
      </c>
      <c r="T1106" s="181">
        <v>34.29</v>
      </c>
      <c r="U1106" s="181">
        <v>0</v>
      </c>
      <c r="V1106" s="181">
        <v>0</v>
      </c>
    </row>
    <row r="1107" spans="1:22">
      <c r="A1107" s="2" t="s">
        <v>2232</v>
      </c>
      <c r="B1107" s="2" t="s">
        <v>2233</v>
      </c>
      <c r="C1107" s="181">
        <v>40.329135999999998</v>
      </c>
      <c r="D1107" s="181">
        <v>5148.3768</v>
      </c>
      <c r="E1107" s="181">
        <v>101.6</v>
      </c>
      <c r="F1107" s="181">
        <v>0</v>
      </c>
      <c r="G1107" s="181">
        <v>0</v>
      </c>
      <c r="H1107" s="181">
        <v>0</v>
      </c>
      <c r="I1107" s="181">
        <v>15.875</v>
      </c>
      <c r="J1107" s="181">
        <v>0</v>
      </c>
      <c r="K1107" s="181">
        <v>0</v>
      </c>
      <c r="L1107" s="181">
        <v>0</v>
      </c>
      <c r="M1107" s="181">
        <v>4994777.1071999995</v>
      </c>
      <c r="N1107" s="181">
        <v>133718.44224</v>
      </c>
      <c r="O1107" s="181">
        <v>74725.011839999992</v>
      </c>
      <c r="P1107" s="181">
        <v>31.241999999999997</v>
      </c>
      <c r="Q1107" s="181">
        <v>0</v>
      </c>
      <c r="R1107" s="181">
        <v>0</v>
      </c>
      <c r="S1107" s="181">
        <v>0</v>
      </c>
      <c r="T1107" s="181">
        <v>38.099999999999994</v>
      </c>
      <c r="U1107" s="181">
        <v>0</v>
      </c>
      <c r="V1107" s="181">
        <v>0</v>
      </c>
    </row>
    <row r="1108" spans="1:22">
      <c r="A1108" s="2" t="s">
        <v>2234</v>
      </c>
      <c r="B1108" s="2" t="s">
        <v>2235</v>
      </c>
      <c r="C1108" s="181">
        <v>32.888336000000002</v>
      </c>
      <c r="D1108" s="181">
        <v>4199.9915999999994</v>
      </c>
      <c r="E1108" s="181">
        <v>101.6</v>
      </c>
      <c r="F1108" s="181">
        <v>0</v>
      </c>
      <c r="G1108" s="181">
        <v>0</v>
      </c>
      <c r="H1108" s="181">
        <v>0</v>
      </c>
      <c r="I1108" s="181">
        <v>12.7</v>
      </c>
      <c r="J1108" s="181">
        <v>0</v>
      </c>
      <c r="K1108" s="181">
        <v>0</v>
      </c>
      <c r="L1108" s="181">
        <v>0</v>
      </c>
      <c r="M1108" s="181">
        <v>4162314.2559999996</v>
      </c>
      <c r="N1108" s="181">
        <v>110284.94072</v>
      </c>
      <c r="O1108" s="181">
        <v>61451.489999999991</v>
      </c>
      <c r="P1108" s="181">
        <v>31.495999999999999</v>
      </c>
      <c r="Q1108" s="181">
        <v>0</v>
      </c>
      <c r="R1108" s="181">
        <v>0</v>
      </c>
      <c r="S1108" s="181">
        <v>0</v>
      </c>
      <c r="T1108" s="181">
        <v>30.225999999999996</v>
      </c>
      <c r="U1108" s="181">
        <v>0</v>
      </c>
      <c r="V1108" s="181">
        <v>0</v>
      </c>
    </row>
    <row r="1109" spans="1:22">
      <c r="A1109" s="2" t="s">
        <v>2236</v>
      </c>
      <c r="B1109" s="2" t="s">
        <v>2237</v>
      </c>
      <c r="C1109" s="181">
        <v>32.888336000000002</v>
      </c>
      <c r="D1109" s="181">
        <v>4199.9915999999994</v>
      </c>
      <c r="E1109" s="181">
        <v>101.6</v>
      </c>
      <c r="F1109" s="181">
        <v>0</v>
      </c>
      <c r="G1109" s="181">
        <v>0</v>
      </c>
      <c r="H1109" s="181">
        <v>0</v>
      </c>
      <c r="I1109" s="181">
        <v>12.7</v>
      </c>
      <c r="J1109" s="181">
        <v>0</v>
      </c>
      <c r="K1109" s="181">
        <v>0</v>
      </c>
      <c r="L1109" s="181">
        <v>0</v>
      </c>
      <c r="M1109" s="181">
        <v>4162314.2559999996</v>
      </c>
      <c r="N1109" s="181">
        <v>110284.94072</v>
      </c>
      <c r="O1109" s="181">
        <v>61451.489999999991</v>
      </c>
      <c r="P1109" s="181">
        <v>31.495999999999999</v>
      </c>
      <c r="Q1109" s="181">
        <v>0</v>
      </c>
      <c r="R1109" s="181">
        <v>0</v>
      </c>
      <c r="S1109" s="181">
        <v>0</v>
      </c>
      <c r="T1109" s="181">
        <v>33.527999999999999</v>
      </c>
      <c r="U1109" s="181">
        <v>0</v>
      </c>
      <c r="V1109" s="181">
        <v>0</v>
      </c>
    </row>
    <row r="1110" spans="1:22">
      <c r="A1110" s="2" t="s">
        <v>2238</v>
      </c>
      <c r="B1110" s="2" t="s">
        <v>2239</v>
      </c>
      <c r="C1110" s="181">
        <v>32.888336000000002</v>
      </c>
      <c r="D1110" s="181">
        <v>4199.9915999999994</v>
      </c>
      <c r="E1110" s="181">
        <v>101.6</v>
      </c>
      <c r="F1110" s="181">
        <v>0</v>
      </c>
      <c r="G1110" s="181">
        <v>0</v>
      </c>
      <c r="H1110" s="181">
        <v>0</v>
      </c>
      <c r="I1110" s="181">
        <v>12.7</v>
      </c>
      <c r="J1110" s="181">
        <v>0</v>
      </c>
      <c r="K1110" s="181">
        <v>0</v>
      </c>
      <c r="L1110" s="181">
        <v>0</v>
      </c>
      <c r="M1110" s="181">
        <v>4162314.2559999996</v>
      </c>
      <c r="N1110" s="181">
        <v>110284.94072</v>
      </c>
      <c r="O1110" s="181">
        <v>61451.489999999991</v>
      </c>
      <c r="P1110" s="181">
        <v>31.495999999999999</v>
      </c>
      <c r="Q1110" s="181">
        <v>0</v>
      </c>
      <c r="R1110" s="181">
        <v>0</v>
      </c>
      <c r="S1110" s="181">
        <v>0</v>
      </c>
      <c r="T1110" s="181">
        <v>37.337999999999994</v>
      </c>
      <c r="U1110" s="181">
        <v>0</v>
      </c>
      <c r="V1110" s="181">
        <v>0</v>
      </c>
    </row>
    <row r="1111" spans="1:22">
      <c r="A1111" s="2" t="s">
        <v>2240</v>
      </c>
      <c r="B1111" s="2" t="s">
        <v>2241</v>
      </c>
      <c r="C1111" s="181">
        <v>25.149903999999996</v>
      </c>
      <c r="D1111" s="181">
        <v>3212.8968</v>
      </c>
      <c r="E1111" s="181">
        <v>101.6</v>
      </c>
      <c r="F1111" s="181">
        <v>0</v>
      </c>
      <c r="G1111" s="181">
        <v>0</v>
      </c>
      <c r="H1111" s="181">
        <v>0</v>
      </c>
      <c r="I1111" s="181">
        <v>9.5249999999999986</v>
      </c>
      <c r="J1111" s="181">
        <v>0</v>
      </c>
      <c r="K1111" s="181">
        <v>0</v>
      </c>
      <c r="L1111" s="181">
        <v>0</v>
      </c>
      <c r="M1111" s="181">
        <v>3279903.6337279994</v>
      </c>
      <c r="N1111" s="181">
        <v>85048.862160000004</v>
      </c>
      <c r="O1111" s="181">
        <v>47358.614959999999</v>
      </c>
      <c r="P1111" s="181">
        <v>32.003999999999998</v>
      </c>
      <c r="Q1111" s="181">
        <v>0</v>
      </c>
      <c r="R1111" s="181">
        <v>0</v>
      </c>
      <c r="S1111" s="181">
        <v>0</v>
      </c>
      <c r="T1111" s="181">
        <v>29.717999999999996</v>
      </c>
      <c r="U1111" s="181">
        <v>0</v>
      </c>
      <c r="V1111" s="181">
        <v>0</v>
      </c>
    </row>
    <row r="1112" spans="1:22">
      <c r="A1112" s="2" t="s">
        <v>2242</v>
      </c>
      <c r="B1112" s="2" t="s">
        <v>2243</v>
      </c>
      <c r="C1112" s="181">
        <v>25.149903999999996</v>
      </c>
      <c r="D1112" s="181">
        <v>3212.8968</v>
      </c>
      <c r="E1112" s="181">
        <v>101.6</v>
      </c>
      <c r="F1112" s="181">
        <v>0</v>
      </c>
      <c r="G1112" s="181">
        <v>0</v>
      </c>
      <c r="H1112" s="181">
        <v>0</v>
      </c>
      <c r="I1112" s="181">
        <v>9.5249999999999986</v>
      </c>
      <c r="J1112" s="181">
        <v>0</v>
      </c>
      <c r="K1112" s="181">
        <v>0</v>
      </c>
      <c r="L1112" s="181">
        <v>0</v>
      </c>
      <c r="M1112" s="181">
        <v>3279903.6337279994</v>
      </c>
      <c r="N1112" s="181">
        <v>85048.862160000004</v>
      </c>
      <c r="O1112" s="181">
        <v>47358.614959999999</v>
      </c>
      <c r="P1112" s="181">
        <v>32.003999999999998</v>
      </c>
      <c r="Q1112" s="181">
        <v>0</v>
      </c>
      <c r="R1112" s="181">
        <v>0</v>
      </c>
      <c r="S1112" s="181">
        <v>0</v>
      </c>
      <c r="T1112" s="181">
        <v>33.019999999999996</v>
      </c>
      <c r="U1112" s="181">
        <v>0</v>
      </c>
      <c r="V1112" s="181">
        <v>0</v>
      </c>
    </row>
    <row r="1113" spans="1:22">
      <c r="A1113" s="2" t="s">
        <v>2244</v>
      </c>
      <c r="B1113" s="2" t="s">
        <v>2245</v>
      </c>
      <c r="C1113" s="181">
        <v>25.149903999999996</v>
      </c>
      <c r="D1113" s="181">
        <v>3212.8968</v>
      </c>
      <c r="E1113" s="181">
        <v>101.6</v>
      </c>
      <c r="F1113" s="181">
        <v>0</v>
      </c>
      <c r="G1113" s="181">
        <v>0</v>
      </c>
      <c r="H1113" s="181">
        <v>0</v>
      </c>
      <c r="I1113" s="181">
        <v>9.5249999999999986</v>
      </c>
      <c r="J1113" s="181">
        <v>0</v>
      </c>
      <c r="K1113" s="181">
        <v>0</v>
      </c>
      <c r="L1113" s="181">
        <v>0</v>
      </c>
      <c r="M1113" s="181">
        <v>3279903.6337279994</v>
      </c>
      <c r="N1113" s="181">
        <v>85048.862160000004</v>
      </c>
      <c r="O1113" s="181">
        <v>47358.614959999999</v>
      </c>
      <c r="P1113" s="181">
        <v>32.003999999999998</v>
      </c>
      <c r="Q1113" s="181">
        <v>0</v>
      </c>
      <c r="R1113" s="181">
        <v>0</v>
      </c>
      <c r="S1113" s="181">
        <v>0</v>
      </c>
      <c r="T1113" s="181">
        <v>36.575999999999993</v>
      </c>
      <c r="U1113" s="181">
        <v>0</v>
      </c>
      <c r="V1113" s="181">
        <v>0</v>
      </c>
    </row>
    <row r="1114" spans="1:22">
      <c r="A1114" s="2" t="s">
        <v>2246</v>
      </c>
      <c r="B1114" s="2" t="s">
        <v>2247</v>
      </c>
      <c r="C1114" s="181">
        <v>21.131871999999998</v>
      </c>
      <c r="D1114" s="181">
        <v>2703.2204000000002</v>
      </c>
      <c r="E1114" s="181">
        <v>101.6</v>
      </c>
      <c r="F1114" s="181">
        <v>0</v>
      </c>
      <c r="G1114" s="181">
        <v>0</v>
      </c>
      <c r="H1114" s="181">
        <v>0</v>
      </c>
      <c r="I1114" s="181">
        <v>7.9375</v>
      </c>
      <c r="J1114" s="181">
        <v>0</v>
      </c>
      <c r="K1114" s="181">
        <v>0</v>
      </c>
      <c r="L1114" s="181">
        <v>0</v>
      </c>
      <c r="M1114" s="181">
        <v>2797075.1800319995</v>
      </c>
      <c r="N1114" s="181">
        <v>71775.340319999988</v>
      </c>
      <c r="O1114" s="181">
        <v>39984.436159999997</v>
      </c>
      <c r="P1114" s="181">
        <v>32.257999999999996</v>
      </c>
      <c r="Q1114" s="181">
        <v>0</v>
      </c>
      <c r="R1114" s="181">
        <v>0</v>
      </c>
      <c r="S1114" s="181">
        <v>0</v>
      </c>
      <c r="T1114" s="181">
        <v>29.463999999999995</v>
      </c>
      <c r="U1114" s="181">
        <v>0</v>
      </c>
      <c r="V1114" s="181">
        <v>0</v>
      </c>
    </row>
    <row r="1115" spans="1:22">
      <c r="A1115" s="2" t="s">
        <v>2248</v>
      </c>
      <c r="B1115" s="2" t="s">
        <v>2249</v>
      </c>
      <c r="C1115" s="181">
        <v>21.131871999999998</v>
      </c>
      <c r="D1115" s="181">
        <v>2703.2204000000002</v>
      </c>
      <c r="E1115" s="181">
        <v>101.6</v>
      </c>
      <c r="F1115" s="181">
        <v>0</v>
      </c>
      <c r="G1115" s="181">
        <v>0</v>
      </c>
      <c r="H1115" s="181">
        <v>0</v>
      </c>
      <c r="I1115" s="181">
        <v>7.9375</v>
      </c>
      <c r="J1115" s="181">
        <v>0</v>
      </c>
      <c r="K1115" s="181">
        <v>0</v>
      </c>
      <c r="L1115" s="181">
        <v>0</v>
      </c>
      <c r="M1115" s="181">
        <v>2797075.1800319995</v>
      </c>
      <c r="N1115" s="181">
        <v>71775.340319999988</v>
      </c>
      <c r="O1115" s="181">
        <v>39984.436159999997</v>
      </c>
      <c r="P1115" s="181">
        <v>32.257999999999996</v>
      </c>
      <c r="Q1115" s="181">
        <v>0</v>
      </c>
      <c r="R1115" s="181">
        <v>0</v>
      </c>
      <c r="S1115" s="181">
        <v>0</v>
      </c>
      <c r="T1115" s="181">
        <v>32.765999999999998</v>
      </c>
      <c r="U1115" s="181">
        <v>0</v>
      </c>
      <c r="V1115" s="181">
        <v>0</v>
      </c>
    </row>
    <row r="1116" spans="1:22">
      <c r="A1116" s="2" t="s">
        <v>2250</v>
      </c>
      <c r="B1116" s="2" t="s">
        <v>2251</v>
      </c>
      <c r="C1116" s="181">
        <v>21.131871999999998</v>
      </c>
      <c r="D1116" s="181">
        <v>2703.2204000000002</v>
      </c>
      <c r="E1116" s="181">
        <v>101.6</v>
      </c>
      <c r="F1116" s="181">
        <v>0</v>
      </c>
      <c r="G1116" s="181">
        <v>0</v>
      </c>
      <c r="H1116" s="181">
        <v>0</v>
      </c>
      <c r="I1116" s="181">
        <v>7.9375</v>
      </c>
      <c r="J1116" s="181">
        <v>0</v>
      </c>
      <c r="K1116" s="181">
        <v>0</v>
      </c>
      <c r="L1116" s="181">
        <v>0</v>
      </c>
      <c r="M1116" s="181">
        <v>2797075.1800319995</v>
      </c>
      <c r="N1116" s="181">
        <v>71775.340319999988</v>
      </c>
      <c r="O1116" s="181">
        <v>39984.436159999997</v>
      </c>
      <c r="P1116" s="181">
        <v>32.257999999999996</v>
      </c>
      <c r="Q1116" s="181">
        <v>0</v>
      </c>
      <c r="R1116" s="181">
        <v>0</v>
      </c>
      <c r="S1116" s="181">
        <v>0</v>
      </c>
      <c r="T1116" s="181">
        <v>36.321999999999996</v>
      </c>
      <c r="U1116" s="181">
        <v>0</v>
      </c>
      <c r="V1116" s="181">
        <v>0</v>
      </c>
    </row>
    <row r="1117" spans="1:22">
      <c r="A1117" s="2" t="s">
        <v>2252</v>
      </c>
      <c r="B1117" s="2" t="s">
        <v>2253</v>
      </c>
      <c r="C1117" s="181">
        <v>17.11384</v>
      </c>
      <c r="D1117" s="181">
        <v>2180.6407999999997</v>
      </c>
      <c r="E1117" s="181">
        <v>101.6</v>
      </c>
      <c r="F1117" s="181">
        <v>0</v>
      </c>
      <c r="G1117" s="181">
        <v>0</v>
      </c>
      <c r="H1117" s="181">
        <v>0</v>
      </c>
      <c r="I1117" s="181">
        <v>6.35</v>
      </c>
      <c r="J1117" s="181">
        <v>0</v>
      </c>
      <c r="K1117" s="181">
        <v>0</v>
      </c>
      <c r="L1117" s="181">
        <v>0</v>
      </c>
      <c r="M1117" s="181">
        <v>2285110.526544</v>
      </c>
      <c r="N1117" s="181">
        <v>58174.077199999992</v>
      </c>
      <c r="O1117" s="181">
        <v>32446.386719999995</v>
      </c>
      <c r="P1117" s="181">
        <v>32.257999999999996</v>
      </c>
      <c r="Q1117" s="181">
        <v>0</v>
      </c>
      <c r="R1117" s="181">
        <v>0</v>
      </c>
      <c r="S1117" s="181">
        <v>0</v>
      </c>
      <c r="T1117" s="181">
        <v>29.209999999999997</v>
      </c>
      <c r="U1117" s="181">
        <v>0</v>
      </c>
      <c r="V1117" s="181">
        <v>0</v>
      </c>
    </row>
    <row r="1118" spans="1:22">
      <c r="A1118" s="2" t="s">
        <v>2254</v>
      </c>
      <c r="B1118" s="2" t="s">
        <v>2255</v>
      </c>
      <c r="C1118" s="181">
        <v>17.11384</v>
      </c>
      <c r="D1118" s="181">
        <v>2180.6407999999997</v>
      </c>
      <c r="E1118" s="181">
        <v>101.6</v>
      </c>
      <c r="F1118" s="181">
        <v>0</v>
      </c>
      <c r="G1118" s="181">
        <v>0</v>
      </c>
      <c r="H1118" s="181">
        <v>0</v>
      </c>
      <c r="I1118" s="181">
        <v>6.35</v>
      </c>
      <c r="J1118" s="181">
        <v>0</v>
      </c>
      <c r="K1118" s="181">
        <v>0</v>
      </c>
      <c r="L1118" s="181">
        <v>0</v>
      </c>
      <c r="M1118" s="181">
        <v>2285110.526544</v>
      </c>
      <c r="N1118" s="181">
        <v>58174.077199999992</v>
      </c>
      <c r="O1118" s="181">
        <v>32446.386719999995</v>
      </c>
      <c r="P1118" s="181">
        <v>32.257999999999996</v>
      </c>
      <c r="Q1118" s="181">
        <v>0</v>
      </c>
      <c r="R1118" s="181">
        <v>0</v>
      </c>
      <c r="S1118" s="181">
        <v>0</v>
      </c>
      <c r="T1118" s="181">
        <v>32.257999999999996</v>
      </c>
      <c r="U1118" s="181">
        <v>0</v>
      </c>
      <c r="V1118" s="181">
        <v>0</v>
      </c>
    </row>
    <row r="1119" spans="1:22">
      <c r="A1119" s="2" t="s">
        <v>2256</v>
      </c>
      <c r="B1119" s="2" t="s">
        <v>2257</v>
      </c>
      <c r="C1119" s="181">
        <v>17.11384</v>
      </c>
      <c r="D1119" s="181">
        <v>2180.6407999999997</v>
      </c>
      <c r="E1119" s="181">
        <v>101.6</v>
      </c>
      <c r="F1119" s="181">
        <v>0</v>
      </c>
      <c r="G1119" s="181">
        <v>0</v>
      </c>
      <c r="H1119" s="181">
        <v>0</v>
      </c>
      <c r="I1119" s="181">
        <v>6.35</v>
      </c>
      <c r="J1119" s="181">
        <v>0</v>
      </c>
      <c r="K1119" s="181">
        <v>0</v>
      </c>
      <c r="L1119" s="181">
        <v>0</v>
      </c>
      <c r="M1119" s="181">
        <v>2285110.526544</v>
      </c>
      <c r="N1119" s="181">
        <v>58174.077199999992</v>
      </c>
      <c r="O1119" s="181">
        <v>32446.386719999995</v>
      </c>
      <c r="P1119" s="181">
        <v>32.257999999999996</v>
      </c>
      <c r="Q1119" s="181">
        <v>0</v>
      </c>
      <c r="R1119" s="181">
        <v>0</v>
      </c>
      <c r="S1119" s="181">
        <v>0</v>
      </c>
      <c r="T1119" s="181">
        <v>35.813999999999993</v>
      </c>
      <c r="U1119" s="181">
        <v>0</v>
      </c>
      <c r="V1119" s="181">
        <v>0</v>
      </c>
    </row>
    <row r="1120" spans="1:22">
      <c r="A1120" s="2" t="s">
        <v>2258</v>
      </c>
      <c r="B1120" s="2" t="s">
        <v>2259</v>
      </c>
      <c r="C1120" s="181">
        <v>30.656096000000002</v>
      </c>
      <c r="D1120" s="181">
        <v>3896.7664</v>
      </c>
      <c r="E1120" s="181">
        <v>88.899999999999991</v>
      </c>
      <c r="F1120" s="181">
        <v>0</v>
      </c>
      <c r="G1120" s="181">
        <v>0</v>
      </c>
      <c r="H1120" s="181">
        <v>0</v>
      </c>
      <c r="I1120" s="181">
        <v>12.7</v>
      </c>
      <c r="J1120" s="181">
        <v>0</v>
      </c>
      <c r="K1120" s="181">
        <v>0</v>
      </c>
      <c r="L1120" s="181">
        <v>0</v>
      </c>
      <c r="M1120" s="181">
        <v>2876159.1508959997</v>
      </c>
      <c r="N1120" s="181">
        <v>85704.344719999994</v>
      </c>
      <c r="O1120" s="181">
        <v>47522.485599999993</v>
      </c>
      <c r="P1120" s="181">
        <v>27.178000000000001</v>
      </c>
      <c r="Q1120" s="181">
        <v>0</v>
      </c>
      <c r="R1120" s="181">
        <v>0</v>
      </c>
      <c r="S1120" s="181">
        <v>0</v>
      </c>
      <c r="T1120" s="181">
        <v>31.241999999999997</v>
      </c>
      <c r="U1120" s="181">
        <v>0</v>
      </c>
      <c r="V1120" s="181">
        <v>0</v>
      </c>
    </row>
    <row r="1121" spans="1:22">
      <c r="A1121" s="2" t="s">
        <v>2260</v>
      </c>
      <c r="B1121" s="2" t="s">
        <v>2261</v>
      </c>
      <c r="C1121" s="181">
        <v>30.656096000000002</v>
      </c>
      <c r="D1121" s="181">
        <v>3896.7664</v>
      </c>
      <c r="E1121" s="181">
        <v>88.899999999999991</v>
      </c>
      <c r="F1121" s="181">
        <v>0</v>
      </c>
      <c r="G1121" s="181">
        <v>0</v>
      </c>
      <c r="H1121" s="181">
        <v>0</v>
      </c>
      <c r="I1121" s="181">
        <v>12.7</v>
      </c>
      <c r="J1121" s="181">
        <v>0</v>
      </c>
      <c r="K1121" s="181">
        <v>0</v>
      </c>
      <c r="L1121" s="181">
        <v>0</v>
      </c>
      <c r="M1121" s="181">
        <v>2876159.1508959997</v>
      </c>
      <c r="N1121" s="181">
        <v>85704.344719999994</v>
      </c>
      <c r="O1121" s="181">
        <v>47522.485599999993</v>
      </c>
      <c r="P1121" s="181">
        <v>27.178000000000001</v>
      </c>
      <c r="Q1121" s="181">
        <v>0</v>
      </c>
      <c r="R1121" s="181">
        <v>0</v>
      </c>
      <c r="S1121" s="181">
        <v>0</v>
      </c>
      <c r="T1121" s="181">
        <v>34.798000000000002</v>
      </c>
      <c r="U1121" s="181">
        <v>0</v>
      </c>
      <c r="V1121" s="181">
        <v>0</v>
      </c>
    </row>
    <row r="1122" spans="1:22">
      <c r="A1122" s="2" t="s">
        <v>2262</v>
      </c>
      <c r="B1122" s="2" t="s">
        <v>2263</v>
      </c>
      <c r="C1122" s="181">
        <v>30.656096000000002</v>
      </c>
      <c r="D1122" s="181">
        <v>3896.7664</v>
      </c>
      <c r="E1122" s="181">
        <v>88.899999999999991</v>
      </c>
      <c r="F1122" s="181">
        <v>0</v>
      </c>
      <c r="G1122" s="181">
        <v>0</v>
      </c>
      <c r="H1122" s="181">
        <v>0</v>
      </c>
      <c r="I1122" s="181">
        <v>12.7</v>
      </c>
      <c r="J1122" s="181">
        <v>0</v>
      </c>
      <c r="K1122" s="181">
        <v>0</v>
      </c>
      <c r="L1122" s="181">
        <v>0</v>
      </c>
      <c r="M1122" s="181">
        <v>2876159.1508959997</v>
      </c>
      <c r="N1122" s="181">
        <v>85704.344719999994</v>
      </c>
      <c r="O1122" s="181">
        <v>47522.485599999993</v>
      </c>
      <c r="P1122" s="181">
        <v>27.178000000000001</v>
      </c>
      <c r="Q1122" s="181">
        <v>0</v>
      </c>
      <c r="R1122" s="181">
        <v>0</v>
      </c>
      <c r="S1122" s="181">
        <v>0</v>
      </c>
      <c r="T1122" s="181">
        <v>38.607999999999997</v>
      </c>
      <c r="U1122" s="181">
        <v>0</v>
      </c>
      <c r="V1122" s="181">
        <v>0</v>
      </c>
    </row>
    <row r="1123" spans="1:22">
      <c r="A1123" s="2" t="s">
        <v>2264</v>
      </c>
      <c r="B1123" s="2" t="s">
        <v>2265</v>
      </c>
      <c r="C1123" s="181">
        <v>27.084511999999997</v>
      </c>
      <c r="D1123" s="181">
        <v>3445.1543999999999</v>
      </c>
      <c r="E1123" s="181">
        <v>88.899999999999991</v>
      </c>
      <c r="F1123" s="181">
        <v>0</v>
      </c>
      <c r="G1123" s="181">
        <v>0</v>
      </c>
      <c r="H1123" s="181">
        <v>0</v>
      </c>
      <c r="I1123" s="181">
        <v>11.112499999999999</v>
      </c>
      <c r="J1123" s="181">
        <v>0</v>
      </c>
      <c r="K1123" s="181">
        <v>0</v>
      </c>
      <c r="L1123" s="181">
        <v>0</v>
      </c>
      <c r="M1123" s="181">
        <v>2580634.8387199999</v>
      </c>
      <c r="N1123" s="181">
        <v>76199.847599999994</v>
      </c>
      <c r="O1123" s="181">
        <v>42278.625119999997</v>
      </c>
      <c r="P1123" s="181">
        <v>27.431999999999999</v>
      </c>
      <c r="Q1123" s="181">
        <v>0</v>
      </c>
      <c r="R1123" s="181">
        <v>0</v>
      </c>
      <c r="S1123" s="181">
        <v>0</v>
      </c>
      <c r="T1123" s="181">
        <v>30.987999999999996</v>
      </c>
      <c r="U1123" s="181">
        <v>0</v>
      </c>
      <c r="V1123" s="181">
        <v>0</v>
      </c>
    </row>
    <row r="1124" spans="1:22">
      <c r="A1124" s="2" t="s">
        <v>2266</v>
      </c>
      <c r="B1124" s="2" t="s">
        <v>2267</v>
      </c>
      <c r="C1124" s="181">
        <v>27.084511999999997</v>
      </c>
      <c r="D1124" s="181">
        <v>3445.1543999999999</v>
      </c>
      <c r="E1124" s="181">
        <v>88.899999999999991</v>
      </c>
      <c r="F1124" s="181">
        <v>0</v>
      </c>
      <c r="G1124" s="181">
        <v>0</v>
      </c>
      <c r="H1124" s="181">
        <v>0</v>
      </c>
      <c r="I1124" s="181">
        <v>11.112499999999999</v>
      </c>
      <c r="J1124" s="181">
        <v>0</v>
      </c>
      <c r="K1124" s="181">
        <v>0</v>
      </c>
      <c r="L1124" s="181">
        <v>0</v>
      </c>
      <c r="M1124" s="181">
        <v>2580634.8387199999</v>
      </c>
      <c r="N1124" s="181">
        <v>76199.847599999994</v>
      </c>
      <c r="O1124" s="181">
        <v>42278.625119999997</v>
      </c>
      <c r="P1124" s="181">
        <v>27.431999999999999</v>
      </c>
      <c r="Q1124" s="181">
        <v>0</v>
      </c>
      <c r="R1124" s="181">
        <v>0</v>
      </c>
      <c r="S1124" s="181">
        <v>0</v>
      </c>
      <c r="T1124" s="181">
        <v>34.544000000000004</v>
      </c>
      <c r="U1124" s="181">
        <v>0</v>
      </c>
      <c r="V1124" s="181">
        <v>0</v>
      </c>
    </row>
    <row r="1125" spans="1:22">
      <c r="A1125" s="2" t="s">
        <v>2268</v>
      </c>
      <c r="B1125" s="2" t="s">
        <v>2269</v>
      </c>
      <c r="C1125" s="181">
        <v>27.084511999999997</v>
      </c>
      <c r="D1125" s="181">
        <v>3445.1543999999999</v>
      </c>
      <c r="E1125" s="181">
        <v>88.899999999999991</v>
      </c>
      <c r="F1125" s="181">
        <v>0</v>
      </c>
      <c r="G1125" s="181">
        <v>0</v>
      </c>
      <c r="H1125" s="181">
        <v>0</v>
      </c>
      <c r="I1125" s="181">
        <v>11.112499999999999</v>
      </c>
      <c r="J1125" s="181">
        <v>0</v>
      </c>
      <c r="K1125" s="181">
        <v>0</v>
      </c>
      <c r="L1125" s="181">
        <v>0</v>
      </c>
      <c r="M1125" s="181">
        <v>2580634.8387199999</v>
      </c>
      <c r="N1125" s="181">
        <v>76199.847599999994</v>
      </c>
      <c r="O1125" s="181">
        <v>42278.625119999997</v>
      </c>
      <c r="P1125" s="181">
        <v>27.431999999999999</v>
      </c>
      <c r="Q1125" s="181">
        <v>0</v>
      </c>
      <c r="R1125" s="181">
        <v>0</v>
      </c>
      <c r="S1125" s="181">
        <v>0</v>
      </c>
      <c r="T1125" s="181">
        <v>38.353999999999999</v>
      </c>
      <c r="U1125" s="181">
        <v>0</v>
      </c>
      <c r="V1125" s="181">
        <v>0</v>
      </c>
    </row>
    <row r="1126" spans="1:22">
      <c r="A1126" s="2" t="s">
        <v>2270</v>
      </c>
      <c r="B1126" s="2" t="s">
        <v>2271</v>
      </c>
      <c r="C1126" s="181">
        <v>23.512927999999999</v>
      </c>
      <c r="D1126" s="181">
        <v>2987.0907999999999</v>
      </c>
      <c r="E1126" s="181">
        <v>88.899999999999991</v>
      </c>
      <c r="F1126" s="181">
        <v>0</v>
      </c>
      <c r="G1126" s="181">
        <v>0</v>
      </c>
      <c r="H1126" s="181">
        <v>0</v>
      </c>
      <c r="I1126" s="181">
        <v>9.5249999999999986</v>
      </c>
      <c r="J1126" s="181">
        <v>0</v>
      </c>
      <c r="K1126" s="181">
        <v>0</v>
      </c>
      <c r="L1126" s="181">
        <v>0</v>
      </c>
      <c r="M1126" s="181">
        <v>2268461.2695199996</v>
      </c>
      <c r="N1126" s="181">
        <v>66367.609199999992</v>
      </c>
      <c r="O1126" s="181">
        <v>36707.023359999999</v>
      </c>
      <c r="P1126" s="181">
        <v>27.686</v>
      </c>
      <c r="Q1126" s="181">
        <v>0</v>
      </c>
      <c r="R1126" s="181">
        <v>0</v>
      </c>
      <c r="S1126" s="181">
        <v>0</v>
      </c>
      <c r="T1126" s="181">
        <v>30.733999999999998</v>
      </c>
      <c r="U1126" s="181">
        <v>0</v>
      </c>
      <c r="V1126" s="181">
        <v>0</v>
      </c>
    </row>
    <row r="1127" spans="1:22">
      <c r="A1127" s="2" t="s">
        <v>2272</v>
      </c>
      <c r="B1127" s="2" t="s">
        <v>2273</v>
      </c>
      <c r="C1127" s="181">
        <v>23.512927999999999</v>
      </c>
      <c r="D1127" s="181">
        <v>2987.0907999999999</v>
      </c>
      <c r="E1127" s="181">
        <v>88.899999999999991</v>
      </c>
      <c r="F1127" s="181">
        <v>0</v>
      </c>
      <c r="G1127" s="181">
        <v>0</v>
      </c>
      <c r="H1127" s="181">
        <v>0</v>
      </c>
      <c r="I1127" s="181">
        <v>9.5249999999999986</v>
      </c>
      <c r="J1127" s="181">
        <v>0</v>
      </c>
      <c r="K1127" s="181">
        <v>0</v>
      </c>
      <c r="L1127" s="181">
        <v>0</v>
      </c>
      <c r="M1127" s="181">
        <v>2268461.2695199996</v>
      </c>
      <c r="N1127" s="181">
        <v>66367.609199999992</v>
      </c>
      <c r="O1127" s="181">
        <v>36707.023359999999</v>
      </c>
      <c r="P1127" s="181">
        <v>27.686</v>
      </c>
      <c r="Q1127" s="181">
        <v>0</v>
      </c>
      <c r="R1127" s="181">
        <v>0</v>
      </c>
      <c r="S1127" s="181">
        <v>0</v>
      </c>
      <c r="T1127" s="181">
        <v>34.29</v>
      </c>
      <c r="U1127" s="181">
        <v>0</v>
      </c>
      <c r="V1127" s="181">
        <v>0</v>
      </c>
    </row>
    <row r="1128" spans="1:22">
      <c r="A1128" s="2" t="s">
        <v>2274</v>
      </c>
      <c r="B1128" s="2" t="s">
        <v>2275</v>
      </c>
      <c r="C1128" s="181">
        <v>23.512927999999999</v>
      </c>
      <c r="D1128" s="181">
        <v>2987.0907999999999</v>
      </c>
      <c r="E1128" s="181">
        <v>88.899999999999991</v>
      </c>
      <c r="F1128" s="181">
        <v>0</v>
      </c>
      <c r="G1128" s="181">
        <v>0</v>
      </c>
      <c r="H1128" s="181">
        <v>0</v>
      </c>
      <c r="I1128" s="181">
        <v>9.5249999999999986</v>
      </c>
      <c r="J1128" s="181">
        <v>0</v>
      </c>
      <c r="K1128" s="181">
        <v>0</v>
      </c>
      <c r="L1128" s="181">
        <v>0</v>
      </c>
      <c r="M1128" s="181">
        <v>2268461.2695199996</v>
      </c>
      <c r="N1128" s="181">
        <v>66367.609199999992</v>
      </c>
      <c r="O1128" s="181">
        <v>36707.023359999999</v>
      </c>
      <c r="P1128" s="181">
        <v>27.686</v>
      </c>
      <c r="Q1128" s="181">
        <v>0</v>
      </c>
      <c r="R1128" s="181">
        <v>0</v>
      </c>
      <c r="S1128" s="181">
        <v>0</v>
      </c>
      <c r="T1128" s="181">
        <v>37.845999999999997</v>
      </c>
      <c r="U1128" s="181">
        <v>0</v>
      </c>
      <c r="V1128" s="181">
        <v>0</v>
      </c>
    </row>
    <row r="1129" spans="1:22">
      <c r="A1129" s="2" t="s">
        <v>2276</v>
      </c>
      <c r="B1129" s="2" t="s">
        <v>2277</v>
      </c>
      <c r="C1129" s="181">
        <v>19.792528000000001</v>
      </c>
      <c r="D1129" s="181">
        <v>2522.5756000000001</v>
      </c>
      <c r="E1129" s="181">
        <v>88.899999999999991</v>
      </c>
      <c r="F1129" s="181">
        <v>0</v>
      </c>
      <c r="G1129" s="181">
        <v>0</v>
      </c>
      <c r="H1129" s="181">
        <v>0</v>
      </c>
      <c r="I1129" s="181">
        <v>7.9375</v>
      </c>
      <c r="J1129" s="181">
        <v>0</v>
      </c>
      <c r="K1129" s="181">
        <v>0</v>
      </c>
      <c r="L1129" s="181">
        <v>0</v>
      </c>
      <c r="M1129" s="181">
        <v>1943800.7575519998</v>
      </c>
      <c r="N1129" s="181">
        <v>56207.629519999995</v>
      </c>
      <c r="O1129" s="181">
        <v>31135.421599999994</v>
      </c>
      <c r="P1129" s="181">
        <v>27.686</v>
      </c>
      <c r="Q1129" s="181">
        <v>0</v>
      </c>
      <c r="R1129" s="181">
        <v>0</v>
      </c>
      <c r="S1129" s="181">
        <v>0</v>
      </c>
      <c r="T1129" s="181">
        <v>30.479999999999997</v>
      </c>
      <c r="U1129" s="181">
        <v>0</v>
      </c>
      <c r="V1129" s="181">
        <v>0</v>
      </c>
    </row>
    <row r="1130" spans="1:22">
      <c r="A1130" s="2" t="s">
        <v>2278</v>
      </c>
      <c r="B1130" s="2" t="s">
        <v>2279</v>
      </c>
      <c r="C1130" s="181">
        <v>19.792528000000001</v>
      </c>
      <c r="D1130" s="181">
        <v>2522.5756000000001</v>
      </c>
      <c r="E1130" s="181">
        <v>88.899999999999991</v>
      </c>
      <c r="F1130" s="181">
        <v>0</v>
      </c>
      <c r="G1130" s="181">
        <v>0</v>
      </c>
      <c r="H1130" s="181">
        <v>0</v>
      </c>
      <c r="I1130" s="181">
        <v>7.9375</v>
      </c>
      <c r="J1130" s="181">
        <v>0</v>
      </c>
      <c r="K1130" s="181">
        <v>0</v>
      </c>
      <c r="L1130" s="181">
        <v>0</v>
      </c>
      <c r="M1130" s="181">
        <v>1943800.7575519998</v>
      </c>
      <c r="N1130" s="181">
        <v>56207.629519999995</v>
      </c>
      <c r="O1130" s="181">
        <v>31135.421599999994</v>
      </c>
      <c r="P1130" s="181">
        <v>27.686</v>
      </c>
      <c r="Q1130" s="181">
        <v>0</v>
      </c>
      <c r="R1130" s="181">
        <v>0</v>
      </c>
      <c r="S1130" s="181">
        <v>0</v>
      </c>
      <c r="T1130" s="181">
        <v>33.781999999999996</v>
      </c>
      <c r="U1130" s="181">
        <v>0</v>
      </c>
      <c r="V1130" s="181">
        <v>0</v>
      </c>
    </row>
    <row r="1131" spans="1:22">
      <c r="A1131" s="2" t="s">
        <v>2280</v>
      </c>
      <c r="B1131" s="2" t="s">
        <v>2281</v>
      </c>
      <c r="C1131" s="181">
        <v>19.792528000000001</v>
      </c>
      <c r="D1131" s="181">
        <v>2522.5756000000001</v>
      </c>
      <c r="E1131" s="181">
        <v>88.899999999999991</v>
      </c>
      <c r="F1131" s="181">
        <v>0</v>
      </c>
      <c r="G1131" s="181">
        <v>0</v>
      </c>
      <c r="H1131" s="181">
        <v>0</v>
      </c>
      <c r="I1131" s="181">
        <v>7.9375</v>
      </c>
      <c r="J1131" s="181">
        <v>0</v>
      </c>
      <c r="K1131" s="181">
        <v>0</v>
      </c>
      <c r="L1131" s="181">
        <v>0</v>
      </c>
      <c r="M1131" s="181">
        <v>1943800.7575519998</v>
      </c>
      <c r="N1131" s="181">
        <v>56207.629519999995</v>
      </c>
      <c r="O1131" s="181">
        <v>31135.421599999994</v>
      </c>
      <c r="P1131" s="181">
        <v>27.686</v>
      </c>
      <c r="Q1131" s="181">
        <v>0</v>
      </c>
      <c r="R1131" s="181">
        <v>0</v>
      </c>
      <c r="S1131" s="181">
        <v>0</v>
      </c>
      <c r="T1131" s="181">
        <v>37.591999999999999</v>
      </c>
      <c r="U1131" s="181">
        <v>0</v>
      </c>
      <c r="V1131" s="181">
        <v>0</v>
      </c>
    </row>
    <row r="1132" spans="1:22">
      <c r="A1132" s="2" t="s">
        <v>2282</v>
      </c>
      <c r="B1132" s="2" t="s">
        <v>2283</v>
      </c>
      <c r="C1132" s="181">
        <v>16.072127999999999</v>
      </c>
      <c r="D1132" s="181">
        <v>2038.7056</v>
      </c>
      <c r="E1132" s="181">
        <v>88.899999999999991</v>
      </c>
      <c r="F1132" s="181">
        <v>0</v>
      </c>
      <c r="G1132" s="181">
        <v>0</v>
      </c>
      <c r="H1132" s="181">
        <v>0</v>
      </c>
      <c r="I1132" s="181">
        <v>6.35</v>
      </c>
      <c r="J1132" s="181">
        <v>0</v>
      </c>
      <c r="K1132" s="181">
        <v>0</v>
      </c>
      <c r="L1132" s="181">
        <v>0</v>
      </c>
      <c r="M1132" s="181">
        <v>1598328.6743039999</v>
      </c>
      <c r="N1132" s="181">
        <v>45719.908559999996</v>
      </c>
      <c r="O1132" s="181">
        <v>25399.949199999999</v>
      </c>
      <c r="P1132" s="181">
        <v>27.94</v>
      </c>
      <c r="Q1132" s="181">
        <v>0</v>
      </c>
      <c r="R1132" s="181">
        <v>0</v>
      </c>
      <c r="S1132" s="181">
        <v>0</v>
      </c>
      <c r="T1132" s="181">
        <v>30.225999999999996</v>
      </c>
      <c r="U1132" s="181">
        <v>0</v>
      </c>
      <c r="V1132" s="181">
        <v>0</v>
      </c>
    </row>
    <row r="1133" spans="1:22">
      <c r="A1133" s="2" t="s">
        <v>2284</v>
      </c>
      <c r="B1133" s="2" t="s">
        <v>2285</v>
      </c>
      <c r="C1133" s="181">
        <v>16.072127999999999</v>
      </c>
      <c r="D1133" s="181">
        <v>2038.7056</v>
      </c>
      <c r="E1133" s="181">
        <v>88.899999999999991</v>
      </c>
      <c r="F1133" s="181">
        <v>0</v>
      </c>
      <c r="G1133" s="181">
        <v>0</v>
      </c>
      <c r="H1133" s="181">
        <v>0</v>
      </c>
      <c r="I1133" s="181">
        <v>6.35</v>
      </c>
      <c r="J1133" s="181">
        <v>0</v>
      </c>
      <c r="K1133" s="181">
        <v>0</v>
      </c>
      <c r="L1133" s="181">
        <v>0</v>
      </c>
      <c r="M1133" s="181">
        <v>1598328.6743039999</v>
      </c>
      <c r="N1133" s="181">
        <v>45719.908559999996</v>
      </c>
      <c r="O1133" s="181">
        <v>25399.949199999999</v>
      </c>
      <c r="P1133" s="181">
        <v>27.94</v>
      </c>
      <c r="Q1133" s="181">
        <v>0</v>
      </c>
      <c r="R1133" s="181">
        <v>0</v>
      </c>
      <c r="S1133" s="181">
        <v>0</v>
      </c>
      <c r="T1133" s="181">
        <v>33.527999999999999</v>
      </c>
      <c r="U1133" s="181">
        <v>0</v>
      </c>
      <c r="V1133" s="181">
        <v>0</v>
      </c>
    </row>
    <row r="1134" spans="1:22">
      <c r="A1134" s="2" t="s">
        <v>2286</v>
      </c>
      <c r="B1134" s="2" t="s">
        <v>2287</v>
      </c>
      <c r="C1134" s="181">
        <v>16.072127999999999</v>
      </c>
      <c r="D1134" s="181">
        <v>2038.7056</v>
      </c>
      <c r="E1134" s="181">
        <v>88.899999999999991</v>
      </c>
      <c r="F1134" s="181">
        <v>0</v>
      </c>
      <c r="G1134" s="181">
        <v>0</v>
      </c>
      <c r="H1134" s="181">
        <v>0</v>
      </c>
      <c r="I1134" s="181">
        <v>6.35</v>
      </c>
      <c r="J1134" s="181">
        <v>0</v>
      </c>
      <c r="K1134" s="181">
        <v>0</v>
      </c>
      <c r="L1134" s="181">
        <v>0</v>
      </c>
      <c r="M1134" s="181">
        <v>1598328.6743039999</v>
      </c>
      <c r="N1134" s="181">
        <v>45719.908559999996</v>
      </c>
      <c r="O1134" s="181">
        <v>25399.949199999999</v>
      </c>
      <c r="P1134" s="181">
        <v>27.94</v>
      </c>
      <c r="Q1134" s="181">
        <v>0</v>
      </c>
      <c r="R1134" s="181">
        <v>0</v>
      </c>
      <c r="S1134" s="181">
        <v>0</v>
      </c>
      <c r="T1134" s="181">
        <v>37.083999999999996</v>
      </c>
      <c r="U1134" s="181">
        <v>0</v>
      </c>
      <c r="V1134" s="181">
        <v>0</v>
      </c>
    </row>
    <row r="1135" spans="1:22">
      <c r="A1135" s="2" t="s">
        <v>2288</v>
      </c>
      <c r="B1135" s="2" t="s">
        <v>2289</v>
      </c>
      <c r="C1135" s="181">
        <v>27.977408</v>
      </c>
      <c r="D1135" s="181">
        <v>3567.7348000000002</v>
      </c>
      <c r="E1135" s="181">
        <v>88.899999999999991</v>
      </c>
      <c r="F1135" s="181">
        <v>0</v>
      </c>
      <c r="G1135" s="181">
        <v>0</v>
      </c>
      <c r="H1135" s="181">
        <v>0</v>
      </c>
      <c r="I1135" s="181">
        <v>12.7</v>
      </c>
      <c r="J1135" s="181">
        <v>0</v>
      </c>
      <c r="K1135" s="181">
        <v>0</v>
      </c>
      <c r="L1135" s="181">
        <v>0</v>
      </c>
      <c r="M1135" s="181">
        <v>2697179.6378879999</v>
      </c>
      <c r="N1135" s="181">
        <v>82754.67319999999</v>
      </c>
      <c r="O1135" s="181">
        <v>46211.520479999992</v>
      </c>
      <c r="P1135" s="181">
        <v>27.431999999999999</v>
      </c>
      <c r="Q1135" s="181">
        <v>0</v>
      </c>
      <c r="R1135" s="181">
        <v>0</v>
      </c>
      <c r="S1135" s="181">
        <v>0</v>
      </c>
      <c r="T1135" s="181">
        <v>25.1968</v>
      </c>
      <c r="U1135" s="181">
        <v>0</v>
      </c>
      <c r="V1135" s="181">
        <v>0</v>
      </c>
    </row>
    <row r="1136" spans="1:22">
      <c r="A1136" s="2" t="s">
        <v>2290</v>
      </c>
      <c r="B1136" s="2" t="s">
        <v>2291</v>
      </c>
      <c r="C1136" s="181">
        <v>27.977408</v>
      </c>
      <c r="D1136" s="181">
        <v>3567.7348000000002</v>
      </c>
      <c r="E1136" s="181">
        <v>88.899999999999991</v>
      </c>
      <c r="F1136" s="181">
        <v>0</v>
      </c>
      <c r="G1136" s="181">
        <v>0</v>
      </c>
      <c r="H1136" s="181">
        <v>0</v>
      </c>
      <c r="I1136" s="181">
        <v>12.7</v>
      </c>
      <c r="J1136" s="181">
        <v>0</v>
      </c>
      <c r="K1136" s="181">
        <v>0</v>
      </c>
      <c r="L1136" s="181">
        <v>0</v>
      </c>
      <c r="M1136" s="181">
        <v>2697179.6378879999</v>
      </c>
      <c r="N1136" s="181">
        <v>82754.67319999999</v>
      </c>
      <c r="O1136" s="181">
        <v>46211.520479999992</v>
      </c>
      <c r="P1136" s="181">
        <v>27.431999999999999</v>
      </c>
      <c r="Q1136" s="181">
        <v>0</v>
      </c>
      <c r="R1136" s="181">
        <v>0</v>
      </c>
      <c r="S1136" s="181">
        <v>0</v>
      </c>
      <c r="T1136" s="181">
        <v>28.701999999999995</v>
      </c>
      <c r="U1136" s="181">
        <v>0</v>
      </c>
      <c r="V1136" s="181">
        <v>0</v>
      </c>
    </row>
    <row r="1137" spans="1:22">
      <c r="A1137" s="2" t="s">
        <v>2292</v>
      </c>
      <c r="B1137" s="2" t="s">
        <v>2293</v>
      </c>
      <c r="C1137" s="181">
        <v>27.977408</v>
      </c>
      <c r="D1137" s="181">
        <v>3567.7348000000002</v>
      </c>
      <c r="E1137" s="181">
        <v>88.899999999999991</v>
      </c>
      <c r="F1137" s="181">
        <v>0</v>
      </c>
      <c r="G1137" s="181">
        <v>0</v>
      </c>
      <c r="H1137" s="181">
        <v>0</v>
      </c>
      <c r="I1137" s="181">
        <v>12.7</v>
      </c>
      <c r="J1137" s="181">
        <v>0</v>
      </c>
      <c r="K1137" s="181">
        <v>0</v>
      </c>
      <c r="L1137" s="181">
        <v>0</v>
      </c>
      <c r="M1137" s="181">
        <v>2697179.6378879999</v>
      </c>
      <c r="N1137" s="181">
        <v>82754.67319999999</v>
      </c>
      <c r="O1137" s="181">
        <v>46211.520479999992</v>
      </c>
      <c r="P1137" s="181">
        <v>27.431999999999999</v>
      </c>
      <c r="Q1137" s="181">
        <v>0</v>
      </c>
      <c r="R1137" s="181">
        <v>0</v>
      </c>
      <c r="S1137" s="181">
        <v>0</v>
      </c>
      <c r="T1137" s="181">
        <v>32.512</v>
      </c>
      <c r="U1137" s="181">
        <v>0</v>
      </c>
      <c r="V1137" s="181">
        <v>0</v>
      </c>
    </row>
    <row r="1138" spans="1:22">
      <c r="A1138" s="2" t="s">
        <v>2294</v>
      </c>
      <c r="B1138" s="2" t="s">
        <v>2295</v>
      </c>
      <c r="C1138" s="181">
        <v>21.578319999999998</v>
      </c>
      <c r="D1138" s="181">
        <v>2741.93</v>
      </c>
      <c r="E1138" s="181">
        <v>88.899999999999991</v>
      </c>
      <c r="F1138" s="181">
        <v>0</v>
      </c>
      <c r="G1138" s="181">
        <v>0</v>
      </c>
      <c r="H1138" s="181">
        <v>0</v>
      </c>
      <c r="I1138" s="181">
        <v>9.5249999999999986</v>
      </c>
      <c r="J1138" s="181">
        <v>0</v>
      </c>
      <c r="K1138" s="181">
        <v>0</v>
      </c>
      <c r="L1138" s="181">
        <v>0</v>
      </c>
      <c r="M1138" s="181">
        <v>2135267.2133279997</v>
      </c>
      <c r="N1138" s="181">
        <v>64401.161519999994</v>
      </c>
      <c r="O1138" s="181">
        <v>35723.79952</v>
      </c>
      <c r="P1138" s="181">
        <v>27.94</v>
      </c>
      <c r="Q1138" s="181">
        <v>0</v>
      </c>
      <c r="R1138" s="181">
        <v>0</v>
      </c>
      <c r="S1138" s="181">
        <v>0</v>
      </c>
      <c r="T1138" s="181">
        <v>24.637999999999998</v>
      </c>
      <c r="U1138" s="181">
        <v>0</v>
      </c>
      <c r="V1138" s="181">
        <v>0</v>
      </c>
    </row>
    <row r="1139" spans="1:22">
      <c r="A1139" s="2" t="s">
        <v>2296</v>
      </c>
      <c r="B1139" s="2" t="s">
        <v>2297</v>
      </c>
      <c r="C1139" s="181">
        <v>21.578319999999998</v>
      </c>
      <c r="D1139" s="181">
        <v>2741.93</v>
      </c>
      <c r="E1139" s="181">
        <v>88.899999999999991</v>
      </c>
      <c r="F1139" s="181">
        <v>0</v>
      </c>
      <c r="G1139" s="181">
        <v>0</v>
      </c>
      <c r="H1139" s="181">
        <v>0</v>
      </c>
      <c r="I1139" s="181">
        <v>9.5249999999999986</v>
      </c>
      <c r="J1139" s="181">
        <v>0</v>
      </c>
      <c r="K1139" s="181">
        <v>0</v>
      </c>
      <c r="L1139" s="181">
        <v>0</v>
      </c>
      <c r="M1139" s="181">
        <v>2135267.2133279997</v>
      </c>
      <c r="N1139" s="181">
        <v>64401.161519999994</v>
      </c>
      <c r="O1139" s="181">
        <v>35723.79952</v>
      </c>
      <c r="P1139" s="181">
        <v>27.94</v>
      </c>
      <c r="Q1139" s="181">
        <v>0</v>
      </c>
      <c r="R1139" s="181">
        <v>0</v>
      </c>
      <c r="S1139" s="181">
        <v>0</v>
      </c>
      <c r="T1139" s="181">
        <v>28.194000000000003</v>
      </c>
      <c r="U1139" s="181">
        <v>0</v>
      </c>
      <c r="V1139" s="181">
        <v>0</v>
      </c>
    </row>
    <row r="1140" spans="1:22">
      <c r="A1140" s="2" t="s">
        <v>2298</v>
      </c>
      <c r="B1140" s="2" t="s">
        <v>2299</v>
      </c>
      <c r="C1140" s="181">
        <v>21.578319999999998</v>
      </c>
      <c r="D1140" s="181">
        <v>2741.93</v>
      </c>
      <c r="E1140" s="181">
        <v>88.899999999999991</v>
      </c>
      <c r="F1140" s="181">
        <v>0</v>
      </c>
      <c r="G1140" s="181">
        <v>0</v>
      </c>
      <c r="H1140" s="181">
        <v>0</v>
      </c>
      <c r="I1140" s="181">
        <v>9.5249999999999986</v>
      </c>
      <c r="J1140" s="181">
        <v>0</v>
      </c>
      <c r="K1140" s="181">
        <v>0</v>
      </c>
      <c r="L1140" s="181">
        <v>0</v>
      </c>
      <c r="M1140" s="181">
        <v>2135267.2133279997</v>
      </c>
      <c r="N1140" s="181">
        <v>64401.161519999994</v>
      </c>
      <c r="O1140" s="181">
        <v>35723.79952</v>
      </c>
      <c r="P1140" s="181">
        <v>27.94</v>
      </c>
      <c r="Q1140" s="181">
        <v>0</v>
      </c>
      <c r="R1140" s="181">
        <v>0</v>
      </c>
      <c r="S1140" s="181">
        <v>0</v>
      </c>
      <c r="T1140" s="181">
        <v>31.75</v>
      </c>
      <c r="U1140" s="181">
        <v>0</v>
      </c>
      <c r="V1140" s="181">
        <v>0</v>
      </c>
    </row>
    <row r="1141" spans="1:22">
      <c r="A1141" s="2" t="s">
        <v>2300</v>
      </c>
      <c r="B1141" s="2" t="s">
        <v>2301</v>
      </c>
      <c r="C1141" s="181">
        <v>18.155551999999997</v>
      </c>
      <c r="D1141" s="181">
        <v>2309.6727999999998</v>
      </c>
      <c r="E1141" s="181">
        <v>88.899999999999991</v>
      </c>
      <c r="F1141" s="181">
        <v>0</v>
      </c>
      <c r="G1141" s="181">
        <v>0</v>
      </c>
      <c r="H1141" s="181">
        <v>0</v>
      </c>
      <c r="I1141" s="181">
        <v>7.9375</v>
      </c>
      <c r="J1141" s="181">
        <v>0</v>
      </c>
      <c r="K1141" s="181">
        <v>0</v>
      </c>
      <c r="L1141" s="181">
        <v>0</v>
      </c>
      <c r="M1141" s="181">
        <v>1827255.9583839998</v>
      </c>
      <c r="N1141" s="181">
        <v>54568.923119999999</v>
      </c>
      <c r="O1141" s="181">
        <v>30316.0684</v>
      </c>
      <c r="P1141" s="181">
        <v>28.194000000000003</v>
      </c>
      <c r="Q1141" s="181">
        <v>0</v>
      </c>
      <c r="R1141" s="181">
        <v>0</v>
      </c>
      <c r="S1141" s="181">
        <v>0</v>
      </c>
      <c r="T1141" s="181">
        <v>24.383999999999997</v>
      </c>
      <c r="U1141" s="181">
        <v>0</v>
      </c>
      <c r="V1141" s="181">
        <v>0</v>
      </c>
    </row>
    <row r="1142" spans="1:22">
      <c r="A1142" s="2" t="s">
        <v>2302</v>
      </c>
      <c r="B1142" s="2" t="s">
        <v>2303</v>
      </c>
      <c r="C1142" s="181">
        <v>18.155551999999997</v>
      </c>
      <c r="D1142" s="181">
        <v>2309.6727999999998</v>
      </c>
      <c r="E1142" s="181">
        <v>88.899999999999991</v>
      </c>
      <c r="F1142" s="181">
        <v>0</v>
      </c>
      <c r="G1142" s="181">
        <v>0</v>
      </c>
      <c r="H1142" s="181">
        <v>0</v>
      </c>
      <c r="I1142" s="181">
        <v>7.9375</v>
      </c>
      <c r="J1142" s="181">
        <v>0</v>
      </c>
      <c r="K1142" s="181">
        <v>0</v>
      </c>
      <c r="L1142" s="181">
        <v>0</v>
      </c>
      <c r="M1142" s="181">
        <v>1827255.9583839998</v>
      </c>
      <c r="N1142" s="181">
        <v>54568.923119999999</v>
      </c>
      <c r="O1142" s="181">
        <v>30316.0684</v>
      </c>
      <c r="P1142" s="181">
        <v>28.194000000000003</v>
      </c>
      <c r="Q1142" s="181">
        <v>0</v>
      </c>
      <c r="R1142" s="181">
        <v>0</v>
      </c>
      <c r="S1142" s="181">
        <v>0</v>
      </c>
      <c r="T1142" s="181">
        <v>27.686</v>
      </c>
      <c r="U1142" s="181">
        <v>0</v>
      </c>
      <c r="V1142" s="181">
        <v>0</v>
      </c>
    </row>
    <row r="1143" spans="1:22">
      <c r="A1143" s="2" t="s">
        <v>2304</v>
      </c>
      <c r="B1143" s="2" t="s">
        <v>2305</v>
      </c>
      <c r="C1143" s="181">
        <v>18.155551999999997</v>
      </c>
      <c r="D1143" s="181">
        <v>2309.6727999999998</v>
      </c>
      <c r="E1143" s="181">
        <v>88.899999999999991</v>
      </c>
      <c r="F1143" s="181">
        <v>0</v>
      </c>
      <c r="G1143" s="181">
        <v>0</v>
      </c>
      <c r="H1143" s="181">
        <v>0</v>
      </c>
      <c r="I1143" s="181">
        <v>7.9375</v>
      </c>
      <c r="J1143" s="181">
        <v>0</v>
      </c>
      <c r="K1143" s="181">
        <v>0</v>
      </c>
      <c r="L1143" s="181">
        <v>0</v>
      </c>
      <c r="M1143" s="181">
        <v>1827255.9583839998</v>
      </c>
      <c r="N1143" s="181">
        <v>54568.923119999999</v>
      </c>
      <c r="O1143" s="181">
        <v>30316.0684</v>
      </c>
      <c r="P1143" s="181">
        <v>28.194000000000003</v>
      </c>
      <c r="Q1143" s="181">
        <v>0</v>
      </c>
      <c r="R1143" s="181">
        <v>0</v>
      </c>
      <c r="S1143" s="181">
        <v>0</v>
      </c>
      <c r="T1143" s="181">
        <v>31.495999999999999</v>
      </c>
      <c r="U1143" s="181">
        <v>0</v>
      </c>
      <c r="V1143" s="181">
        <v>0</v>
      </c>
    </row>
    <row r="1144" spans="1:22">
      <c r="A1144" s="2" t="s">
        <v>2306</v>
      </c>
      <c r="B1144" s="2" t="s">
        <v>2307</v>
      </c>
      <c r="C1144" s="181">
        <v>14.703020800000001</v>
      </c>
      <c r="D1144" s="181">
        <v>1870.9639999999999</v>
      </c>
      <c r="E1144" s="181">
        <v>88.899999999999991</v>
      </c>
      <c r="F1144" s="181">
        <v>0</v>
      </c>
      <c r="G1144" s="181">
        <v>0</v>
      </c>
      <c r="H1144" s="181">
        <v>0</v>
      </c>
      <c r="I1144" s="181">
        <v>6.35</v>
      </c>
      <c r="J1144" s="181">
        <v>0</v>
      </c>
      <c r="K1144" s="181">
        <v>0</v>
      </c>
      <c r="L1144" s="181">
        <v>0</v>
      </c>
      <c r="M1144" s="181">
        <v>1502595.4464159999</v>
      </c>
      <c r="N1144" s="181">
        <v>44572.814079999996</v>
      </c>
      <c r="O1144" s="181">
        <v>24744.466639999999</v>
      </c>
      <c r="P1144" s="181">
        <v>28.448</v>
      </c>
      <c r="Q1144" s="181">
        <v>0</v>
      </c>
      <c r="R1144" s="181">
        <v>0</v>
      </c>
      <c r="S1144" s="181">
        <v>0</v>
      </c>
      <c r="T1144" s="181">
        <v>24.13</v>
      </c>
      <c r="U1144" s="181">
        <v>0</v>
      </c>
      <c r="V1144" s="181">
        <v>0</v>
      </c>
    </row>
    <row r="1145" spans="1:22">
      <c r="A1145" s="2" t="s">
        <v>2308</v>
      </c>
      <c r="B1145" s="2" t="s">
        <v>2309</v>
      </c>
      <c r="C1145" s="181">
        <v>14.703020800000001</v>
      </c>
      <c r="D1145" s="181">
        <v>1870.9639999999999</v>
      </c>
      <c r="E1145" s="181">
        <v>88.899999999999991</v>
      </c>
      <c r="F1145" s="181">
        <v>0</v>
      </c>
      <c r="G1145" s="181">
        <v>0</v>
      </c>
      <c r="H1145" s="181">
        <v>0</v>
      </c>
      <c r="I1145" s="181">
        <v>6.35</v>
      </c>
      <c r="J1145" s="181">
        <v>0</v>
      </c>
      <c r="K1145" s="181">
        <v>0</v>
      </c>
      <c r="L1145" s="181">
        <v>0</v>
      </c>
      <c r="M1145" s="181">
        <v>1502595.4464159999</v>
      </c>
      <c r="N1145" s="181">
        <v>44572.814079999996</v>
      </c>
      <c r="O1145" s="181">
        <v>24744.466639999999</v>
      </c>
      <c r="P1145" s="181">
        <v>28.448</v>
      </c>
      <c r="Q1145" s="181">
        <v>0</v>
      </c>
      <c r="R1145" s="181">
        <v>0</v>
      </c>
      <c r="S1145" s="181">
        <v>0</v>
      </c>
      <c r="T1145" s="181">
        <v>27.431999999999999</v>
      </c>
      <c r="U1145" s="181">
        <v>0</v>
      </c>
      <c r="V1145" s="181">
        <v>0</v>
      </c>
    </row>
    <row r="1146" spans="1:22">
      <c r="A1146" s="2" t="s">
        <v>2310</v>
      </c>
      <c r="B1146" s="2" t="s">
        <v>2311</v>
      </c>
      <c r="C1146" s="181">
        <v>14.703020800000001</v>
      </c>
      <c r="D1146" s="181">
        <v>1870.9639999999999</v>
      </c>
      <c r="E1146" s="181">
        <v>88.899999999999991</v>
      </c>
      <c r="F1146" s="181">
        <v>0</v>
      </c>
      <c r="G1146" s="181">
        <v>0</v>
      </c>
      <c r="H1146" s="181">
        <v>0</v>
      </c>
      <c r="I1146" s="181">
        <v>6.35</v>
      </c>
      <c r="J1146" s="181">
        <v>0</v>
      </c>
      <c r="K1146" s="181">
        <v>0</v>
      </c>
      <c r="L1146" s="181">
        <v>0</v>
      </c>
      <c r="M1146" s="181">
        <v>1502595.4464159999</v>
      </c>
      <c r="N1146" s="181">
        <v>44572.814079999996</v>
      </c>
      <c r="O1146" s="181">
        <v>24744.466639999999</v>
      </c>
      <c r="P1146" s="181">
        <v>28.448</v>
      </c>
      <c r="Q1146" s="181">
        <v>0</v>
      </c>
      <c r="R1146" s="181">
        <v>0</v>
      </c>
      <c r="S1146" s="181">
        <v>0</v>
      </c>
      <c r="T1146" s="181">
        <v>30.987999999999996</v>
      </c>
      <c r="U1146" s="181">
        <v>0</v>
      </c>
      <c r="V1146" s="181">
        <v>0</v>
      </c>
    </row>
    <row r="1147" spans="1:22">
      <c r="A1147" s="2" t="s">
        <v>2312</v>
      </c>
      <c r="B1147" s="2" t="s">
        <v>2313</v>
      </c>
      <c r="C1147" s="181">
        <v>25.447535999999999</v>
      </c>
      <c r="D1147" s="181">
        <v>3232.2515999999996</v>
      </c>
      <c r="E1147" s="181">
        <v>76.199999999999989</v>
      </c>
      <c r="F1147" s="181">
        <v>0</v>
      </c>
      <c r="G1147" s="181">
        <v>0</v>
      </c>
      <c r="H1147" s="181">
        <v>0</v>
      </c>
      <c r="I1147" s="181">
        <v>12.7</v>
      </c>
      <c r="J1147" s="181">
        <v>0</v>
      </c>
      <c r="K1147" s="181">
        <v>0</v>
      </c>
      <c r="L1147" s="181">
        <v>0</v>
      </c>
      <c r="M1147" s="181">
        <v>1727360.4162399999</v>
      </c>
      <c r="N1147" s="181">
        <v>60959.878079999995</v>
      </c>
      <c r="O1147" s="181">
        <v>33921.222479999997</v>
      </c>
      <c r="P1147" s="181">
        <v>23.114000000000001</v>
      </c>
      <c r="Q1147" s="181">
        <v>0</v>
      </c>
      <c r="R1147" s="181">
        <v>0</v>
      </c>
      <c r="S1147" s="181">
        <v>0</v>
      </c>
      <c r="T1147" s="181">
        <v>26.416</v>
      </c>
      <c r="U1147" s="181">
        <v>0</v>
      </c>
      <c r="V1147" s="181">
        <v>0</v>
      </c>
    </row>
    <row r="1148" spans="1:22">
      <c r="A1148" s="2" t="s">
        <v>2314</v>
      </c>
      <c r="B1148" s="2" t="s">
        <v>2315</v>
      </c>
      <c r="C1148" s="181">
        <v>25.447535999999999</v>
      </c>
      <c r="D1148" s="181">
        <v>3232.2515999999996</v>
      </c>
      <c r="E1148" s="181">
        <v>76.199999999999989</v>
      </c>
      <c r="F1148" s="181">
        <v>0</v>
      </c>
      <c r="G1148" s="181">
        <v>0</v>
      </c>
      <c r="H1148" s="181">
        <v>0</v>
      </c>
      <c r="I1148" s="181">
        <v>12.7</v>
      </c>
      <c r="J1148" s="181">
        <v>0</v>
      </c>
      <c r="K1148" s="181">
        <v>0</v>
      </c>
      <c r="L1148" s="181">
        <v>0</v>
      </c>
      <c r="M1148" s="181">
        <v>1727360.4162399999</v>
      </c>
      <c r="N1148" s="181">
        <v>60959.878079999995</v>
      </c>
      <c r="O1148" s="181">
        <v>33921.222479999997</v>
      </c>
      <c r="P1148" s="181">
        <v>23.114000000000001</v>
      </c>
      <c r="Q1148" s="181">
        <v>0</v>
      </c>
      <c r="R1148" s="181">
        <v>0</v>
      </c>
      <c r="S1148" s="181">
        <v>0</v>
      </c>
      <c r="T1148" s="181">
        <v>29.971999999999998</v>
      </c>
      <c r="U1148" s="181">
        <v>0</v>
      </c>
      <c r="V1148" s="181">
        <v>0</v>
      </c>
    </row>
    <row r="1149" spans="1:22">
      <c r="A1149" s="2" t="s">
        <v>2316</v>
      </c>
      <c r="B1149" s="2" t="s">
        <v>2317</v>
      </c>
      <c r="C1149" s="181">
        <v>25.447535999999999</v>
      </c>
      <c r="D1149" s="181">
        <v>3232.2515999999996</v>
      </c>
      <c r="E1149" s="181">
        <v>76.199999999999989</v>
      </c>
      <c r="F1149" s="181">
        <v>0</v>
      </c>
      <c r="G1149" s="181">
        <v>0</v>
      </c>
      <c r="H1149" s="181">
        <v>0</v>
      </c>
      <c r="I1149" s="181">
        <v>12.7</v>
      </c>
      <c r="J1149" s="181">
        <v>0</v>
      </c>
      <c r="K1149" s="181">
        <v>0</v>
      </c>
      <c r="L1149" s="181">
        <v>0</v>
      </c>
      <c r="M1149" s="181">
        <v>1727360.4162399999</v>
      </c>
      <c r="N1149" s="181">
        <v>60959.878079999995</v>
      </c>
      <c r="O1149" s="181">
        <v>33921.222479999997</v>
      </c>
      <c r="P1149" s="181">
        <v>23.114000000000001</v>
      </c>
      <c r="Q1149" s="181">
        <v>0</v>
      </c>
      <c r="R1149" s="181">
        <v>0</v>
      </c>
      <c r="S1149" s="181">
        <v>0</v>
      </c>
      <c r="T1149" s="181">
        <v>33.781999999999996</v>
      </c>
      <c r="U1149" s="181">
        <v>0</v>
      </c>
      <c r="V1149" s="181">
        <v>0</v>
      </c>
    </row>
    <row r="1150" spans="1:22">
      <c r="A1150" s="2" t="s">
        <v>2318</v>
      </c>
      <c r="B1150" s="2" t="s">
        <v>2319</v>
      </c>
      <c r="C1150" s="181">
        <v>22.471215999999998</v>
      </c>
      <c r="D1150" s="181">
        <v>2864.5104000000001</v>
      </c>
      <c r="E1150" s="181">
        <v>76.199999999999989</v>
      </c>
      <c r="F1150" s="181">
        <v>0</v>
      </c>
      <c r="G1150" s="181">
        <v>0</v>
      </c>
      <c r="H1150" s="181">
        <v>0</v>
      </c>
      <c r="I1150" s="181">
        <v>11.112499999999999</v>
      </c>
      <c r="J1150" s="181">
        <v>0</v>
      </c>
      <c r="K1150" s="181">
        <v>0</v>
      </c>
      <c r="L1150" s="181">
        <v>0</v>
      </c>
      <c r="M1150" s="181">
        <v>1552543.2174879999</v>
      </c>
      <c r="N1150" s="181">
        <v>54241.181839999997</v>
      </c>
      <c r="O1150" s="181">
        <v>30152.197759999999</v>
      </c>
      <c r="P1150" s="181">
        <v>23.291799999999999</v>
      </c>
      <c r="Q1150" s="181">
        <v>0</v>
      </c>
      <c r="R1150" s="181">
        <v>0</v>
      </c>
      <c r="S1150" s="181">
        <v>0</v>
      </c>
      <c r="T1150" s="181">
        <v>25.907999999999998</v>
      </c>
      <c r="U1150" s="181">
        <v>0</v>
      </c>
      <c r="V1150" s="181">
        <v>0</v>
      </c>
    </row>
    <row r="1151" spans="1:22">
      <c r="A1151" s="2" t="s">
        <v>2320</v>
      </c>
      <c r="B1151" s="2" t="s">
        <v>2321</v>
      </c>
      <c r="C1151" s="181">
        <v>22.471215999999998</v>
      </c>
      <c r="D1151" s="181">
        <v>2864.5104000000001</v>
      </c>
      <c r="E1151" s="181">
        <v>76.199999999999989</v>
      </c>
      <c r="F1151" s="181">
        <v>0</v>
      </c>
      <c r="G1151" s="181">
        <v>0</v>
      </c>
      <c r="H1151" s="181">
        <v>0</v>
      </c>
      <c r="I1151" s="181">
        <v>11.112499999999999</v>
      </c>
      <c r="J1151" s="181">
        <v>0</v>
      </c>
      <c r="K1151" s="181">
        <v>0</v>
      </c>
      <c r="L1151" s="181">
        <v>0</v>
      </c>
      <c r="M1151" s="181">
        <v>1552543.2174879999</v>
      </c>
      <c r="N1151" s="181">
        <v>54241.181839999997</v>
      </c>
      <c r="O1151" s="181">
        <v>30152.197759999999</v>
      </c>
      <c r="P1151" s="181">
        <v>23.291799999999999</v>
      </c>
      <c r="Q1151" s="181">
        <v>0</v>
      </c>
      <c r="R1151" s="181">
        <v>0</v>
      </c>
      <c r="S1151" s="181">
        <v>0</v>
      </c>
      <c r="T1151" s="181">
        <v>29.463999999999995</v>
      </c>
      <c r="U1151" s="181">
        <v>0</v>
      </c>
      <c r="V1151" s="181">
        <v>0</v>
      </c>
    </row>
    <row r="1152" spans="1:22">
      <c r="A1152" s="2" t="s">
        <v>2322</v>
      </c>
      <c r="B1152" s="2" t="s">
        <v>2323</v>
      </c>
      <c r="C1152" s="181">
        <v>22.471215999999998</v>
      </c>
      <c r="D1152" s="181">
        <v>2864.5104000000001</v>
      </c>
      <c r="E1152" s="181">
        <v>76.199999999999989</v>
      </c>
      <c r="F1152" s="181">
        <v>0</v>
      </c>
      <c r="G1152" s="181">
        <v>0</v>
      </c>
      <c r="H1152" s="181">
        <v>0</v>
      </c>
      <c r="I1152" s="181">
        <v>11.112499999999999</v>
      </c>
      <c r="J1152" s="181">
        <v>0</v>
      </c>
      <c r="K1152" s="181">
        <v>0</v>
      </c>
      <c r="L1152" s="181">
        <v>0</v>
      </c>
      <c r="M1152" s="181">
        <v>1552543.2174879999</v>
      </c>
      <c r="N1152" s="181">
        <v>54241.181839999997</v>
      </c>
      <c r="O1152" s="181">
        <v>30152.197759999999</v>
      </c>
      <c r="P1152" s="181">
        <v>23.291799999999999</v>
      </c>
      <c r="Q1152" s="181">
        <v>0</v>
      </c>
      <c r="R1152" s="181">
        <v>0</v>
      </c>
      <c r="S1152" s="181">
        <v>0</v>
      </c>
      <c r="T1152" s="181">
        <v>33.527999999999999</v>
      </c>
      <c r="U1152" s="181">
        <v>0</v>
      </c>
      <c r="V1152" s="181">
        <v>0</v>
      </c>
    </row>
    <row r="1153" spans="1:22">
      <c r="A1153" s="2" t="s">
        <v>2324</v>
      </c>
      <c r="B1153" s="2" t="s">
        <v>2325</v>
      </c>
      <c r="C1153" s="181">
        <v>19.494895999999997</v>
      </c>
      <c r="D1153" s="181">
        <v>2490.3175999999999</v>
      </c>
      <c r="E1153" s="181">
        <v>76.199999999999989</v>
      </c>
      <c r="F1153" s="181">
        <v>0</v>
      </c>
      <c r="G1153" s="181">
        <v>0</v>
      </c>
      <c r="H1153" s="181">
        <v>0</v>
      </c>
      <c r="I1153" s="181">
        <v>9.5249999999999986</v>
      </c>
      <c r="J1153" s="181">
        <v>0</v>
      </c>
      <c r="K1153" s="181">
        <v>0</v>
      </c>
      <c r="L1153" s="181">
        <v>0</v>
      </c>
      <c r="M1153" s="181">
        <v>1373563.7044799998</v>
      </c>
      <c r="N1153" s="181">
        <v>47358.614959999999</v>
      </c>
      <c r="O1153" s="181">
        <v>26383.173039999998</v>
      </c>
      <c r="P1153" s="181">
        <v>23.4696</v>
      </c>
      <c r="Q1153" s="181">
        <v>0</v>
      </c>
      <c r="R1153" s="181">
        <v>0</v>
      </c>
      <c r="S1153" s="181">
        <v>0</v>
      </c>
      <c r="T1153" s="181">
        <v>25.654</v>
      </c>
      <c r="U1153" s="181">
        <v>0</v>
      </c>
      <c r="V1153" s="181">
        <v>0</v>
      </c>
    </row>
    <row r="1154" spans="1:22">
      <c r="A1154" s="2" t="s">
        <v>2326</v>
      </c>
      <c r="B1154" s="2" t="s">
        <v>2327</v>
      </c>
      <c r="C1154" s="181">
        <v>19.494895999999997</v>
      </c>
      <c r="D1154" s="181">
        <v>2490.3175999999999</v>
      </c>
      <c r="E1154" s="181">
        <v>76.199999999999989</v>
      </c>
      <c r="F1154" s="181">
        <v>0</v>
      </c>
      <c r="G1154" s="181">
        <v>0</v>
      </c>
      <c r="H1154" s="181">
        <v>0</v>
      </c>
      <c r="I1154" s="181">
        <v>9.5249999999999986</v>
      </c>
      <c r="J1154" s="181">
        <v>0</v>
      </c>
      <c r="K1154" s="181">
        <v>0</v>
      </c>
      <c r="L1154" s="181">
        <v>0</v>
      </c>
      <c r="M1154" s="181">
        <v>1373563.7044799998</v>
      </c>
      <c r="N1154" s="181">
        <v>47358.614959999999</v>
      </c>
      <c r="O1154" s="181">
        <v>26383.173039999998</v>
      </c>
      <c r="P1154" s="181">
        <v>23.4696</v>
      </c>
      <c r="Q1154" s="181">
        <v>0</v>
      </c>
      <c r="R1154" s="181">
        <v>0</v>
      </c>
      <c r="S1154" s="181">
        <v>0</v>
      </c>
      <c r="T1154" s="181">
        <v>29.209999999999997</v>
      </c>
      <c r="U1154" s="181">
        <v>0</v>
      </c>
      <c r="V1154" s="181">
        <v>0</v>
      </c>
    </row>
    <row r="1155" spans="1:22">
      <c r="A1155" s="2" t="s">
        <v>2328</v>
      </c>
      <c r="B1155" s="2" t="s">
        <v>2329</v>
      </c>
      <c r="C1155" s="181">
        <v>19.494895999999997</v>
      </c>
      <c r="D1155" s="181">
        <v>2490.3175999999999</v>
      </c>
      <c r="E1155" s="181">
        <v>76.199999999999989</v>
      </c>
      <c r="F1155" s="181">
        <v>0</v>
      </c>
      <c r="G1155" s="181">
        <v>0</v>
      </c>
      <c r="H1155" s="181">
        <v>0</v>
      </c>
      <c r="I1155" s="181">
        <v>9.5249999999999986</v>
      </c>
      <c r="J1155" s="181">
        <v>0</v>
      </c>
      <c r="K1155" s="181">
        <v>0</v>
      </c>
      <c r="L1155" s="181">
        <v>0</v>
      </c>
      <c r="M1155" s="181">
        <v>1373563.7044799998</v>
      </c>
      <c r="N1155" s="181">
        <v>47358.614959999999</v>
      </c>
      <c r="O1155" s="181">
        <v>26383.173039999998</v>
      </c>
      <c r="P1155" s="181">
        <v>23.4696</v>
      </c>
      <c r="Q1155" s="181">
        <v>0</v>
      </c>
      <c r="R1155" s="181">
        <v>0</v>
      </c>
      <c r="S1155" s="181">
        <v>0</v>
      </c>
      <c r="T1155" s="181">
        <v>33.019999999999996</v>
      </c>
      <c r="U1155" s="181">
        <v>0</v>
      </c>
      <c r="V1155" s="181">
        <v>0</v>
      </c>
    </row>
    <row r="1156" spans="1:22">
      <c r="A1156" s="2" t="s">
        <v>2330</v>
      </c>
      <c r="B1156" s="2" t="s">
        <v>2331</v>
      </c>
      <c r="C1156" s="181">
        <v>16.518575999999999</v>
      </c>
      <c r="D1156" s="181">
        <v>2096.77</v>
      </c>
      <c r="E1156" s="181">
        <v>76.199999999999989</v>
      </c>
      <c r="F1156" s="181">
        <v>0</v>
      </c>
      <c r="G1156" s="181">
        <v>0</v>
      </c>
      <c r="H1156" s="181">
        <v>0</v>
      </c>
      <c r="I1156" s="181">
        <v>7.9375</v>
      </c>
      <c r="J1156" s="181">
        <v>0</v>
      </c>
      <c r="K1156" s="181">
        <v>0</v>
      </c>
      <c r="L1156" s="181">
        <v>0</v>
      </c>
      <c r="M1156" s="181">
        <v>1177934.9344479998</v>
      </c>
      <c r="N1156" s="181">
        <v>40312.177439999992</v>
      </c>
      <c r="O1156" s="181">
        <v>22286.407039999998</v>
      </c>
      <c r="P1156" s="181">
        <v>23.672799999999999</v>
      </c>
      <c r="Q1156" s="181">
        <v>0</v>
      </c>
      <c r="R1156" s="181">
        <v>0</v>
      </c>
      <c r="S1156" s="181">
        <v>0</v>
      </c>
      <c r="T1156" s="181">
        <v>25.4</v>
      </c>
      <c r="U1156" s="181">
        <v>0</v>
      </c>
      <c r="V1156" s="181">
        <v>0</v>
      </c>
    </row>
    <row r="1157" spans="1:22">
      <c r="A1157" s="2" t="s">
        <v>2332</v>
      </c>
      <c r="B1157" s="2" t="s">
        <v>2333</v>
      </c>
      <c r="C1157" s="181">
        <v>16.518575999999999</v>
      </c>
      <c r="D1157" s="181">
        <v>2096.77</v>
      </c>
      <c r="E1157" s="181">
        <v>76.199999999999989</v>
      </c>
      <c r="F1157" s="181">
        <v>0</v>
      </c>
      <c r="G1157" s="181">
        <v>0</v>
      </c>
      <c r="H1157" s="181">
        <v>0</v>
      </c>
      <c r="I1157" s="181">
        <v>7.9375</v>
      </c>
      <c r="J1157" s="181">
        <v>0</v>
      </c>
      <c r="K1157" s="181">
        <v>0</v>
      </c>
      <c r="L1157" s="181">
        <v>0</v>
      </c>
      <c r="M1157" s="181">
        <v>1177934.9344479998</v>
      </c>
      <c r="N1157" s="181">
        <v>40312.177439999992</v>
      </c>
      <c r="O1157" s="181">
        <v>22286.407039999998</v>
      </c>
      <c r="P1157" s="181">
        <v>23.672799999999999</v>
      </c>
      <c r="Q1157" s="181">
        <v>0</v>
      </c>
      <c r="R1157" s="181">
        <v>0</v>
      </c>
      <c r="S1157" s="181">
        <v>0</v>
      </c>
      <c r="T1157" s="181">
        <v>28.955999999999996</v>
      </c>
      <c r="U1157" s="181">
        <v>0</v>
      </c>
      <c r="V1157" s="181">
        <v>0</v>
      </c>
    </row>
    <row r="1158" spans="1:22">
      <c r="A1158" s="2" t="s">
        <v>2334</v>
      </c>
      <c r="B1158" s="2" t="s">
        <v>2335</v>
      </c>
      <c r="C1158" s="181">
        <v>16.518575999999999</v>
      </c>
      <c r="D1158" s="181">
        <v>2096.77</v>
      </c>
      <c r="E1158" s="181">
        <v>76.199999999999989</v>
      </c>
      <c r="F1158" s="181">
        <v>0</v>
      </c>
      <c r="G1158" s="181">
        <v>0</v>
      </c>
      <c r="H1158" s="181">
        <v>0</v>
      </c>
      <c r="I1158" s="181">
        <v>7.9375</v>
      </c>
      <c r="J1158" s="181">
        <v>0</v>
      </c>
      <c r="K1158" s="181">
        <v>0</v>
      </c>
      <c r="L1158" s="181">
        <v>0</v>
      </c>
      <c r="M1158" s="181">
        <v>1177934.9344479998</v>
      </c>
      <c r="N1158" s="181">
        <v>40312.177439999992</v>
      </c>
      <c r="O1158" s="181">
        <v>22286.407039999998</v>
      </c>
      <c r="P1158" s="181">
        <v>23.672799999999999</v>
      </c>
      <c r="Q1158" s="181">
        <v>0</v>
      </c>
      <c r="R1158" s="181">
        <v>0</v>
      </c>
      <c r="S1158" s="181">
        <v>0</v>
      </c>
      <c r="T1158" s="181">
        <v>32.765999999999998</v>
      </c>
      <c r="U1158" s="181">
        <v>0</v>
      </c>
      <c r="V1158" s="181">
        <v>0</v>
      </c>
    </row>
    <row r="1159" spans="1:22">
      <c r="A1159" s="2" t="s">
        <v>2336</v>
      </c>
      <c r="B1159" s="2" t="s">
        <v>2337</v>
      </c>
      <c r="C1159" s="181">
        <v>13.3487952</v>
      </c>
      <c r="D1159" s="181">
        <v>1703.2224000000001</v>
      </c>
      <c r="E1159" s="181">
        <v>76.199999999999989</v>
      </c>
      <c r="F1159" s="181">
        <v>0</v>
      </c>
      <c r="G1159" s="181">
        <v>0</v>
      </c>
      <c r="H1159" s="181">
        <v>0</v>
      </c>
      <c r="I1159" s="181">
        <v>6.35</v>
      </c>
      <c r="J1159" s="181">
        <v>0</v>
      </c>
      <c r="K1159" s="181">
        <v>0</v>
      </c>
      <c r="L1159" s="181">
        <v>0</v>
      </c>
      <c r="M1159" s="181">
        <v>969819.22164799995</v>
      </c>
      <c r="N1159" s="181">
        <v>32774.127999999997</v>
      </c>
      <c r="O1159" s="181">
        <v>18189.641039999999</v>
      </c>
      <c r="P1159" s="181">
        <v>23.875999999999998</v>
      </c>
      <c r="Q1159" s="181">
        <v>0</v>
      </c>
      <c r="R1159" s="181">
        <v>0</v>
      </c>
      <c r="S1159" s="181">
        <v>0</v>
      </c>
      <c r="T1159" s="181">
        <v>25.171399999999998</v>
      </c>
      <c r="U1159" s="181">
        <v>0</v>
      </c>
      <c r="V1159" s="181">
        <v>0</v>
      </c>
    </row>
    <row r="1160" spans="1:22">
      <c r="A1160" s="2" t="s">
        <v>2338</v>
      </c>
      <c r="B1160" s="2" t="s">
        <v>2339</v>
      </c>
      <c r="C1160" s="181">
        <v>13.3487952</v>
      </c>
      <c r="D1160" s="181">
        <v>1703.2224000000001</v>
      </c>
      <c r="E1160" s="181">
        <v>76.199999999999989</v>
      </c>
      <c r="F1160" s="181">
        <v>0</v>
      </c>
      <c r="G1160" s="181">
        <v>0</v>
      </c>
      <c r="H1160" s="181">
        <v>0</v>
      </c>
      <c r="I1160" s="181">
        <v>6.35</v>
      </c>
      <c r="J1160" s="181">
        <v>0</v>
      </c>
      <c r="K1160" s="181">
        <v>0</v>
      </c>
      <c r="L1160" s="181">
        <v>0</v>
      </c>
      <c r="M1160" s="181">
        <v>969819.22164799995</v>
      </c>
      <c r="N1160" s="181">
        <v>32774.127999999997</v>
      </c>
      <c r="O1160" s="181">
        <v>18189.641039999999</v>
      </c>
      <c r="P1160" s="181">
        <v>23.875999999999998</v>
      </c>
      <c r="Q1160" s="181">
        <v>0</v>
      </c>
      <c r="R1160" s="181">
        <v>0</v>
      </c>
      <c r="S1160" s="181">
        <v>0</v>
      </c>
      <c r="T1160" s="181">
        <v>28.448</v>
      </c>
      <c r="U1160" s="181">
        <v>0</v>
      </c>
      <c r="V1160" s="181">
        <v>0</v>
      </c>
    </row>
    <row r="1161" spans="1:22">
      <c r="A1161" s="2" t="s">
        <v>2340</v>
      </c>
      <c r="B1161" s="2" t="s">
        <v>2341</v>
      </c>
      <c r="C1161" s="181">
        <v>13.3487952</v>
      </c>
      <c r="D1161" s="181">
        <v>1703.2224000000001</v>
      </c>
      <c r="E1161" s="181">
        <v>76.199999999999989</v>
      </c>
      <c r="F1161" s="181">
        <v>0</v>
      </c>
      <c r="G1161" s="181">
        <v>0</v>
      </c>
      <c r="H1161" s="181">
        <v>0</v>
      </c>
      <c r="I1161" s="181">
        <v>6.35</v>
      </c>
      <c r="J1161" s="181">
        <v>0</v>
      </c>
      <c r="K1161" s="181">
        <v>0</v>
      </c>
      <c r="L1161" s="181">
        <v>0</v>
      </c>
      <c r="M1161" s="181">
        <v>969819.22164799995</v>
      </c>
      <c r="N1161" s="181">
        <v>32774.127999999997</v>
      </c>
      <c r="O1161" s="181">
        <v>18189.641039999999</v>
      </c>
      <c r="P1161" s="181">
        <v>23.875999999999998</v>
      </c>
      <c r="Q1161" s="181">
        <v>0</v>
      </c>
      <c r="R1161" s="181">
        <v>0</v>
      </c>
      <c r="S1161" s="181">
        <v>0</v>
      </c>
      <c r="T1161" s="181">
        <v>32.257999999999996</v>
      </c>
      <c r="U1161" s="181">
        <v>0</v>
      </c>
      <c r="V1161" s="181">
        <v>0</v>
      </c>
    </row>
    <row r="1162" spans="1:22">
      <c r="A1162" s="2" t="s">
        <v>2342</v>
      </c>
      <c r="B1162" s="2" t="s">
        <v>2343</v>
      </c>
      <c r="C1162" s="181">
        <v>10.1492512</v>
      </c>
      <c r="D1162" s="181">
        <v>1290.32</v>
      </c>
      <c r="E1162" s="181">
        <v>76.199999999999989</v>
      </c>
      <c r="F1162" s="181">
        <v>0</v>
      </c>
      <c r="G1162" s="181">
        <v>0</v>
      </c>
      <c r="H1162" s="181">
        <v>0</v>
      </c>
      <c r="I1162" s="181">
        <v>4.7624999999999993</v>
      </c>
      <c r="J1162" s="181">
        <v>0</v>
      </c>
      <c r="K1162" s="181">
        <v>0</v>
      </c>
      <c r="L1162" s="181">
        <v>0</v>
      </c>
      <c r="M1162" s="181">
        <v>749216.5660799999</v>
      </c>
      <c r="N1162" s="181">
        <v>24908.33728</v>
      </c>
      <c r="O1162" s="181">
        <v>13863.456143999998</v>
      </c>
      <c r="P1162" s="181">
        <v>24.053799999999999</v>
      </c>
      <c r="Q1162" s="181">
        <v>0</v>
      </c>
      <c r="R1162" s="181">
        <v>0</v>
      </c>
      <c r="S1162" s="181">
        <v>0</v>
      </c>
      <c r="T1162" s="181">
        <v>24.891999999999999</v>
      </c>
      <c r="U1162" s="181">
        <v>0</v>
      </c>
      <c r="V1162" s="181">
        <v>0</v>
      </c>
    </row>
    <row r="1163" spans="1:22">
      <c r="A1163" s="2" t="s">
        <v>2344</v>
      </c>
      <c r="B1163" s="2" t="s">
        <v>2345</v>
      </c>
      <c r="C1163" s="181">
        <v>10.1492512</v>
      </c>
      <c r="D1163" s="181">
        <v>1290.32</v>
      </c>
      <c r="E1163" s="181">
        <v>76.199999999999989</v>
      </c>
      <c r="F1163" s="181">
        <v>0</v>
      </c>
      <c r="G1163" s="181">
        <v>0</v>
      </c>
      <c r="H1163" s="181">
        <v>0</v>
      </c>
      <c r="I1163" s="181">
        <v>4.7624999999999993</v>
      </c>
      <c r="J1163" s="181">
        <v>0</v>
      </c>
      <c r="K1163" s="181">
        <v>0</v>
      </c>
      <c r="L1163" s="181">
        <v>0</v>
      </c>
      <c r="M1163" s="181">
        <v>749216.5660799999</v>
      </c>
      <c r="N1163" s="181">
        <v>24908.33728</v>
      </c>
      <c r="O1163" s="181">
        <v>13863.456143999998</v>
      </c>
      <c r="P1163" s="181">
        <v>24.053799999999999</v>
      </c>
      <c r="Q1163" s="181">
        <v>0</v>
      </c>
      <c r="R1163" s="181">
        <v>0</v>
      </c>
      <c r="S1163" s="181">
        <v>0</v>
      </c>
      <c r="T1163" s="181">
        <v>28.194000000000003</v>
      </c>
      <c r="U1163" s="181">
        <v>0</v>
      </c>
      <c r="V1163" s="181">
        <v>0</v>
      </c>
    </row>
    <row r="1164" spans="1:22">
      <c r="A1164" s="2" t="s">
        <v>2346</v>
      </c>
      <c r="B1164" s="2" t="s">
        <v>2347</v>
      </c>
      <c r="C1164" s="181">
        <v>10.1492512</v>
      </c>
      <c r="D1164" s="181">
        <v>1290.32</v>
      </c>
      <c r="E1164" s="181">
        <v>76.199999999999989</v>
      </c>
      <c r="F1164" s="181">
        <v>0</v>
      </c>
      <c r="G1164" s="181">
        <v>0</v>
      </c>
      <c r="H1164" s="181">
        <v>0</v>
      </c>
      <c r="I1164" s="181">
        <v>4.7624999999999993</v>
      </c>
      <c r="J1164" s="181">
        <v>0</v>
      </c>
      <c r="K1164" s="181">
        <v>0</v>
      </c>
      <c r="L1164" s="181">
        <v>0</v>
      </c>
      <c r="M1164" s="181">
        <v>749216.5660799999</v>
      </c>
      <c r="N1164" s="181">
        <v>24908.33728</v>
      </c>
      <c r="O1164" s="181">
        <v>13863.456143999998</v>
      </c>
      <c r="P1164" s="181">
        <v>24.053799999999999</v>
      </c>
      <c r="Q1164" s="181">
        <v>0</v>
      </c>
      <c r="R1164" s="181">
        <v>0</v>
      </c>
      <c r="S1164" s="181">
        <v>0</v>
      </c>
      <c r="T1164" s="181">
        <v>31.75</v>
      </c>
      <c r="U1164" s="181">
        <v>0</v>
      </c>
      <c r="V1164" s="181">
        <v>0</v>
      </c>
    </row>
    <row r="1165" spans="1:22">
      <c r="A1165" s="2" t="s">
        <v>2348</v>
      </c>
      <c r="B1165" s="2" t="s">
        <v>2349</v>
      </c>
      <c r="C1165" s="181">
        <v>22.917663999999998</v>
      </c>
      <c r="D1165" s="181">
        <v>2922.5747999999999</v>
      </c>
      <c r="E1165" s="181">
        <v>76.199999999999989</v>
      </c>
      <c r="F1165" s="181">
        <v>0</v>
      </c>
      <c r="G1165" s="181">
        <v>0</v>
      </c>
      <c r="H1165" s="181">
        <v>0</v>
      </c>
      <c r="I1165" s="181">
        <v>12.7</v>
      </c>
      <c r="J1165" s="181">
        <v>0</v>
      </c>
      <c r="K1165" s="181">
        <v>0</v>
      </c>
      <c r="L1165" s="181">
        <v>0</v>
      </c>
      <c r="M1165" s="181">
        <v>1602490.98856</v>
      </c>
      <c r="N1165" s="181">
        <v>58174.077199999992</v>
      </c>
      <c r="O1165" s="181">
        <v>32774.127999999997</v>
      </c>
      <c r="P1165" s="181">
        <v>23.418800000000001</v>
      </c>
      <c r="Q1165" s="181">
        <v>0</v>
      </c>
      <c r="R1165" s="181">
        <v>0</v>
      </c>
      <c r="S1165" s="181">
        <v>0</v>
      </c>
      <c r="T1165" s="181">
        <v>20.193000000000001</v>
      </c>
      <c r="U1165" s="181">
        <v>0</v>
      </c>
      <c r="V1165" s="181">
        <v>0</v>
      </c>
    </row>
    <row r="1166" spans="1:22">
      <c r="A1166" s="2" t="s">
        <v>2350</v>
      </c>
      <c r="B1166" s="2" t="s">
        <v>2351</v>
      </c>
      <c r="C1166" s="181">
        <v>22.917663999999998</v>
      </c>
      <c r="D1166" s="181">
        <v>2922.5747999999999</v>
      </c>
      <c r="E1166" s="181">
        <v>76.199999999999989</v>
      </c>
      <c r="F1166" s="181">
        <v>0</v>
      </c>
      <c r="G1166" s="181">
        <v>0</v>
      </c>
      <c r="H1166" s="181">
        <v>0</v>
      </c>
      <c r="I1166" s="181">
        <v>12.7</v>
      </c>
      <c r="J1166" s="181">
        <v>0</v>
      </c>
      <c r="K1166" s="181">
        <v>0</v>
      </c>
      <c r="L1166" s="181">
        <v>0</v>
      </c>
      <c r="M1166" s="181">
        <v>1602490.98856</v>
      </c>
      <c r="N1166" s="181">
        <v>58174.077199999992</v>
      </c>
      <c r="O1166" s="181">
        <v>32774.127999999997</v>
      </c>
      <c r="P1166" s="181">
        <v>23.418800000000001</v>
      </c>
      <c r="Q1166" s="181">
        <v>0</v>
      </c>
      <c r="R1166" s="181">
        <v>0</v>
      </c>
      <c r="S1166" s="181">
        <v>0</v>
      </c>
      <c r="T1166" s="181">
        <v>23.875999999999998</v>
      </c>
      <c r="U1166" s="181">
        <v>0</v>
      </c>
      <c r="V1166" s="181">
        <v>0</v>
      </c>
    </row>
    <row r="1167" spans="1:22">
      <c r="A1167" s="2" t="s">
        <v>2352</v>
      </c>
      <c r="B1167" s="2" t="s">
        <v>2353</v>
      </c>
      <c r="C1167" s="181">
        <v>22.917663999999998</v>
      </c>
      <c r="D1167" s="181">
        <v>2922.5747999999999</v>
      </c>
      <c r="E1167" s="181">
        <v>76.199999999999989</v>
      </c>
      <c r="F1167" s="181">
        <v>0</v>
      </c>
      <c r="G1167" s="181">
        <v>0</v>
      </c>
      <c r="H1167" s="181">
        <v>0</v>
      </c>
      <c r="I1167" s="181">
        <v>12.7</v>
      </c>
      <c r="J1167" s="181">
        <v>0</v>
      </c>
      <c r="K1167" s="181">
        <v>0</v>
      </c>
      <c r="L1167" s="181">
        <v>0</v>
      </c>
      <c r="M1167" s="181">
        <v>1602490.98856</v>
      </c>
      <c r="N1167" s="181">
        <v>58174.077199999992</v>
      </c>
      <c r="O1167" s="181">
        <v>32774.127999999997</v>
      </c>
      <c r="P1167" s="181">
        <v>23.418800000000001</v>
      </c>
      <c r="Q1167" s="181">
        <v>0</v>
      </c>
      <c r="R1167" s="181">
        <v>0</v>
      </c>
      <c r="S1167" s="181">
        <v>0</v>
      </c>
      <c r="T1167" s="181">
        <v>27.94</v>
      </c>
      <c r="U1167" s="181">
        <v>0</v>
      </c>
      <c r="V1167" s="181">
        <v>0</v>
      </c>
    </row>
    <row r="1168" spans="1:22">
      <c r="A1168" s="2" t="s">
        <v>2354</v>
      </c>
      <c r="B1168" s="2" t="s">
        <v>2355</v>
      </c>
      <c r="C1168" s="181">
        <v>17.709104</v>
      </c>
      <c r="D1168" s="181">
        <v>2258.06</v>
      </c>
      <c r="E1168" s="181">
        <v>76.199999999999989</v>
      </c>
      <c r="F1168" s="181">
        <v>0</v>
      </c>
      <c r="G1168" s="181">
        <v>0</v>
      </c>
      <c r="H1168" s="181">
        <v>0</v>
      </c>
      <c r="I1168" s="181">
        <v>9.5249999999999986</v>
      </c>
      <c r="J1168" s="181">
        <v>0</v>
      </c>
      <c r="K1168" s="181">
        <v>0</v>
      </c>
      <c r="L1168" s="181">
        <v>0</v>
      </c>
      <c r="M1168" s="181">
        <v>1277830.4765919999</v>
      </c>
      <c r="N1168" s="181">
        <v>45556.037919999995</v>
      </c>
      <c r="O1168" s="181">
        <v>25563.81984</v>
      </c>
      <c r="P1168" s="181">
        <v>23.799800000000001</v>
      </c>
      <c r="Q1168" s="181">
        <v>0</v>
      </c>
      <c r="R1168" s="181">
        <v>0</v>
      </c>
      <c r="S1168" s="181">
        <v>0</v>
      </c>
      <c r="T1168" s="181">
        <v>19.583400000000001</v>
      </c>
      <c r="U1168" s="181">
        <v>0</v>
      </c>
      <c r="V1168" s="181">
        <v>0</v>
      </c>
    </row>
    <row r="1169" spans="1:22">
      <c r="A1169" s="2" t="s">
        <v>2356</v>
      </c>
      <c r="B1169" s="2" t="s">
        <v>2357</v>
      </c>
      <c r="C1169" s="181">
        <v>17.709104</v>
      </c>
      <c r="D1169" s="181">
        <v>2258.06</v>
      </c>
      <c r="E1169" s="181">
        <v>76.199999999999989</v>
      </c>
      <c r="F1169" s="181">
        <v>0</v>
      </c>
      <c r="G1169" s="181">
        <v>0</v>
      </c>
      <c r="H1169" s="181">
        <v>0</v>
      </c>
      <c r="I1169" s="181">
        <v>9.5249999999999986</v>
      </c>
      <c r="J1169" s="181">
        <v>0</v>
      </c>
      <c r="K1169" s="181">
        <v>0</v>
      </c>
      <c r="L1169" s="181">
        <v>0</v>
      </c>
      <c r="M1169" s="181">
        <v>1277830.4765919999</v>
      </c>
      <c r="N1169" s="181">
        <v>45556.037919999995</v>
      </c>
      <c r="O1169" s="181">
        <v>25563.81984</v>
      </c>
      <c r="P1169" s="181">
        <v>23.799800000000001</v>
      </c>
      <c r="Q1169" s="181">
        <v>0</v>
      </c>
      <c r="R1169" s="181">
        <v>0</v>
      </c>
      <c r="S1169" s="181">
        <v>0</v>
      </c>
      <c r="T1169" s="181">
        <v>23.139399999999998</v>
      </c>
      <c r="U1169" s="181">
        <v>0</v>
      </c>
      <c r="V1169" s="181">
        <v>0</v>
      </c>
    </row>
    <row r="1170" spans="1:22">
      <c r="A1170" s="2" t="s">
        <v>2358</v>
      </c>
      <c r="B1170" s="2" t="s">
        <v>2359</v>
      </c>
      <c r="C1170" s="181">
        <v>17.709104</v>
      </c>
      <c r="D1170" s="181">
        <v>2258.06</v>
      </c>
      <c r="E1170" s="181">
        <v>76.199999999999989</v>
      </c>
      <c r="F1170" s="181">
        <v>0</v>
      </c>
      <c r="G1170" s="181">
        <v>0</v>
      </c>
      <c r="H1170" s="181">
        <v>0</v>
      </c>
      <c r="I1170" s="181">
        <v>9.5249999999999986</v>
      </c>
      <c r="J1170" s="181">
        <v>0</v>
      </c>
      <c r="K1170" s="181">
        <v>0</v>
      </c>
      <c r="L1170" s="181">
        <v>0</v>
      </c>
      <c r="M1170" s="181">
        <v>1277830.4765919999</v>
      </c>
      <c r="N1170" s="181">
        <v>45556.037919999995</v>
      </c>
      <c r="O1170" s="181">
        <v>25563.81984</v>
      </c>
      <c r="P1170" s="181">
        <v>23.799800000000001</v>
      </c>
      <c r="Q1170" s="181">
        <v>0</v>
      </c>
      <c r="R1170" s="181">
        <v>0</v>
      </c>
      <c r="S1170" s="181">
        <v>0</v>
      </c>
      <c r="T1170" s="181">
        <v>27.178000000000001</v>
      </c>
      <c r="U1170" s="181">
        <v>0</v>
      </c>
      <c r="V1170" s="181">
        <v>0</v>
      </c>
    </row>
    <row r="1171" spans="1:22">
      <c r="A1171" s="2" t="s">
        <v>2360</v>
      </c>
      <c r="B1171" s="2" t="s">
        <v>2361</v>
      </c>
      <c r="C1171" s="181">
        <v>15.030415999999999</v>
      </c>
      <c r="D1171" s="181">
        <v>1909.6735999999999</v>
      </c>
      <c r="E1171" s="181">
        <v>76.199999999999989</v>
      </c>
      <c r="F1171" s="181">
        <v>0</v>
      </c>
      <c r="G1171" s="181">
        <v>0</v>
      </c>
      <c r="H1171" s="181">
        <v>0</v>
      </c>
      <c r="I1171" s="181">
        <v>7.9375</v>
      </c>
      <c r="J1171" s="181">
        <v>0</v>
      </c>
      <c r="K1171" s="181">
        <v>0</v>
      </c>
      <c r="L1171" s="181">
        <v>0</v>
      </c>
      <c r="M1171" s="181">
        <v>1098850.963584</v>
      </c>
      <c r="N1171" s="181">
        <v>38837.341679999998</v>
      </c>
      <c r="O1171" s="181">
        <v>21630.924479999998</v>
      </c>
      <c r="P1171" s="181">
        <v>24.002999999999997</v>
      </c>
      <c r="Q1171" s="181">
        <v>0</v>
      </c>
      <c r="R1171" s="181">
        <v>0</v>
      </c>
      <c r="S1171" s="181">
        <v>0</v>
      </c>
      <c r="T1171" s="181">
        <v>19.303999999999998</v>
      </c>
      <c r="U1171" s="181">
        <v>0</v>
      </c>
      <c r="V1171" s="181">
        <v>0</v>
      </c>
    </row>
    <row r="1172" spans="1:22">
      <c r="A1172" s="2" t="s">
        <v>2362</v>
      </c>
      <c r="B1172" s="2" t="s">
        <v>2363</v>
      </c>
      <c r="C1172" s="181">
        <v>15.030415999999999</v>
      </c>
      <c r="D1172" s="181">
        <v>1909.6735999999999</v>
      </c>
      <c r="E1172" s="181">
        <v>76.199999999999989</v>
      </c>
      <c r="F1172" s="181">
        <v>0</v>
      </c>
      <c r="G1172" s="181">
        <v>0</v>
      </c>
      <c r="H1172" s="181">
        <v>0</v>
      </c>
      <c r="I1172" s="181">
        <v>7.9375</v>
      </c>
      <c r="J1172" s="181">
        <v>0</v>
      </c>
      <c r="K1172" s="181">
        <v>0</v>
      </c>
      <c r="L1172" s="181">
        <v>0</v>
      </c>
      <c r="M1172" s="181">
        <v>1098850.963584</v>
      </c>
      <c r="N1172" s="181">
        <v>38837.341679999998</v>
      </c>
      <c r="O1172" s="181">
        <v>21630.924479999998</v>
      </c>
      <c r="P1172" s="181">
        <v>24.002999999999997</v>
      </c>
      <c r="Q1172" s="181">
        <v>0</v>
      </c>
      <c r="R1172" s="181">
        <v>0</v>
      </c>
      <c r="S1172" s="181">
        <v>0</v>
      </c>
      <c r="T1172" s="181">
        <v>22.783799999999999</v>
      </c>
      <c r="U1172" s="181">
        <v>0</v>
      </c>
      <c r="V1172" s="181">
        <v>0</v>
      </c>
    </row>
    <row r="1173" spans="1:22">
      <c r="A1173" s="2" t="s">
        <v>2364</v>
      </c>
      <c r="B1173" s="2" t="s">
        <v>2365</v>
      </c>
      <c r="C1173" s="181">
        <v>15.030415999999999</v>
      </c>
      <c r="D1173" s="181">
        <v>1909.6735999999999</v>
      </c>
      <c r="E1173" s="181">
        <v>76.199999999999989</v>
      </c>
      <c r="F1173" s="181">
        <v>0</v>
      </c>
      <c r="G1173" s="181">
        <v>0</v>
      </c>
      <c r="H1173" s="181">
        <v>0</v>
      </c>
      <c r="I1173" s="181">
        <v>7.9375</v>
      </c>
      <c r="J1173" s="181">
        <v>0</v>
      </c>
      <c r="K1173" s="181">
        <v>0</v>
      </c>
      <c r="L1173" s="181">
        <v>0</v>
      </c>
      <c r="M1173" s="181">
        <v>1098850.963584</v>
      </c>
      <c r="N1173" s="181">
        <v>38837.341679999998</v>
      </c>
      <c r="O1173" s="181">
        <v>21630.924479999998</v>
      </c>
      <c r="P1173" s="181">
        <v>24.002999999999997</v>
      </c>
      <c r="Q1173" s="181">
        <v>0</v>
      </c>
      <c r="R1173" s="181">
        <v>0</v>
      </c>
      <c r="S1173" s="181">
        <v>0</v>
      </c>
      <c r="T1173" s="181">
        <v>26.669999999999998</v>
      </c>
      <c r="U1173" s="181">
        <v>0</v>
      </c>
      <c r="V1173" s="181">
        <v>0</v>
      </c>
    </row>
    <row r="1174" spans="1:22">
      <c r="A1174" s="2" t="s">
        <v>2366</v>
      </c>
      <c r="B1174" s="2" t="s">
        <v>2367</v>
      </c>
      <c r="C1174" s="181">
        <v>12.173148799999998</v>
      </c>
      <c r="D1174" s="181">
        <v>1548.3839999999998</v>
      </c>
      <c r="E1174" s="181">
        <v>76.199999999999989</v>
      </c>
      <c r="F1174" s="181">
        <v>0</v>
      </c>
      <c r="G1174" s="181">
        <v>0</v>
      </c>
      <c r="H1174" s="181">
        <v>0</v>
      </c>
      <c r="I1174" s="181">
        <v>6.35</v>
      </c>
      <c r="J1174" s="181">
        <v>0</v>
      </c>
      <c r="K1174" s="181">
        <v>0</v>
      </c>
      <c r="L1174" s="181">
        <v>0</v>
      </c>
      <c r="M1174" s="181">
        <v>907384.50780799997</v>
      </c>
      <c r="N1174" s="181">
        <v>31790.904159999995</v>
      </c>
      <c r="O1174" s="181">
        <v>17698.029119999999</v>
      </c>
      <c r="P1174" s="181">
        <v>24.206199999999999</v>
      </c>
      <c r="Q1174" s="181">
        <v>0</v>
      </c>
      <c r="R1174" s="181">
        <v>0</v>
      </c>
      <c r="S1174" s="181">
        <v>0</v>
      </c>
      <c r="T1174" s="181">
        <v>19.0246</v>
      </c>
      <c r="U1174" s="181">
        <v>0</v>
      </c>
      <c r="V1174" s="181">
        <v>0</v>
      </c>
    </row>
    <row r="1175" spans="1:22">
      <c r="A1175" s="2" t="s">
        <v>2368</v>
      </c>
      <c r="B1175" s="2" t="s">
        <v>2369</v>
      </c>
      <c r="C1175" s="181">
        <v>12.173148799999998</v>
      </c>
      <c r="D1175" s="181">
        <v>1548.3839999999998</v>
      </c>
      <c r="E1175" s="181">
        <v>76.199999999999989</v>
      </c>
      <c r="F1175" s="181">
        <v>0</v>
      </c>
      <c r="G1175" s="181">
        <v>0</v>
      </c>
      <c r="H1175" s="181">
        <v>0</v>
      </c>
      <c r="I1175" s="181">
        <v>6.35</v>
      </c>
      <c r="J1175" s="181">
        <v>0</v>
      </c>
      <c r="K1175" s="181">
        <v>0</v>
      </c>
      <c r="L1175" s="181">
        <v>0</v>
      </c>
      <c r="M1175" s="181">
        <v>907384.50780799997</v>
      </c>
      <c r="N1175" s="181">
        <v>31790.904159999995</v>
      </c>
      <c r="O1175" s="181">
        <v>17698.029119999999</v>
      </c>
      <c r="P1175" s="181">
        <v>24.206199999999999</v>
      </c>
      <c r="Q1175" s="181">
        <v>0</v>
      </c>
      <c r="R1175" s="181">
        <v>0</v>
      </c>
      <c r="S1175" s="181">
        <v>0</v>
      </c>
      <c r="T1175" s="181">
        <v>22.4282</v>
      </c>
      <c r="U1175" s="181">
        <v>0</v>
      </c>
      <c r="V1175" s="181">
        <v>0</v>
      </c>
    </row>
    <row r="1176" spans="1:22">
      <c r="A1176" s="2" t="s">
        <v>2370</v>
      </c>
      <c r="B1176" s="2" t="s">
        <v>2371</v>
      </c>
      <c r="C1176" s="181">
        <v>12.173148799999998</v>
      </c>
      <c r="D1176" s="181">
        <v>1548.3839999999998</v>
      </c>
      <c r="E1176" s="181">
        <v>76.199999999999989</v>
      </c>
      <c r="F1176" s="181">
        <v>0</v>
      </c>
      <c r="G1176" s="181">
        <v>0</v>
      </c>
      <c r="H1176" s="181">
        <v>0</v>
      </c>
      <c r="I1176" s="181">
        <v>6.35</v>
      </c>
      <c r="J1176" s="181">
        <v>0</v>
      </c>
      <c r="K1176" s="181">
        <v>0</v>
      </c>
      <c r="L1176" s="181">
        <v>0</v>
      </c>
      <c r="M1176" s="181">
        <v>907384.50780799997</v>
      </c>
      <c r="N1176" s="181">
        <v>31790.904159999995</v>
      </c>
      <c r="O1176" s="181">
        <v>17698.029119999999</v>
      </c>
      <c r="P1176" s="181">
        <v>24.206199999999999</v>
      </c>
      <c r="Q1176" s="181">
        <v>0</v>
      </c>
      <c r="R1176" s="181">
        <v>0</v>
      </c>
      <c r="S1176" s="181">
        <v>0</v>
      </c>
      <c r="T1176" s="181">
        <v>26.161999999999999</v>
      </c>
      <c r="U1176" s="181">
        <v>0</v>
      </c>
      <c r="V1176" s="181">
        <v>0</v>
      </c>
    </row>
    <row r="1177" spans="1:22">
      <c r="A1177" s="2" t="s">
        <v>2372</v>
      </c>
      <c r="B1177" s="2" t="s">
        <v>2373</v>
      </c>
      <c r="C1177" s="181">
        <v>9.2861183999999994</v>
      </c>
      <c r="D1177" s="181">
        <v>1180.6428000000001</v>
      </c>
      <c r="E1177" s="181">
        <v>76.199999999999989</v>
      </c>
      <c r="F1177" s="181">
        <v>0</v>
      </c>
      <c r="G1177" s="181">
        <v>0</v>
      </c>
      <c r="H1177" s="181">
        <v>0</v>
      </c>
      <c r="I1177" s="181">
        <v>4.7624999999999993</v>
      </c>
      <c r="J1177" s="181">
        <v>0</v>
      </c>
      <c r="K1177" s="181">
        <v>0</v>
      </c>
      <c r="L1177" s="181">
        <v>0</v>
      </c>
      <c r="M1177" s="181">
        <v>703431.10926399985</v>
      </c>
      <c r="N1177" s="181">
        <v>24416.725359999997</v>
      </c>
      <c r="O1177" s="181">
        <v>13568.488992000001</v>
      </c>
      <c r="P1177" s="181">
        <v>24.409399999999998</v>
      </c>
      <c r="Q1177" s="181">
        <v>0</v>
      </c>
      <c r="R1177" s="181">
        <v>0</v>
      </c>
      <c r="S1177" s="181">
        <v>0</v>
      </c>
      <c r="T1177" s="181">
        <v>18.770599999999998</v>
      </c>
      <c r="U1177" s="181">
        <v>0</v>
      </c>
      <c r="V1177" s="181">
        <v>0</v>
      </c>
    </row>
    <row r="1178" spans="1:22">
      <c r="A1178" s="2" t="s">
        <v>2374</v>
      </c>
      <c r="B1178" s="2" t="s">
        <v>2375</v>
      </c>
      <c r="C1178" s="181">
        <v>9.2861183999999994</v>
      </c>
      <c r="D1178" s="181">
        <v>1180.6428000000001</v>
      </c>
      <c r="E1178" s="181">
        <v>76.199999999999989</v>
      </c>
      <c r="F1178" s="181">
        <v>0</v>
      </c>
      <c r="G1178" s="181">
        <v>0</v>
      </c>
      <c r="H1178" s="181">
        <v>0</v>
      </c>
      <c r="I1178" s="181">
        <v>4.7624999999999993</v>
      </c>
      <c r="J1178" s="181">
        <v>0</v>
      </c>
      <c r="K1178" s="181">
        <v>0</v>
      </c>
      <c r="L1178" s="181">
        <v>0</v>
      </c>
      <c r="M1178" s="181">
        <v>703431.10926399985</v>
      </c>
      <c r="N1178" s="181">
        <v>24416.725359999997</v>
      </c>
      <c r="O1178" s="181">
        <v>13568.488992000001</v>
      </c>
      <c r="P1178" s="181">
        <v>24.409399999999998</v>
      </c>
      <c r="Q1178" s="181">
        <v>0</v>
      </c>
      <c r="R1178" s="181">
        <v>0</v>
      </c>
      <c r="S1178" s="181">
        <v>0</v>
      </c>
      <c r="T1178" s="181">
        <v>22.072599999999998</v>
      </c>
      <c r="U1178" s="181">
        <v>0</v>
      </c>
      <c r="V1178" s="181">
        <v>0</v>
      </c>
    </row>
    <row r="1179" spans="1:22">
      <c r="A1179" s="2" t="s">
        <v>2376</v>
      </c>
      <c r="B1179" s="2" t="s">
        <v>2377</v>
      </c>
      <c r="C1179" s="181">
        <v>9.2861183999999994</v>
      </c>
      <c r="D1179" s="181">
        <v>1180.6428000000001</v>
      </c>
      <c r="E1179" s="181">
        <v>76.199999999999989</v>
      </c>
      <c r="F1179" s="181">
        <v>0</v>
      </c>
      <c r="G1179" s="181">
        <v>0</v>
      </c>
      <c r="H1179" s="181">
        <v>0</v>
      </c>
      <c r="I1179" s="181">
        <v>4.7624999999999993</v>
      </c>
      <c r="J1179" s="181">
        <v>0</v>
      </c>
      <c r="K1179" s="181">
        <v>0</v>
      </c>
      <c r="L1179" s="181">
        <v>0</v>
      </c>
      <c r="M1179" s="181">
        <v>703431.10926399985</v>
      </c>
      <c r="N1179" s="181">
        <v>24416.725359999997</v>
      </c>
      <c r="O1179" s="181">
        <v>13568.488992000001</v>
      </c>
      <c r="P1179" s="181">
        <v>24.409399999999998</v>
      </c>
      <c r="Q1179" s="181">
        <v>0</v>
      </c>
      <c r="R1179" s="181">
        <v>0</v>
      </c>
      <c r="S1179" s="181">
        <v>0</v>
      </c>
      <c r="T1179" s="181">
        <v>25.907999999999998</v>
      </c>
      <c r="U1179" s="181">
        <v>0</v>
      </c>
      <c r="V1179" s="181">
        <v>0</v>
      </c>
    </row>
    <row r="1180" spans="1:22">
      <c r="A1180" s="2" t="s">
        <v>2378</v>
      </c>
      <c r="B1180" s="2" t="s">
        <v>2379</v>
      </c>
      <c r="C1180" s="181">
        <v>15.774495999999999</v>
      </c>
      <c r="D1180" s="181">
        <v>2006.4475999999997</v>
      </c>
      <c r="E1180" s="181">
        <v>63.5</v>
      </c>
      <c r="F1180" s="181">
        <v>0</v>
      </c>
      <c r="G1180" s="181">
        <v>0</v>
      </c>
      <c r="H1180" s="181">
        <v>0</v>
      </c>
      <c r="I1180" s="181">
        <v>9.5249999999999986</v>
      </c>
      <c r="J1180" s="181">
        <v>0</v>
      </c>
      <c r="K1180" s="181">
        <v>0</v>
      </c>
      <c r="L1180" s="181">
        <v>0</v>
      </c>
      <c r="M1180" s="181">
        <v>761703.50884799997</v>
      </c>
      <c r="N1180" s="181">
        <v>32118.645439999997</v>
      </c>
      <c r="O1180" s="181">
        <v>17861.89976</v>
      </c>
      <c r="P1180" s="181">
        <v>19.456399999999999</v>
      </c>
      <c r="Q1180" s="181">
        <v>0</v>
      </c>
      <c r="R1180" s="181">
        <v>0</v>
      </c>
      <c r="S1180" s="181">
        <v>0</v>
      </c>
      <c r="T1180" s="181">
        <v>20.700999999999997</v>
      </c>
      <c r="U1180" s="181">
        <v>0</v>
      </c>
      <c r="V1180" s="181">
        <v>0</v>
      </c>
    </row>
    <row r="1181" spans="1:22">
      <c r="A1181" s="2" t="s">
        <v>2380</v>
      </c>
      <c r="B1181" s="2" t="s">
        <v>2381</v>
      </c>
      <c r="C1181" s="181">
        <v>15.774495999999999</v>
      </c>
      <c r="D1181" s="181">
        <v>2006.4475999999997</v>
      </c>
      <c r="E1181" s="181">
        <v>63.5</v>
      </c>
      <c r="F1181" s="181">
        <v>0</v>
      </c>
      <c r="G1181" s="181">
        <v>0</v>
      </c>
      <c r="H1181" s="181">
        <v>0</v>
      </c>
      <c r="I1181" s="181">
        <v>9.5249999999999986</v>
      </c>
      <c r="J1181" s="181">
        <v>0</v>
      </c>
      <c r="K1181" s="181">
        <v>0</v>
      </c>
      <c r="L1181" s="181">
        <v>0</v>
      </c>
      <c r="M1181" s="181">
        <v>761703.50884799997</v>
      </c>
      <c r="N1181" s="181">
        <v>32118.645439999997</v>
      </c>
      <c r="O1181" s="181">
        <v>17861.89976</v>
      </c>
      <c r="P1181" s="181">
        <v>19.456399999999999</v>
      </c>
      <c r="Q1181" s="181">
        <v>0</v>
      </c>
      <c r="R1181" s="181">
        <v>0</v>
      </c>
      <c r="S1181" s="181">
        <v>0</v>
      </c>
      <c r="T1181" s="181">
        <v>24.3078</v>
      </c>
      <c r="U1181" s="181">
        <v>0</v>
      </c>
      <c r="V1181" s="181">
        <v>0</v>
      </c>
    </row>
    <row r="1182" spans="1:22">
      <c r="A1182" s="2" t="s">
        <v>2382</v>
      </c>
      <c r="B1182" s="2" t="s">
        <v>2383</v>
      </c>
      <c r="C1182" s="181">
        <v>15.774495999999999</v>
      </c>
      <c r="D1182" s="181">
        <v>2006.4475999999997</v>
      </c>
      <c r="E1182" s="181">
        <v>63.5</v>
      </c>
      <c r="F1182" s="181">
        <v>0</v>
      </c>
      <c r="G1182" s="181">
        <v>0</v>
      </c>
      <c r="H1182" s="181">
        <v>0</v>
      </c>
      <c r="I1182" s="181">
        <v>9.5249999999999986</v>
      </c>
      <c r="J1182" s="181">
        <v>0</v>
      </c>
      <c r="K1182" s="181">
        <v>0</v>
      </c>
      <c r="L1182" s="181">
        <v>0</v>
      </c>
      <c r="M1182" s="181">
        <v>761703.50884799997</v>
      </c>
      <c r="N1182" s="181">
        <v>32118.645439999997</v>
      </c>
      <c r="O1182" s="181">
        <v>17861.89976</v>
      </c>
      <c r="P1182" s="181">
        <v>19.456399999999999</v>
      </c>
      <c r="Q1182" s="181">
        <v>0</v>
      </c>
      <c r="R1182" s="181">
        <v>0</v>
      </c>
      <c r="S1182" s="181">
        <v>0</v>
      </c>
      <c r="T1182" s="181">
        <v>28.194000000000003</v>
      </c>
      <c r="U1182" s="181">
        <v>0</v>
      </c>
      <c r="V1182" s="181">
        <v>0</v>
      </c>
    </row>
    <row r="1183" spans="1:22">
      <c r="A1183" s="2" t="s">
        <v>2384</v>
      </c>
      <c r="B1183" s="2" t="s">
        <v>2385</v>
      </c>
      <c r="C1183" s="181">
        <v>13.3487952</v>
      </c>
      <c r="D1183" s="181">
        <v>1703.2224000000001</v>
      </c>
      <c r="E1183" s="181">
        <v>63.5</v>
      </c>
      <c r="F1183" s="181">
        <v>0</v>
      </c>
      <c r="G1183" s="181">
        <v>0</v>
      </c>
      <c r="H1183" s="181">
        <v>0</v>
      </c>
      <c r="I1183" s="181">
        <v>7.9375</v>
      </c>
      <c r="J1183" s="181">
        <v>0</v>
      </c>
      <c r="K1183" s="181">
        <v>0</v>
      </c>
      <c r="L1183" s="181">
        <v>0</v>
      </c>
      <c r="M1183" s="181">
        <v>657645.65244799992</v>
      </c>
      <c r="N1183" s="181">
        <v>27530.267519999998</v>
      </c>
      <c r="O1183" s="181">
        <v>15256.356583999999</v>
      </c>
      <c r="P1183" s="181">
        <v>19.659600000000001</v>
      </c>
      <c r="Q1183" s="181">
        <v>0</v>
      </c>
      <c r="R1183" s="181">
        <v>0</v>
      </c>
      <c r="S1183" s="181">
        <v>0</v>
      </c>
      <c r="T1183" s="181">
        <v>20.421600000000002</v>
      </c>
      <c r="U1183" s="181">
        <v>0</v>
      </c>
      <c r="V1183" s="181">
        <v>0</v>
      </c>
    </row>
    <row r="1184" spans="1:22">
      <c r="A1184" s="2" t="s">
        <v>2386</v>
      </c>
      <c r="B1184" s="2" t="s">
        <v>2387</v>
      </c>
      <c r="C1184" s="181">
        <v>13.3487952</v>
      </c>
      <c r="D1184" s="181">
        <v>1703.2224000000001</v>
      </c>
      <c r="E1184" s="181">
        <v>63.5</v>
      </c>
      <c r="F1184" s="181">
        <v>0</v>
      </c>
      <c r="G1184" s="181">
        <v>0</v>
      </c>
      <c r="H1184" s="181">
        <v>0</v>
      </c>
      <c r="I1184" s="181">
        <v>7.9375</v>
      </c>
      <c r="J1184" s="181">
        <v>0</v>
      </c>
      <c r="K1184" s="181">
        <v>0</v>
      </c>
      <c r="L1184" s="181">
        <v>0</v>
      </c>
      <c r="M1184" s="181">
        <v>657645.65244799992</v>
      </c>
      <c r="N1184" s="181">
        <v>27530.267519999998</v>
      </c>
      <c r="O1184" s="181">
        <v>15256.356583999999</v>
      </c>
      <c r="P1184" s="181">
        <v>19.659600000000001</v>
      </c>
      <c r="Q1184" s="181">
        <v>0</v>
      </c>
      <c r="R1184" s="181">
        <v>0</v>
      </c>
      <c r="S1184" s="181">
        <v>0</v>
      </c>
      <c r="T1184" s="181">
        <v>23.952200000000001</v>
      </c>
      <c r="U1184" s="181">
        <v>0</v>
      </c>
      <c r="V1184" s="181">
        <v>0</v>
      </c>
    </row>
    <row r="1185" spans="1:22">
      <c r="A1185" s="2" t="s">
        <v>2388</v>
      </c>
      <c r="B1185" s="2" t="s">
        <v>2389</v>
      </c>
      <c r="C1185" s="181">
        <v>13.3487952</v>
      </c>
      <c r="D1185" s="181">
        <v>1703.2224000000001</v>
      </c>
      <c r="E1185" s="181">
        <v>63.5</v>
      </c>
      <c r="F1185" s="181">
        <v>0</v>
      </c>
      <c r="G1185" s="181">
        <v>0</v>
      </c>
      <c r="H1185" s="181">
        <v>0</v>
      </c>
      <c r="I1185" s="181">
        <v>7.9375</v>
      </c>
      <c r="J1185" s="181">
        <v>0</v>
      </c>
      <c r="K1185" s="181">
        <v>0</v>
      </c>
      <c r="L1185" s="181">
        <v>0</v>
      </c>
      <c r="M1185" s="181">
        <v>657645.65244799992</v>
      </c>
      <c r="N1185" s="181">
        <v>27530.267519999998</v>
      </c>
      <c r="O1185" s="181">
        <v>15256.356583999999</v>
      </c>
      <c r="P1185" s="181">
        <v>19.659600000000001</v>
      </c>
      <c r="Q1185" s="181">
        <v>0</v>
      </c>
      <c r="R1185" s="181">
        <v>0</v>
      </c>
      <c r="S1185" s="181">
        <v>0</v>
      </c>
      <c r="T1185" s="181">
        <v>27.94</v>
      </c>
      <c r="U1185" s="181">
        <v>0</v>
      </c>
      <c r="V1185" s="181">
        <v>0</v>
      </c>
    </row>
    <row r="1186" spans="1:22">
      <c r="A1186" s="2" t="s">
        <v>2390</v>
      </c>
      <c r="B1186" s="2" t="s">
        <v>2391</v>
      </c>
      <c r="C1186" s="181">
        <v>10.863567999999999</v>
      </c>
      <c r="D1186" s="181">
        <v>1380.6424</v>
      </c>
      <c r="E1186" s="181">
        <v>63.5</v>
      </c>
      <c r="F1186" s="181">
        <v>0</v>
      </c>
      <c r="G1186" s="181">
        <v>0</v>
      </c>
      <c r="H1186" s="181">
        <v>0</v>
      </c>
      <c r="I1186" s="181">
        <v>6.35</v>
      </c>
      <c r="J1186" s="181">
        <v>0</v>
      </c>
      <c r="K1186" s="181">
        <v>0</v>
      </c>
      <c r="L1186" s="181">
        <v>0</v>
      </c>
      <c r="M1186" s="181">
        <v>545263.16753600002</v>
      </c>
      <c r="N1186" s="181">
        <v>22614.148319999997</v>
      </c>
      <c r="O1186" s="181">
        <v>12486.942767999999</v>
      </c>
      <c r="P1186" s="181">
        <v>19.8628</v>
      </c>
      <c r="Q1186" s="181">
        <v>0</v>
      </c>
      <c r="R1186" s="181">
        <v>0</v>
      </c>
      <c r="S1186" s="181">
        <v>0</v>
      </c>
      <c r="T1186" s="181">
        <v>20.1676</v>
      </c>
      <c r="U1186" s="181">
        <v>0</v>
      </c>
      <c r="V1186" s="181">
        <v>0</v>
      </c>
    </row>
    <row r="1187" spans="1:22">
      <c r="A1187" s="2" t="s">
        <v>2392</v>
      </c>
      <c r="B1187" s="2" t="s">
        <v>2393</v>
      </c>
      <c r="C1187" s="181">
        <v>10.863567999999999</v>
      </c>
      <c r="D1187" s="181">
        <v>1380.6424</v>
      </c>
      <c r="E1187" s="181">
        <v>63.5</v>
      </c>
      <c r="F1187" s="181">
        <v>0</v>
      </c>
      <c r="G1187" s="181">
        <v>0</v>
      </c>
      <c r="H1187" s="181">
        <v>0</v>
      </c>
      <c r="I1187" s="181">
        <v>6.35</v>
      </c>
      <c r="J1187" s="181">
        <v>0</v>
      </c>
      <c r="K1187" s="181">
        <v>0</v>
      </c>
      <c r="L1187" s="181">
        <v>0</v>
      </c>
      <c r="M1187" s="181">
        <v>545263.16753600002</v>
      </c>
      <c r="N1187" s="181">
        <v>22614.148319999997</v>
      </c>
      <c r="O1187" s="181">
        <v>12486.942767999999</v>
      </c>
      <c r="P1187" s="181">
        <v>19.8628</v>
      </c>
      <c r="Q1187" s="181">
        <v>0</v>
      </c>
      <c r="R1187" s="181">
        <v>0</v>
      </c>
      <c r="S1187" s="181">
        <v>0</v>
      </c>
      <c r="T1187" s="181">
        <v>23.622</v>
      </c>
      <c r="U1187" s="181">
        <v>0</v>
      </c>
      <c r="V1187" s="181">
        <v>0</v>
      </c>
    </row>
    <row r="1188" spans="1:22">
      <c r="A1188" s="2" t="s">
        <v>2394</v>
      </c>
      <c r="B1188" s="2" t="s">
        <v>2395</v>
      </c>
      <c r="C1188" s="181">
        <v>10.863567999999999</v>
      </c>
      <c r="D1188" s="181">
        <v>1380.6424</v>
      </c>
      <c r="E1188" s="181">
        <v>63.5</v>
      </c>
      <c r="F1188" s="181">
        <v>0</v>
      </c>
      <c r="G1188" s="181">
        <v>0</v>
      </c>
      <c r="H1188" s="181">
        <v>0</v>
      </c>
      <c r="I1188" s="181">
        <v>6.35</v>
      </c>
      <c r="J1188" s="181">
        <v>0</v>
      </c>
      <c r="K1188" s="181">
        <v>0</v>
      </c>
      <c r="L1188" s="181">
        <v>0</v>
      </c>
      <c r="M1188" s="181">
        <v>545263.16753600002</v>
      </c>
      <c r="N1188" s="181">
        <v>22614.148319999997</v>
      </c>
      <c r="O1188" s="181">
        <v>12486.942767999999</v>
      </c>
      <c r="P1188" s="181">
        <v>19.8628</v>
      </c>
      <c r="Q1188" s="181">
        <v>0</v>
      </c>
      <c r="R1188" s="181">
        <v>0</v>
      </c>
      <c r="S1188" s="181">
        <v>0</v>
      </c>
      <c r="T1188" s="181">
        <v>27.431999999999999</v>
      </c>
      <c r="U1188" s="181">
        <v>0</v>
      </c>
      <c r="V1188" s="181">
        <v>0</v>
      </c>
    </row>
    <row r="1189" spans="1:22">
      <c r="A1189" s="2" t="s">
        <v>2396</v>
      </c>
      <c r="B1189" s="2" t="s">
        <v>2397</v>
      </c>
      <c r="C1189" s="181">
        <v>8.2890511999999994</v>
      </c>
      <c r="D1189" s="181">
        <v>1058.0623999999998</v>
      </c>
      <c r="E1189" s="181">
        <v>63.5</v>
      </c>
      <c r="F1189" s="181">
        <v>0</v>
      </c>
      <c r="G1189" s="181">
        <v>0</v>
      </c>
      <c r="H1189" s="181">
        <v>0</v>
      </c>
      <c r="I1189" s="181">
        <v>4.7624999999999993</v>
      </c>
      <c r="J1189" s="181">
        <v>0</v>
      </c>
      <c r="K1189" s="181">
        <v>0</v>
      </c>
      <c r="L1189" s="181">
        <v>0</v>
      </c>
      <c r="M1189" s="181">
        <v>424556.05411199998</v>
      </c>
      <c r="N1189" s="181">
        <v>17370.287840000001</v>
      </c>
      <c r="O1189" s="181">
        <v>9586.4324399999987</v>
      </c>
      <c r="P1189" s="181">
        <v>20.065999999999999</v>
      </c>
      <c r="Q1189" s="181">
        <v>0</v>
      </c>
      <c r="R1189" s="181">
        <v>0</v>
      </c>
      <c r="S1189" s="181">
        <v>0</v>
      </c>
      <c r="T1189" s="181">
        <v>19.913599999999999</v>
      </c>
      <c r="U1189" s="181">
        <v>0</v>
      </c>
      <c r="V1189" s="181">
        <v>0</v>
      </c>
    </row>
    <row r="1190" spans="1:22">
      <c r="A1190" s="2" t="s">
        <v>2398</v>
      </c>
      <c r="B1190" s="2" t="s">
        <v>2399</v>
      </c>
      <c r="C1190" s="181">
        <v>8.2890511999999994</v>
      </c>
      <c r="D1190" s="181">
        <v>1058.0623999999998</v>
      </c>
      <c r="E1190" s="181">
        <v>63.5</v>
      </c>
      <c r="F1190" s="181">
        <v>0</v>
      </c>
      <c r="G1190" s="181">
        <v>0</v>
      </c>
      <c r="H1190" s="181">
        <v>0</v>
      </c>
      <c r="I1190" s="181">
        <v>4.7624999999999993</v>
      </c>
      <c r="J1190" s="181">
        <v>0</v>
      </c>
      <c r="K1190" s="181">
        <v>0</v>
      </c>
      <c r="L1190" s="181">
        <v>0</v>
      </c>
      <c r="M1190" s="181">
        <v>424556.05411199998</v>
      </c>
      <c r="N1190" s="181">
        <v>17370.287840000001</v>
      </c>
      <c r="O1190" s="181">
        <v>9586.4324399999987</v>
      </c>
      <c r="P1190" s="181">
        <v>20.065999999999999</v>
      </c>
      <c r="Q1190" s="181">
        <v>0</v>
      </c>
      <c r="R1190" s="181">
        <v>0</v>
      </c>
      <c r="S1190" s="181">
        <v>0</v>
      </c>
      <c r="T1190" s="181">
        <v>23.266400000000001</v>
      </c>
      <c r="U1190" s="181">
        <v>0</v>
      </c>
      <c r="V1190" s="181">
        <v>0</v>
      </c>
    </row>
    <row r="1191" spans="1:22">
      <c r="A1191" s="2" t="s">
        <v>2400</v>
      </c>
      <c r="B1191" s="2" t="s">
        <v>2401</v>
      </c>
      <c r="C1191" s="181">
        <v>8.2890511999999994</v>
      </c>
      <c r="D1191" s="181">
        <v>1058.0623999999998</v>
      </c>
      <c r="E1191" s="181">
        <v>63.5</v>
      </c>
      <c r="F1191" s="181">
        <v>0</v>
      </c>
      <c r="G1191" s="181">
        <v>0</v>
      </c>
      <c r="H1191" s="181">
        <v>0</v>
      </c>
      <c r="I1191" s="181">
        <v>4.7624999999999993</v>
      </c>
      <c r="J1191" s="181">
        <v>0</v>
      </c>
      <c r="K1191" s="181">
        <v>0</v>
      </c>
      <c r="L1191" s="181">
        <v>0</v>
      </c>
      <c r="M1191" s="181">
        <v>424556.05411199998</v>
      </c>
      <c r="N1191" s="181">
        <v>17370.287840000001</v>
      </c>
      <c r="O1191" s="181">
        <v>9586.4324399999987</v>
      </c>
      <c r="P1191" s="181">
        <v>20.065999999999999</v>
      </c>
      <c r="Q1191" s="181">
        <v>0</v>
      </c>
      <c r="R1191" s="181">
        <v>0</v>
      </c>
      <c r="S1191" s="181">
        <v>0</v>
      </c>
      <c r="T1191" s="181">
        <v>27.178000000000001</v>
      </c>
      <c r="U1191" s="181">
        <v>0</v>
      </c>
      <c r="V1191" s="181">
        <v>0</v>
      </c>
    </row>
    <row r="1192" spans="1:22">
      <c r="A1192" s="2" t="s">
        <v>2402</v>
      </c>
      <c r="B1192" s="2" t="s">
        <v>2403</v>
      </c>
      <c r="C1192" s="181">
        <v>132.148608</v>
      </c>
      <c r="D1192" s="181">
        <v>16838.675999999999</v>
      </c>
      <c r="E1192" s="181">
        <v>152.39999999999998</v>
      </c>
      <c r="F1192" s="181">
        <v>0</v>
      </c>
      <c r="G1192" s="181">
        <v>0</v>
      </c>
      <c r="H1192" s="181">
        <v>0</v>
      </c>
      <c r="I1192" s="181">
        <v>25.4</v>
      </c>
      <c r="J1192" s="181">
        <v>0</v>
      </c>
      <c r="K1192" s="181">
        <v>0</v>
      </c>
      <c r="L1192" s="181">
        <v>0</v>
      </c>
      <c r="M1192" s="181">
        <v>32299558.626559995</v>
      </c>
      <c r="N1192" s="181">
        <v>530940.87359999993</v>
      </c>
      <c r="O1192" s="181">
        <v>291689.73920000001</v>
      </c>
      <c r="P1192" s="181">
        <v>43.687999999999995</v>
      </c>
      <c r="Q1192" s="181">
        <v>0</v>
      </c>
      <c r="R1192" s="181">
        <v>0</v>
      </c>
      <c r="S1192" s="181">
        <v>0</v>
      </c>
      <c r="T1192" s="181">
        <v>92.201999999999998</v>
      </c>
      <c r="U1192" s="181">
        <v>0</v>
      </c>
      <c r="V1192" s="181">
        <v>0</v>
      </c>
    </row>
    <row r="1193" spans="1:22">
      <c r="A1193" s="2" t="s">
        <v>2404</v>
      </c>
      <c r="B1193" s="2" t="s">
        <v>2405</v>
      </c>
      <c r="C1193" s="181">
        <v>132.148608</v>
      </c>
      <c r="D1193" s="181">
        <v>16838.675999999999</v>
      </c>
      <c r="E1193" s="181">
        <v>152.39999999999998</v>
      </c>
      <c r="F1193" s="181">
        <v>0</v>
      </c>
      <c r="G1193" s="181">
        <v>0</v>
      </c>
      <c r="H1193" s="181">
        <v>0</v>
      </c>
      <c r="I1193" s="181">
        <v>25.4</v>
      </c>
      <c r="J1193" s="181">
        <v>0</v>
      </c>
      <c r="K1193" s="181">
        <v>0</v>
      </c>
      <c r="L1193" s="181">
        <v>0</v>
      </c>
      <c r="M1193" s="181">
        <v>32299558.626559995</v>
      </c>
      <c r="N1193" s="181">
        <v>530940.87359999993</v>
      </c>
      <c r="O1193" s="181">
        <v>291689.73920000001</v>
      </c>
      <c r="P1193" s="181">
        <v>43.687999999999995</v>
      </c>
      <c r="Q1193" s="181">
        <v>0</v>
      </c>
      <c r="R1193" s="181">
        <v>0</v>
      </c>
      <c r="S1193" s="181">
        <v>0</v>
      </c>
      <c r="T1193" s="181">
        <v>95.757999999999996</v>
      </c>
      <c r="U1193" s="181">
        <v>0</v>
      </c>
      <c r="V1193" s="181">
        <v>0</v>
      </c>
    </row>
    <row r="1194" spans="1:22">
      <c r="A1194" s="2" t="s">
        <v>2406</v>
      </c>
      <c r="B1194" s="2" t="s">
        <v>2407</v>
      </c>
      <c r="C1194" s="181">
        <v>132.148608</v>
      </c>
      <c r="D1194" s="181">
        <v>16838.675999999999</v>
      </c>
      <c r="E1194" s="181">
        <v>152.39999999999998</v>
      </c>
      <c r="F1194" s="181">
        <v>0</v>
      </c>
      <c r="G1194" s="181">
        <v>0</v>
      </c>
      <c r="H1194" s="181">
        <v>0</v>
      </c>
      <c r="I1194" s="181">
        <v>25.4</v>
      </c>
      <c r="J1194" s="181">
        <v>0</v>
      </c>
      <c r="K1194" s="181">
        <v>0</v>
      </c>
      <c r="L1194" s="181">
        <v>0</v>
      </c>
      <c r="M1194" s="181">
        <v>32299558.626559995</v>
      </c>
      <c r="N1194" s="181">
        <v>530940.87359999993</v>
      </c>
      <c r="O1194" s="181">
        <v>291689.73920000001</v>
      </c>
      <c r="P1194" s="181">
        <v>43.687999999999995</v>
      </c>
      <c r="Q1194" s="181">
        <v>0</v>
      </c>
      <c r="R1194" s="181">
        <v>0</v>
      </c>
      <c r="S1194" s="181">
        <v>0</v>
      </c>
      <c r="T1194" s="181">
        <v>99.313999999999993</v>
      </c>
      <c r="U1194" s="181">
        <v>0</v>
      </c>
      <c r="V1194" s="181">
        <v>0</v>
      </c>
    </row>
    <row r="1195" spans="1:22">
      <c r="A1195" s="2" t="s">
        <v>2408</v>
      </c>
      <c r="B1195" s="2" t="s">
        <v>2409</v>
      </c>
      <c r="C1195" s="181">
        <v>116.82056</v>
      </c>
      <c r="D1195" s="181">
        <v>14903.196</v>
      </c>
      <c r="E1195" s="181">
        <v>152.39999999999998</v>
      </c>
      <c r="F1195" s="181">
        <v>0</v>
      </c>
      <c r="G1195" s="181">
        <v>0</v>
      </c>
      <c r="H1195" s="181">
        <v>0</v>
      </c>
      <c r="I1195" s="181">
        <v>22.224999999999998</v>
      </c>
      <c r="J1195" s="181">
        <v>0</v>
      </c>
      <c r="K1195" s="181">
        <v>0</v>
      </c>
      <c r="L1195" s="181">
        <v>0</v>
      </c>
      <c r="M1195" s="181">
        <v>29052953.506879997</v>
      </c>
      <c r="N1195" s="181">
        <v>470308.73679999996</v>
      </c>
      <c r="O1195" s="181">
        <v>260554.31759999998</v>
      </c>
      <c r="P1195" s="181">
        <v>44.195999999999998</v>
      </c>
      <c r="Q1195" s="181">
        <v>0</v>
      </c>
      <c r="R1195" s="181">
        <v>0</v>
      </c>
      <c r="S1195" s="181">
        <v>0</v>
      </c>
      <c r="T1195" s="181">
        <v>91.693999999999988</v>
      </c>
      <c r="U1195" s="181">
        <v>0</v>
      </c>
      <c r="V1195" s="181">
        <v>0</v>
      </c>
    </row>
    <row r="1196" spans="1:22">
      <c r="A1196" s="2" t="s">
        <v>2410</v>
      </c>
      <c r="B1196" s="2" t="s">
        <v>2411</v>
      </c>
      <c r="C1196" s="181">
        <v>116.82056</v>
      </c>
      <c r="D1196" s="181">
        <v>14903.196</v>
      </c>
      <c r="E1196" s="181">
        <v>152.39999999999998</v>
      </c>
      <c r="F1196" s="181">
        <v>0</v>
      </c>
      <c r="G1196" s="181">
        <v>0</v>
      </c>
      <c r="H1196" s="181">
        <v>0</v>
      </c>
      <c r="I1196" s="181">
        <v>22.224999999999998</v>
      </c>
      <c r="J1196" s="181">
        <v>0</v>
      </c>
      <c r="K1196" s="181">
        <v>0</v>
      </c>
      <c r="L1196" s="181">
        <v>0</v>
      </c>
      <c r="M1196" s="181">
        <v>29052953.506879997</v>
      </c>
      <c r="N1196" s="181">
        <v>470308.73679999996</v>
      </c>
      <c r="O1196" s="181">
        <v>260554.31759999998</v>
      </c>
      <c r="P1196" s="181">
        <v>44.195999999999998</v>
      </c>
      <c r="Q1196" s="181">
        <v>0</v>
      </c>
      <c r="R1196" s="181">
        <v>0</v>
      </c>
      <c r="S1196" s="181">
        <v>0</v>
      </c>
      <c r="T1196" s="181">
        <v>95.25</v>
      </c>
      <c r="U1196" s="181">
        <v>0</v>
      </c>
      <c r="V1196" s="181">
        <v>0</v>
      </c>
    </row>
    <row r="1197" spans="1:22">
      <c r="A1197" s="2" t="s">
        <v>2412</v>
      </c>
      <c r="B1197" s="2" t="s">
        <v>2413</v>
      </c>
      <c r="C1197" s="181">
        <v>116.82056</v>
      </c>
      <c r="D1197" s="181">
        <v>14903.196</v>
      </c>
      <c r="E1197" s="181">
        <v>152.39999999999998</v>
      </c>
      <c r="F1197" s="181">
        <v>0</v>
      </c>
      <c r="G1197" s="181">
        <v>0</v>
      </c>
      <c r="H1197" s="181">
        <v>0</v>
      </c>
      <c r="I1197" s="181">
        <v>22.224999999999998</v>
      </c>
      <c r="J1197" s="181">
        <v>0</v>
      </c>
      <c r="K1197" s="181">
        <v>0</v>
      </c>
      <c r="L1197" s="181">
        <v>0</v>
      </c>
      <c r="M1197" s="181">
        <v>29052953.506879997</v>
      </c>
      <c r="N1197" s="181">
        <v>470308.73679999996</v>
      </c>
      <c r="O1197" s="181">
        <v>260554.31759999998</v>
      </c>
      <c r="P1197" s="181">
        <v>44.195999999999998</v>
      </c>
      <c r="Q1197" s="181">
        <v>0</v>
      </c>
      <c r="R1197" s="181">
        <v>0</v>
      </c>
      <c r="S1197" s="181">
        <v>0</v>
      </c>
      <c r="T1197" s="181">
        <v>98.805999999999997</v>
      </c>
      <c r="U1197" s="181">
        <v>0</v>
      </c>
      <c r="V1197" s="181">
        <v>0</v>
      </c>
    </row>
    <row r="1198" spans="1:22">
      <c r="A1198" s="2" t="s">
        <v>2414</v>
      </c>
      <c r="B1198" s="2" t="s">
        <v>2415</v>
      </c>
      <c r="C1198" s="181">
        <v>101.19488</v>
      </c>
      <c r="D1198" s="181">
        <v>12903.199999999999</v>
      </c>
      <c r="E1198" s="181">
        <v>152.39999999999998</v>
      </c>
      <c r="F1198" s="181">
        <v>0</v>
      </c>
      <c r="G1198" s="181">
        <v>0</v>
      </c>
      <c r="H1198" s="181">
        <v>0</v>
      </c>
      <c r="I1198" s="181">
        <v>19.049999999999997</v>
      </c>
      <c r="J1198" s="181">
        <v>0</v>
      </c>
      <c r="K1198" s="181">
        <v>0</v>
      </c>
      <c r="L1198" s="181">
        <v>0</v>
      </c>
      <c r="M1198" s="181">
        <v>25598232.674399998</v>
      </c>
      <c r="N1198" s="181">
        <v>408037.89359999995</v>
      </c>
      <c r="O1198" s="181">
        <v>226141.48319999999</v>
      </c>
      <c r="P1198" s="181">
        <v>44.449999999999996</v>
      </c>
      <c r="Q1198" s="181">
        <v>0</v>
      </c>
      <c r="R1198" s="181">
        <v>0</v>
      </c>
      <c r="S1198" s="181">
        <v>0</v>
      </c>
      <c r="T1198" s="181">
        <v>91.185999999999993</v>
      </c>
      <c r="U1198" s="181">
        <v>0</v>
      </c>
      <c r="V1198" s="181">
        <v>0</v>
      </c>
    </row>
    <row r="1199" spans="1:22">
      <c r="A1199" s="2" t="s">
        <v>2416</v>
      </c>
      <c r="B1199" s="2" t="s">
        <v>2417</v>
      </c>
      <c r="C1199" s="181">
        <v>101.19488</v>
      </c>
      <c r="D1199" s="181">
        <v>12903.199999999999</v>
      </c>
      <c r="E1199" s="181">
        <v>152.39999999999998</v>
      </c>
      <c r="F1199" s="181">
        <v>0</v>
      </c>
      <c r="G1199" s="181">
        <v>0</v>
      </c>
      <c r="H1199" s="181">
        <v>0</v>
      </c>
      <c r="I1199" s="181">
        <v>19.049999999999997</v>
      </c>
      <c r="J1199" s="181">
        <v>0</v>
      </c>
      <c r="K1199" s="181">
        <v>0</v>
      </c>
      <c r="L1199" s="181">
        <v>0</v>
      </c>
      <c r="M1199" s="181">
        <v>25598232.674399998</v>
      </c>
      <c r="N1199" s="181">
        <v>408037.89359999995</v>
      </c>
      <c r="O1199" s="181">
        <v>226141.48319999999</v>
      </c>
      <c r="P1199" s="181">
        <v>44.449999999999996</v>
      </c>
      <c r="Q1199" s="181">
        <v>0</v>
      </c>
      <c r="R1199" s="181">
        <v>0</v>
      </c>
      <c r="S1199" s="181">
        <v>0</v>
      </c>
      <c r="T1199" s="181">
        <v>94.488</v>
      </c>
      <c r="U1199" s="181">
        <v>0</v>
      </c>
      <c r="V1199" s="181">
        <v>0</v>
      </c>
    </row>
    <row r="1200" spans="1:22">
      <c r="A1200" s="2" t="s">
        <v>2418</v>
      </c>
      <c r="B1200" s="2" t="s">
        <v>2419</v>
      </c>
      <c r="C1200" s="181">
        <v>101.19488</v>
      </c>
      <c r="D1200" s="181">
        <v>12903.199999999999</v>
      </c>
      <c r="E1200" s="181">
        <v>152.39999999999998</v>
      </c>
      <c r="F1200" s="181">
        <v>0</v>
      </c>
      <c r="G1200" s="181">
        <v>0</v>
      </c>
      <c r="H1200" s="181">
        <v>0</v>
      </c>
      <c r="I1200" s="181">
        <v>19.049999999999997</v>
      </c>
      <c r="J1200" s="181">
        <v>0</v>
      </c>
      <c r="K1200" s="181">
        <v>0</v>
      </c>
      <c r="L1200" s="181">
        <v>0</v>
      </c>
      <c r="M1200" s="181">
        <v>25598232.674399998</v>
      </c>
      <c r="N1200" s="181">
        <v>408037.89359999995</v>
      </c>
      <c r="O1200" s="181">
        <v>226141.48319999999</v>
      </c>
      <c r="P1200" s="181">
        <v>44.449999999999996</v>
      </c>
      <c r="Q1200" s="181">
        <v>0</v>
      </c>
      <c r="R1200" s="181">
        <v>0</v>
      </c>
      <c r="S1200" s="181">
        <v>0</v>
      </c>
      <c r="T1200" s="181">
        <v>98.043999999999997</v>
      </c>
      <c r="U1200" s="181">
        <v>0</v>
      </c>
      <c r="V1200" s="181">
        <v>0</v>
      </c>
    </row>
    <row r="1201" spans="1:22">
      <c r="A1201" s="2" t="s">
        <v>2420</v>
      </c>
      <c r="B1201" s="2" t="s">
        <v>2421</v>
      </c>
      <c r="C1201" s="181">
        <v>85.271567999999988</v>
      </c>
      <c r="D1201" s="181">
        <v>10838.688</v>
      </c>
      <c r="E1201" s="181">
        <v>152.39999999999998</v>
      </c>
      <c r="F1201" s="181">
        <v>0</v>
      </c>
      <c r="G1201" s="181">
        <v>0</v>
      </c>
      <c r="H1201" s="181">
        <v>0</v>
      </c>
      <c r="I1201" s="181">
        <v>15.875</v>
      </c>
      <c r="J1201" s="181">
        <v>0</v>
      </c>
      <c r="K1201" s="181">
        <v>0</v>
      </c>
      <c r="L1201" s="181">
        <v>0</v>
      </c>
      <c r="M1201" s="181">
        <v>21977019.271679997</v>
      </c>
      <c r="N1201" s="181">
        <v>344128.34399999998</v>
      </c>
      <c r="O1201" s="181">
        <v>193367.35519999999</v>
      </c>
      <c r="P1201" s="181">
        <v>44.957999999999998</v>
      </c>
      <c r="Q1201" s="181">
        <v>0</v>
      </c>
      <c r="R1201" s="181">
        <v>0</v>
      </c>
      <c r="S1201" s="181">
        <v>0</v>
      </c>
      <c r="T1201" s="181">
        <v>90.677999999999997</v>
      </c>
      <c r="U1201" s="181">
        <v>0</v>
      </c>
      <c r="V1201" s="181">
        <v>0</v>
      </c>
    </row>
    <row r="1202" spans="1:22">
      <c r="A1202" s="2" t="s">
        <v>2422</v>
      </c>
      <c r="B1202" s="2" t="s">
        <v>2423</v>
      </c>
      <c r="C1202" s="181">
        <v>85.271567999999988</v>
      </c>
      <c r="D1202" s="181">
        <v>10838.688</v>
      </c>
      <c r="E1202" s="181">
        <v>152.39999999999998</v>
      </c>
      <c r="F1202" s="181">
        <v>0</v>
      </c>
      <c r="G1202" s="181">
        <v>0</v>
      </c>
      <c r="H1202" s="181">
        <v>0</v>
      </c>
      <c r="I1202" s="181">
        <v>15.875</v>
      </c>
      <c r="J1202" s="181">
        <v>0</v>
      </c>
      <c r="K1202" s="181">
        <v>0</v>
      </c>
      <c r="L1202" s="181">
        <v>0</v>
      </c>
      <c r="M1202" s="181">
        <v>21977019.271679997</v>
      </c>
      <c r="N1202" s="181">
        <v>344128.34399999998</v>
      </c>
      <c r="O1202" s="181">
        <v>193367.35519999999</v>
      </c>
      <c r="P1202" s="181">
        <v>44.957999999999998</v>
      </c>
      <c r="Q1202" s="181">
        <v>0</v>
      </c>
      <c r="R1202" s="181">
        <v>0</v>
      </c>
      <c r="S1202" s="181">
        <v>0</v>
      </c>
      <c r="T1202" s="181">
        <v>93.98</v>
      </c>
      <c r="U1202" s="181">
        <v>0</v>
      </c>
      <c r="V1202" s="181">
        <v>0</v>
      </c>
    </row>
    <row r="1203" spans="1:22">
      <c r="A1203" s="2" t="s">
        <v>2424</v>
      </c>
      <c r="B1203" s="2" t="s">
        <v>2425</v>
      </c>
      <c r="C1203" s="181">
        <v>85.271567999999988</v>
      </c>
      <c r="D1203" s="181">
        <v>10838.688</v>
      </c>
      <c r="E1203" s="181">
        <v>152.39999999999998</v>
      </c>
      <c r="F1203" s="181">
        <v>0</v>
      </c>
      <c r="G1203" s="181">
        <v>0</v>
      </c>
      <c r="H1203" s="181">
        <v>0</v>
      </c>
      <c r="I1203" s="181">
        <v>15.875</v>
      </c>
      <c r="J1203" s="181">
        <v>0</v>
      </c>
      <c r="K1203" s="181">
        <v>0</v>
      </c>
      <c r="L1203" s="181">
        <v>0</v>
      </c>
      <c r="M1203" s="181">
        <v>21977019.271679997</v>
      </c>
      <c r="N1203" s="181">
        <v>344128.34399999998</v>
      </c>
      <c r="O1203" s="181">
        <v>193367.35519999999</v>
      </c>
      <c r="P1203" s="181">
        <v>44.957999999999998</v>
      </c>
      <c r="Q1203" s="181">
        <v>0</v>
      </c>
      <c r="R1203" s="181">
        <v>0</v>
      </c>
      <c r="S1203" s="181">
        <v>0</v>
      </c>
      <c r="T1203" s="181">
        <v>97.535999999999987</v>
      </c>
      <c r="U1203" s="181">
        <v>0</v>
      </c>
      <c r="V1203" s="181">
        <v>0</v>
      </c>
    </row>
    <row r="1204" spans="1:22">
      <c r="A1204" s="2" t="s">
        <v>2426</v>
      </c>
      <c r="B1204" s="2" t="s">
        <v>2427</v>
      </c>
      <c r="C1204" s="181">
        <v>77.086687999999995</v>
      </c>
      <c r="D1204" s="181">
        <v>9806.4319999999989</v>
      </c>
      <c r="E1204" s="181">
        <v>152.39999999999998</v>
      </c>
      <c r="F1204" s="181">
        <v>0</v>
      </c>
      <c r="G1204" s="181">
        <v>0</v>
      </c>
      <c r="H1204" s="181">
        <v>0</v>
      </c>
      <c r="I1204" s="181">
        <v>14.2875</v>
      </c>
      <c r="J1204" s="181">
        <v>0</v>
      </c>
      <c r="K1204" s="181">
        <v>0</v>
      </c>
      <c r="L1204" s="181">
        <v>0</v>
      </c>
      <c r="M1204" s="181">
        <v>20062354.713920001</v>
      </c>
      <c r="N1204" s="181">
        <v>311354.21599999996</v>
      </c>
      <c r="O1204" s="181">
        <v>175341.58479999998</v>
      </c>
      <c r="P1204" s="181">
        <v>45.211999999999996</v>
      </c>
      <c r="Q1204" s="181">
        <v>0</v>
      </c>
      <c r="R1204" s="181">
        <v>0</v>
      </c>
      <c r="S1204" s="181">
        <v>0</v>
      </c>
      <c r="T1204" s="181">
        <v>90.169999999999987</v>
      </c>
      <c r="U1204" s="181">
        <v>0</v>
      </c>
      <c r="V1204" s="181">
        <v>0</v>
      </c>
    </row>
    <row r="1205" spans="1:22">
      <c r="A1205" s="2" t="s">
        <v>2428</v>
      </c>
      <c r="B1205" s="2" t="s">
        <v>2429</v>
      </c>
      <c r="C1205" s="181">
        <v>77.086687999999995</v>
      </c>
      <c r="D1205" s="181">
        <v>9806.4319999999989</v>
      </c>
      <c r="E1205" s="181">
        <v>152.39999999999998</v>
      </c>
      <c r="F1205" s="181">
        <v>0</v>
      </c>
      <c r="G1205" s="181">
        <v>0</v>
      </c>
      <c r="H1205" s="181">
        <v>0</v>
      </c>
      <c r="I1205" s="181">
        <v>14.2875</v>
      </c>
      <c r="J1205" s="181">
        <v>0</v>
      </c>
      <c r="K1205" s="181">
        <v>0</v>
      </c>
      <c r="L1205" s="181">
        <v>0</v>
      </c>
      <c r="M1205" s="181">
        <v>20062354.713920001</v>
      </c>
      <c r="N1205" s="181">
        <v>311354.21599999996</v>
      </c>
      <c r="O1205" s="181">
        <v>175341.58479999998</v>
      </c>
      <c r="P1205" s="181">
        <v>45.211999999999996</v>
      </c>
      <c r="Q1205" s="181">
        <v>0</v>
      </c>
      <c r="R1205" s="181">
        <v>0</v>
      </c>
      <c r="S1205" s="181">
        <v>0</v>
      </c>
      <c r="T1205" s="181">
        <v>93.725999999999999</v>
      </c>
      <c r="U1205" s="181">
        <v>0</v>
      </c>
      <c r="V1205" s="181">
        <v>0</v>
      </c>
    </row>
    <row r="1206" spans="1:22">
      <c r="A1206" s="2" t="s">
        <v>2430</v>
      </c>
      <c r="B1206" s="2" t="s">
        <v>2431</v>
      </c>
      <c r="C1206" s="181">
        <v>77.086687999999995</v>
      </c>
      <c r="D1206" s="181">
        <v>9806.4319999999989</v>
      </c>
      <c r="E1206" s="181">
        <v>152.39999999999998</v>
      </c>
      <c r="F1206" s="181">
        <v>0</v>
      </c>
      <c r="G1206" s="181">
        <v>0</v>
      </c>
      <c r="H1206" s="181">
        <v>0</v>
      </c>
      <c r="I1206" s="181">
        <v>14.2875</v>
      </c>
      <c r="J1206" s="181">
        <v>0</v>
      </c>
      <c r="K1206" s="181">
        <v>0</v>
      </c>
      <c r="L1206" s="181">
        <v>0</v>
      </c>
      <c r="M1206" s="181">
        <v>20062354.713920001</v>
      </c>
      <c r="N1206" s="181">
        <v>311354.21599999996</v>
      </c>
      <c r="O1206" s="181">
        <v>175341.58479999998</v>
      </c>
      <c r="P1206" s="181">
        <v>45.211999999999996</v>
      </c>
      <c r="Q1206" s="181">
        <v>0</v>
      </c>
      <c r="R1206" s="181">
        <v>0</v>
      </c>
      <c r="S1206" s="181">
        <v>0</v>
      </c>
      <c r="T1206" s="181">
        <v>97.281999999999996</v>
      </c>
      <c r="U1206" s="181">
        <v>0</v>
      </c>
      <c r="V1206" s="181">
        <v>0</v>
      </c>
    </row>
    <row r="1207" spans="1:22">
      <c r="A1207" s="2" t="s">
        <v>2432</v>
      </c>
      <c r="B1207" s="2" t="s">
        <v>2433</v>
      </c>
      <c r="C1207" s="181">
        <v>68.901807999999988</v>
      </c>
      <c r="D1207" s="181">
        <v>8774.1759999999995</v>
      </c>
      <c r="E1207" s="181">
        <v>152.39999999999998</v>
      </c>
      <c r="F1207" s="181">
        <v>0</v>
      </c>
      <c r="G1207" s="181">
        <v>0</v>
      </c>
      <c r="H1207" s="181">
        <v>0</v>
      </c>
      <c r="I1207" s="181">
        <v>12.7</v>
      </c>
      <c r="J1207" s="181">
        <v>0</v>
      </c>
      <c r="K1207" s="181">
        <v>0</v>
      </c>
      <c r="L1207" s="181">
        <v>0</v>
      </c>
      <c r="M1207" s="181">
        <v>18106067.013599999</v>
      </c>
      <c r="N1207" s="181">
        <v>278580.08799999999</v>
      </c>
      <c r="O1207" s="181">
        <v>156988.07311999999</v>
      </c>
      <c r="P1207" s="181">
        <v>45.466000000000001</v>
      </c>
      <c r="Q1207" s="181">
        <v>0</v>
      </c>
      <c r="R1207" s="181">
        <v>0</v>
      </c>
      <c r="S1207" s="181">
        <v>0</v>
      </c>
      <c r="T1207" s="181">
        <v>89.915999999999997</v>
      </c>
      <c r="U1207" s="181">
        <v>0</v>
      </c>
      <c r="V1207" s="181">
        <v>0</v>
      </c>
    </row>
    <row r="1208" spans="1:22">
      <c r="A1208" s="2" t="s">
        <v>2434</v>
      </c>
      <c r="B1208" s="2" t="s">
        <v>2435</v>
      </c>
      <c r="C1208" s="181">
        <v>68.901807999999988</v>
      </c>
      <c r="D1208" s="181">
        <v>8774.1759999999995</v>
      </c>
      <c r="E1208" s="181">
        <v>152.39999999999998</v>
      </c>
      <c r="F1208" s="181">
        <v>0</v>
      </c>
      <c r="G1208" s="181">
        <v>0</v>
      </c>
      <c r="H1208" s="181">
        <v>0</v>
      </c>
      <c r="I1208" s="181">
        <v>12.7</v>
      </c>
      <c r="J1208" s="181">
        <v>0</v>
      </c>
      <c r="K1208" s="181">
        <v>0</v>
      </c>
      <c r="L1208" s="181">
        <v>0</v>
      </c>
      <c r="M1208" s="181">
        <v>18106067.013599999</v>
      </c>
      <c r="N1208" s="181">
        <v>278580.08799999999</v>
      </c>
      <c r="O1208" s="181">
        <v>156988.07311999999</v>
      </c>
      <c r="P1208" s="181">
        <v>45.466000000000001</v>
      </c>
      <c r="Q1208" s="181">
        <v>0</v>
      </c>
      <c r="R1208" s="181">
        <v>0</v>
      </c>
      <c r="S1208" s="181">
        <v>0</v>
      </c>
      <c r="T1208" s="181">
        <v>93.471999999999994</v>
      </c>
      <c r="U1208" s="181">
        <v>0</v>
      </c>
      <c r="V1208" s="181">
        <v>0</v>
      </c>
    </row>
    <row r="1209" spans="1:22">
      <c r="A1209" s="2" t="s">
        <v>2436</v>
      </c>
      <c r="B1209" s="2" t="s">
        <v>2437</v>
      </c>
      <c r="C1209" s="181">
        <v>68.901807999999988</v>
      </c>
      <c r="D1209" s="181">
        <v>8774.1759999999995</v>
      </c>
      <c r="E1209" s="181">
        <v>152.39999999999998</v>
      </c>
      <c r="F1209" s="181">
        <v>0</v>
      </c>
      <c r="G1209" s="181">
        <v>0</v>
      </c>
      <c r="H1209" s="181">
        <v>0</v>
      </c>
      <c r="I1209" s="181">
        <v>12.7</v>
      </c>
      <c r="J1209" s="181">
        <v>0</v>
      </c>
      <c r="K1209" s="181">
        <v>0</v>
      </c>
      <c r="L1209" s="181">
        <v>0</v>
      </c>
      <c r="M1209" s="181">
        <v>18106067.013599999</v>
      </c>
      <c r="N1209" s="181">
        <v>278580.08799999999</v>
      </c>
      <c r="O1209" s="181">
        <v>156988.07311999999</v>
      </c>
      <c r="P1209" s="181">
        <v>45.466000000000001</v>
      </c>
      <c r="Q1209" s="181">
        <v>0</v>
      </c>
      <c r="R1209" s="181">
        <v>0</v>
      </c>
      <c r="S1209" s="181">
        <v>0</v>
      </c>
      <c r="T1209" s="181">
        <v>96.774000000000001</v>
      </c>
      <c r="U1209" s="181">
        <v>0</v>
      </c>
      <c r="V1209" s="181">
        <v>0</v>
      </c>
    </row>
    <row r="1210" spans="1:22">
      <c r="A1210" s="2" t="s">
        <v>2438</v>
      </c>
      <c r="B1210" s="2" t="s">
        <v>2439</v>
      </c>
      <c r="C1210" s="181">
        <v>60.568111999999999</v>
      </c>
      <c r="D1210" s="181">
        <v>7741.92</v>
      </c>
      <c r="E1210" s="181">
        <v>152.39999999999998</v>
      </c>
      <c r="F1210" s="181">
        <v>0</v>
      </c>
      <c r="G1210" s="181">
        <v>0</v>
      </c>
      <c r="H1210" s="181">
        <v>0</v>
      </c>
      <c r="I1210" s="181">
        <v>11.112499999999999</v>
      </c>
      <c r="J1210" s="181">
        <v>0</v>
      </c>
      <c r="K1210" s="181">
        <v>0</v>
      </c>
      <c r="L1210" s="181">
        <v>0</v>
      </c>
      <c r="M1210" s="181">
        <v>16066533.028159998</v>
      </c>
      <c r="N1210" s="181">
        <v>245805.95999999996</v>
      </c>
      <c r="O1210" s="181">
        <v>138634.56143999999</v>
      </c>
      <c r="P1210" s="181">
        <v>45.72</v>
      </c>
      <c r="Q1210" s="181">
        <v>0</v>
      </c>
      <c r="R1210" s="181">
        <v>0</v>
      </c>
      <c r="S1210" s="181">
        <v>0</v>
      </c>
      <c r="T1210" s="181">
        <v>89.661999999999992</v>
      </c>
      <c r="U1210" s="181">
        <v>0</v>
      </c>
      <c r="V1210" s="181">
        <v>0</v>
      </c>
    </row>
    <row r="1211" spans="1:22">
      <c r="A1211" s="2" t="s">
        <v>2440</v>
      </c>
      <c r="B1211" s="2" t="s">
        <v>2441</v>
      </c>
      <c r="C1211" s="181">
        <v>60.568111999999999</v>
      </c>
      <c r="D1211" s="181">
        <v>7741.92</v>
      </c>
      <c r="E1211" s="181">
        <v>152.39999999999998</v>
      </c>
      <c r="F1211" s="181">
        <v>0</v>
      </c>
      <c r="G1211" s="181">
        <v>0</v>
      </c>
      <c r="H1211" s="181">
        <v>0</v>
      </c>
      <c r="I1211" s="181">
        <v>11.112499999999999</v>
      </c>
      <c r="J1211" s="181">
        <v>0</v>
      </c>
      <c r="K1211" s="181">
        <v>0</v>
      </c>
      <c r="L1211" s="181">
        <v>0</v>
      </c>
      <c r="M1211" s="181">
        <v>16066533.028159998</v>
      </c>
      <c r="N1211" s="181">
        <v>245805.95999999996</v>
      </c>
      <c r="O1211" s="181">
        <v>138634.56143999999</v>
      </c>
      <c r="P1211" s="181">
        <v>45.72</v>
      </c>
      <c r="Q1211" s="181">
        <v>0</v>
      </c>
      <c r="R1211" s="181">
        <v>0</v>
      </c>
      <c r="S1211" s="181">
        <v>0</v>
      </c>
      <c r="T1211" s="181">
        <v>92.963999999999999</v>
      </c>
      <c r="U1211" s="181">
        <v>0</v>
      </c>
      <c r="V1211" s="181">
        <v>0</v>
      </c>
    </row>
    <row r="1212" spans="1:22">
      <c r="A1212" s="2" t="s">
        <v>2442</v>
      </c>
      <c r="B1212" s="2" t="s">
        <v>2443</v>
      </c>
      <c r="C1212" s="181">
        <v>60.568111999999999</v>
      </c>
      <c r="D1212" s="181">
        <v>7741.92</v>
      </c>
      <c r="E1212" s="181">
        <v>152.39999999999998</v>
      </c>
      <c r="F1212" s="181">
        <v>0</v>
      </c>
      <c r="G1212" s="181">
        <v>0</v>
      </c>
      <c r="H1212" s="181">
        <v>0</v>
      </c>
      <c r="I1212" s="181">
        <v>11.112499999999999</v>
      </c>
      <c r="J1212" s="181">
        <v>0</v>
      </c>
      <c r="K1212" s="181">
        <v>0</v>
      </c>
      <c r="L1212" s="181">
        <v>0</v>
      </c>
      <c r="M1212" s="181">
        <v>16066533.028159998</v>
      </c>
      <c r="N1212" s="181">
        <v>245805.95999999996</v>
      </c>
      <c r="O1212" s="181">
        <v>138634.56143999999</v>
      </c>
      <c r="P1212" s="181">
        <v>45.72</v>
      </c>
      <c r="Q1212" s="181">
        <v>0</v>
      </c>
      <c r="R1212" s="181">
        <v>0</v>
      </c>
      <c r="S1212" s="181">
        <v>0</v>
      </c>
      <c r="T1212" s="181">
        <v>96.52</v>
      </c>
      <c r="U1212" s="181">
        <v>0</v>
      </c>
      <c r="V1212" s="181">
        <v>0</v>
      </c>
    </row>
    <row r="1213" spans="1:22">
      <c r="A1213" s="2" t="s">
        <v>2444</v>
      </c>
      <c r="B1213" s="2" t="s">
        <v>2445</v>
      </c>
      <c r="C1213" s="181">
        <v>111.909632</v>
      </c>
      <c r="D1213" s="181">
        <v>14258.036</v>
      </c>
      <c r="E1213" s="181">
        <v>101.6</v>
      </c>
      <c r="F1213" s="181">
        <v>0</v>
      </c>
      <c r="G1213" s="181">
        <v>0</v>
      </c>
      <c r="H1213" s="181">
        <v>0</v>
      </c>
      <c r="I1213" s="181">
        <v>25.4</v>
      </c>
      <c r="J1213" s="181">
        <v>0</v>
      </c>
      <c r="K1213" s="181">
        <v>0</v>
      </c>
      <c r="L1213" s="181">
        <v>0</v>
      </c>
      <c r="M1213" s="181">
        <v>9698192.2164799999</v>
      </c>
      <c r="N1213" s="181">
        <v>253999.49199999997</v>
      </c>
      <c r="O1213" s="181">
        <v>128966.19368</v>
      </c>
      <c r="P1213" s="181">
        <v>26.161999999999999</v>
      </c>
      <c r="Q1213" s="181">
        <v>0</v>
      </c>
      <c r="R1213" s="181">
        <v>0</v>
      </c>
      <c r="S1213" s="181">
        <v>0</v>
      </c>
      <c r="T1213" s="181">
        <v>100.07599999999999</v>
      </c>
      <c r="U1213" s="181">
        <v>0</v>
      </c>
      <c r="V1213" s="181">
        <v>0</v>
      </c>
    </row>
    <row r="1214" spans="1:22">
      <c r="A1214" s="2" t="s">
        <v>2446</v>
      </c>
      <c r="B1214" s="2" t="s">
        <v>2447</v>
      </c>
      <c r="C1214" s="181">
        <v>111.909632</v>
      </c>
      <c r="D1214" s="181">
        <v>14258.036</v>
      </c>
      <c r="E1214" s="181">
        <v>101.6</v>
      </c>
      <c r="F1214" s="181">
        <v>0</v>
      </c>
      <c r="G1214" s="181">
        <v>0</v>
      </c>
      <c r="H1214" s="181">
        <v>0</v>
      </c>
      <c r="I1214" s="181">
        <v>25.4</v>
      </c>
      <c r="J1214" s="181">
        <v>0</v>
      </c>
      <c r="K1214" s="181">
        <v>0</v>
      </c>
      <c r="L1214" s="181">
        <v>0</v>
      </c>
      <c r="M1214" s="181">
        <v>9698192.2164799999</v>
      </c>
      <c r="N1214" s="181">
        <v>253999.49199999997</v>
      </c>
      <c r="O1214" s="181">
        <v>128966.19368</v>
      </c>
      <c r="P1214" s="181">
        <v>26.161999999999999</v>
      </c>
      <c r="Q1214" s="181">
        <v>0</v>
      </c>
      <c r="R1214" s="181">
        <v>0</v>
      </c>
      <c r="S1214" s="181">
        <v>0</v>
      </c>
      <c r="T1214" s="181">
        <v>103.63199999999999</v>
      </c>
      <c r="U1214" s="181">
        <v>0</v>
      </c>
      <c r="V1214" s="181">
        <v>0</v>
      </c>
    </row>
    <row r="1215" spans="1:22">
      <c r="A1215" s="2" t="s">
        <v>2448</v>
      </c>
      <c r="B1215" s="2" t="s">
        <v>2449</v>
      </c>
      <c r="C1215" s="181">
        <v>111.909632</v>
      </c>
      <c r="D1215" s="181">
        <v>14258.036</v>
      </c>
      <c r="E1215" s="181">
        <v>101.6</v>
      </c>
      <c r="F1215" s="181">
        <v>0</v>
      </c>
      <c r="G1215" s="181">
        <v>0</v>
      </c>
      <c r="H1215" s="181">
        <v>0</v>
      </c>
      <c r="I1215" s="181">
        <v>25.4</v>
      </c>
      <c r="J1215" s="181">
        <v>0</v>
      </c>
      <c r="K1215" s="181">
        <v>0</v>
      </c>
      <c r="L1215" s="181">
        <v>0</v>
      </c>
      <c r="M1215" s="181">
        <v>9698192.2164799999</v>
      </c>
      <c r="N1215" s="181">
        <v>253999.49199999997</v>
      </c>
      <c r="O1215" s="181">
        <v>128966.19368</v>
      </c>
      <c r="P1215" s="181">
        <v>26.161999999999999</v>
      </c>
      <c r="Q1215" s="181">
        <v>0</v>
      </c>
      <c r="R1215" s="181">
        <v>0</v>
      </c>
      <c r="S1215" s="181">
        <v>0</v>
      </c>
      <c r="T1215" s="181">
        <v>107.44200000000001</v>
      </c>
      <c r="U1215" s="181">
        <v>0</v>
      </c>
      <c r="V1215" s="181">
        <v>0</v>
      </c>
    </row>
    <row r="1216" spans="1:22">
      <c r="A1216" s="2" t="s">
        <v>2450</v>
      </c>
      <c r="B1216" s="2" t="s">
        <v>2451</v>
      </c>
      <c r="C1216" s="181">
        <v>99.11145599999999</v>
      </c>
      <c r="D1216" s="181">
        <v>12645.136</v>
      </c>
      <c r="E1216" s="181">
        <v>101.6</v>
      </c>
      <c r="F1216" s="181">
        <v>0</v>
      </c>
      <c r="G1216" s="181">
        <v>0</v>
      </c>
      <c r="H1216" s="181">
        <v>0</v>
      </c>
      <c r="I1216" s="181">
        <v>22.224999999999998</v>
      </c>
      <c r="J1216" s="181">
        <v>0</v>
      </c>
      <c r="K1216" s="181">
        <v>0</v>
      </c>
      <c r="L1216" s="181">
        <v>0</v>
      </c>
      <c r="M1216" s="181">
        <v>8782483.0801599994</v>
      </c>
      <c r="N1216" s="181">
        <v>221225.36399999997</v>
      </c>
      <c r="O1216" s="181">
        <v>115037.18927999998</v>
      </c>
      <c r="P1216" s="181">
        <v>26.416</v>
      </c>
      <c r="Q1216" s="181">
        <v>0</v>
      </c>
      <c r="R1216" s="181">
        <v>0</v>
      </c>
      <c r="S1216" s="181">
        <v>0</v>
      </c>
      <c r="T1216" s="181">
        <v>99.313999999999993</v>
      </c>
      <c r="U1216" s="181">
        <v>0</v>
      </c>
      <c r="V1216" s="181">
        <v>0</v>
      </c>
    </row>
    <row r="1217" spans="1:22">
      <c r="A1217" s="2" t="s">
        <v>2452</v>
      </c>
      <c r="B1217" s="2" t="s">
        <v>2453</v>
      </c>
      <c r="C1217" s="181">
        <v>99.11145599999999</v>
      </c>
      <c r="D1217" s="181">
        <v>12645.136</v>
      </c>
      <c r="E1217" s="181">
        <v>101.6</v>
      </c>
      <c r="F1217" s="181">
        <v>0</v>
      </c>
      <c r="G1217" s="181">
        <v>0</v>
      </c>
      <c r="H1217" s="181">
        <v>0</v>
      </c>
      <c r="I1217" s="181">
        <v>22.224999999999998</v>
      </c>
      <c r="J1217" s="181">
        <v>0</v>
      </c>
      <c r="K1217" s="181">
        <v>0</v>
      </c>
      <c r="L1217" s="181">
        <v>0</v>
      </c>
      <c r="M1217" s="181">
        <v>8782483.0801599994</v>
      </c>
      <c r="N1217" s="181">
        <v>221225.36399999997</v>
      </c>
      <c r="O1217" s="181">
        <v>115037.18927999998</v>
      </c>
      <c r="P1217" s="181">
        <v>26.416</v>
      </c>
      <c r="Q1217" s="181">
        <v>0</v>
      </c>
      <c r="R1217" s="181">
        <v>0</v>
      </c>
      <c r="S1217" s="181">
        <v>0</v>
      </c>
      <c r="T1217" s="181">
        <v>103.12399999999998</v>
      </c>
      <c r="U1217" s="181">
        <v>0</v>
      </c>
      <c r="V1217" s="181">
        <v>0</v>
      </c>
    </row>
    <row r="1218" spans="1:22">
      <c r="A1218" s="2" t="s">
        <v>2454</v>
      </c>
      <c r="B1218" s="2" t="s">
        <v>2455</v>
      </c>
      <c r="C1218" s="181">
        <v>99.11145599999999</v>
      </c>
      <c r="D1218" s="181">
        <v>12645.136</v>
      </c>
      <c r="E1218" s="181">
        <v>101.6</v>
      </c>
      <c r="F1218" s="181">
        <v>0</v>
      </c>
      <c r="G1218" s="181">
        <v>0</v>
      </c>
      <c r="H1218" s="181">
        <v>0</v>
      </c>
      <c r="I1218" s="181">
        <v>22.224999999999998</v>
      </c>
      <c r="J1218" s="181">
        <v>0</v>
      </c>
      <c r="K1218" s="181">
        <v>0</v>
      </c>
      <c r="L1218" s="181">
        <v>0</v>
      </c>
      <c r="M1218" s="181">
        <v>8782483.0801599994</v>
      </c>
      <c r="N1218" s="181">
        <v>221225.36399999997</v>
      </c>
      <c r="O1218" s="181">
        <v>115037.18927999998</v>
      </c>
      <c r="P1218" s="181">
        <v>26.416</v>
      </c>
      <c r="Q1218" s="181">
        <v>0</v>
      </c>
      <c r="R1218" s="181">
        <v>0</v>
      </c>
      <c r="S1218" s="181">
        <v>0</v>
      </c>
      <c r="T1218" s="181">
        <v>106.934</v>
      </c>
      <c r="U1218" s="181">
        <v>0</v>
      </c>
      <c r="V1218" s="181">
        <v>0</v>
      </c>
    </row>
    <row r="1219" spans="1:22">
      <c r="A1219" s="2" t="s">
        <v>2456</v>
      </c>
      <c r="B1219" s="2" t="s">
        <v>2457</v>
      </c>
      <c r="C1219" s="181">
        <v>86.015647999999985</v>
      </c>
      <c r="D1219" s="181">
        <v>10967.72</v>
      </c>
      <c r="E1219" s="181">
        <v>101.6</v>
      </c>
      <c r="F1219" s="181">
        <v>0</v>
      </c>
      <c r="G1219" s="181">
        <v>0</v>
      </c>
      <c r="H1219" s="181">
        <v>0</v>
      </c>
      <c r="I1219" s="181">
        <v>19.049999999999997</v>
      </c>
      <c r="J1219" s="181">
        <v>0</v>
      </c>
      <c r="K1219" s="181">
        <v>0</v>
      </c>
      <c r="L1219" s="181">
        <v>0</v>
      </c>
      <c r="M1219" s="181">
        <v>7783527.6587199988</v>
      </c>
      <c r="N1219" s="181">
        <v>190089.94239999997</v>
      </c>
      <c r="O1219" s="181">
        <v>100616.57295999999</v>
      </c>
      <c r="P1219" s="181">
        <v>26.669999999999998</v>
      </c>
      <c r="Q1219" s="181">
        <v>0</v>
      </c>
      <c r="R1219" s="181">
        <v>0</v>
      </c>
      <c r="S1219" s="181">
        <v>0</v>
      </c>
      <c r="T1219" s="181">
        <v>98.805999999999997</v>
      </c>
      <c r="U1219" s="181">
        <v>0</v>
      </c>
      <c r="V1219" s="181">
        <v>0</v>
      </c>
    </row>
    <row r="1220" spans="1:22">
      <c r="A1220" s="2" t="s">
        <v>2458</v>
      </c>
      <c r="B1220" s="2" t="s">
        <v>2459</v>
      </c>
      <c r="C1220" s="181">
        <v>86.015647999999985</v>
      </c>
      <c r="D1220" s="181">
        <v>10967.72</v>
      </c>
      <c r="E1220" s="181">
        <v>101.6</v>
      </c>
      <c r="F1220" s="181">
        <v>0</v>
      </c>
      <c r="G1220" s="181">
        <v>0</v>
      </c>
      <c r="H1220" s="181">
        <v>0</v>
      </c>
      <c r="I1220" s="181">
        <v>19.049999999999997</v>
      </c>
      <c r="J1220" s="181">
        <v>0</v>
      </c>
      <c r="K1220" s="181">
        <v>0</v>
      </c>
      <c r="L1220" s="181">
        <v>0</v>
      </c>
      <c r="M1220" s="181">
        <v>7783527.6587199988</v>
      </c>
      <c r="N1220" s="181">
        <v>190089.94239999997</v>
      </c>
      <c r="O1220" s="181">
        <v>100616.57295999999</v>
      </c>
      <c r="P1220" s="181">
        <v>26.669999999999998</v>
      </c>
      <c r="Q1220" s="181">
        <v>0</v>
      </c>
      <c r="R1220" s="181">
        <v>0</v>
      </c>
      <c r="S1220" s="181">
        <v>0</v>
      </c>
      <c r="T1220" s="181">
        <v>102.36199999999999</v>
      </c>
      <c r="U1220" s="181">
        <v>0</v>
      </c>
      <c r="V1220" s="181">
        <v>0</v>
      </c>
    </row>
    <row r="1221" spans="1:22">
      <c r="A1221" s="2" t="s">
        <v>2460</v>
      </c>
      <c r="B1221" s="2" t="s">
        <v>2461</v>
      </c>
      <c r="C1221" s="181">
        <v>86.015647999999985</v>
      </c>
      <c r="D1221" s="181">
        <v>10967.72</v>
      </c>
      <c r="E1221" s="181">
        <v>101.6</v>
      </c>
      <c r="F1221" s="181">
        <v>0</v>
      </c>
      <c r="G1221" s="181">
        <v>0</v>
      </c>
      <c r="H1221" s="181">
        <v>0</v>
      </c>
      <c r="I1221" s="181">
        <v>19.049999999999997</v>
      </c>
      <c r="J1221" s="181">
        <v>0</v>
      </c>
      <c r="K1221" s="181">
        <v>0</v>
      </c>
      <c r="L1221" s="181">
        <v>0</v>
      </c>
      <c r="M1221" s="181">
        <v>7783527.6587199988</v>
      </c>
      <c r="N1221" s="181">
        <v>190089.94239999997</v>
      </c>
      <c r="O1221" s="181">
        <v>100616.57295999999</v>
      </c>
      <c r="P1221" s="181">
        <v>26.669999999999998</v>
      </c>
      <c r="Q1221" s="181">
        <v>0</v>
      </c>
      <c r="R1221" s="181">
        <v>0</v>
      </c>
      <c r="S1221" s="181">
        <v>0</v>
      </c>
      <c r="T1221" s="181">
        <v>106.17199999999998</v>
      </c>
      <c r="U1221" s="181">
        <v>0</v>
      </c>
      <c r="V1221" s="181">
        <v>0</v>
      </c>
    </row>
    <row r="1222" spans="1:22">
      <c r="A1222" s="2" t="s">
        <v>2462</v>
      </c>
      <c r="B1222" s="2" t="s">
        <v>2463</v>
      </c>
      <c r="C1222" s="181">
        <v>72.473392000000004</v>
      </c>
      <c r="D1222" s="181">
        <v>9225.7880000000005</v>
      </c>
      <c r="E1222" s="181">
        <v>101.6</v>
      </c>
      <c r="F1222" s="181">
        <v>0</v>
      </c>
      <c r="G1222" s="181">
        <v>0</v>
      </c>
      <c r="H1222" s="181">
        <v>0</v>
      </c>
      <c r="I1222" s="181">
        <v>15.875</v>
      </c>
      <c r="J1222" s="181">
        <v>0</v>
      </c>
      <c r="K1222" s="181">
        <v>0</v>
      </c>
      <c r="L1222" s="181">
        <v>0</v>
      </c>
      <c r="M1222" s="181">
        <v>6742949.0947199995</v>
      </c>
      <c r="N1222" s="181">
        <v>159446.13271999999</v>
      </c>
      <c r="O1222" s="181">
        <v>85704.344719999994</v>
      </c>
      <c r="P1222" s="181">
        <v>26.923999999999999</v>
      </c>
      <c r="Q1222" s="181">
        <v>0</v>
      </c>
      <c r="R1222" s="181">
        <v>0</v>
      </c>
      <c r="S1222" s="181">
        <v>0</v>
      </c>
      <c r="T1222" s="181">
        <v>98.043999999999997</v>
      </c>
      <c r="U1222" s="181">
        <v>0</v>
      </c>
      <c r="V1222" s="181">
        <v>0</v>
      </c>
    </row>
    <row r="1223" spans="1:22">
      <c r="A1223" s="2" t="s">
        <v>2464</v>
      </c>
      <c r="B1223" s="2" t="s">
        <v>2465</v>
      </c>
      <c r="C1223" s="181">
        <v>72.473392000000004</v>
      </c>
      <c r="D1223" s="181">
        <v>9225.7880000000005</v>
      </c>
      <c r="E1223" s="181">
        <v>101.6</v>
      </c>
      <c r="F1223" s="181">
        <v>0</v>
      </c>
      <c r="G1223" s="181">
        <v>0</v>
      </c>
      <c r="H1223" s="181">
        <v>0</v>
      </c>
      <c r="I1223" s="181">
        <v>15.875</v>
      </c>
      <c r="J1223" s="181">
        <v>0</v>
      </c>
      <c r="K1223" s="181">
        <v>0</v>
      </c>
      <c r="L1223" s="181">
        <v>0</v>
      </c>
      <c r="M1223" s="181">
        <v>6742949.0947199995</v>
      </c>
      <c r="N1223" s="181">
        <v>159446.13271999999</v>
      </c>
      <c r="O1223" s="181">
        <v>85704.344719999994</v>
      </c>
      <c r="P1223" s="181">
        <v>26.923999999999999</v>
      </c>
      <c r="Q1223" s="181">
        <v>0</v>
      </c>
      <c r="R1223" s="181">
        <v>0</v>
      </c>
      <c r="S1223" s="181">
        <v>0</v>
      </c>
      <c r="T1223" s="181">
        <v>101.6</v>
      </c>
      <c r="U1223" s="181">
        <v>0</v>
      </c>
      <c r="V1223" s="181">
        <v>0</v>
      </c>
    </row>
    <row r="1224" spans="1:22">
      <c r="A1224" s="2" t="s">
        <v>2466</v>
      </c>
      <c r="B1224" s="2" t="s">
        <v>2467</v>
      </c>
      <c r="C1224" s="181">
        <v>72.473392000000004</v>
      </c>
      <c r="D1224" s="181">
        <v>9225.7880000000005</v>
      </c>
      <c r="E1224" s="181">
        <v>101.6</v>
      </c>
      <c r="F1224" s="181">
        <v>0</v>
      </c>
      <c r="G1224" s="181">
        <v>0</v>
      </c>
      <c r="H1224" s="181">
        <v>0</v>
      </c>
      <c r="I1224" s="181">
        <v>15.875</v>
      </c>
      <c r="J1224" s="181">
        <v>0</v>
      </c>
      <c r="K1224" s="181">
        <v>0</v>
      </c>
      <c r="L1224" s="181">
        <v>0</v>
      </c>
      <c r="M1224" s="181">
        <v>6742949.0947199995</v>
      </c>
      <c r="N1224" s="181">
        <v>159446.13271999999</v>
      </c>
      <c r="O1224" s="181">
        <v>85704.344719999994</v>
      </c>
      <c r="P1224" s="181">
        <v>26.923999999999999</v>
      </c>
      <c r="Q1224" s="181">
        <v>0</v>
      </c>
      <c r="R1224" s="181">
        <v>0</v>
      </c>
      <c r="S1224" s="181">
        <v>0</v>
      </c>
      <c r="T1224" s="181">
        <v>105.41</v>
      </c>
      <c r="U1224" s="181">
        <v>0</v>
      </c>
      <c r="V1224" s="181">
        <v>0</v>
      </c>
    </row>
    <row r="1225" spans="1:22">
      <c r="A1225" s="2" t="s">
        <v>2468</v>
      </c>
      <c r="B1225" s="2" t="s">
        <v>2469</v>
      </c>
      <c r="C1225" s="181">
        <v>65.627855999999994</v>
      </c>
      <c r="D1225" s="181">
        <v>8387.08</v>
      </c>
      <c r="E1225" s="181">
        <v>101.6</v>
      </c>
      <c r="F1225" s="181">
        <v>0</v>
      </c>
      <c r="G1225" s="181">
        <v>0</v>
      </c>
      <c r="H1225" s="181">
        <v>0</v>
      </c>
      <c r="I1225" s="181">
        <v>14.2875</v>
      </c>
      <c r="J1225" s="181">
        <v>0</v>
      </c>
      <c r="K1225" s="181">
        <v>0</v>
      </c>
      <c r="L1225" s="181">
        <v>0</v>
      </c>
      <c r="M1225" s="181">
        <v>6201848.2414399991</v>
      </c>
      <c r="N1225" s="181">
        <v>143714.55127999999</v>
      </c>
      <c r="O1225" s="181">
        <v>78166.295279999991</v>
      </c>
      <c r="P1225" s="181">
        <v>27.178000000000001</v>
      </c>
      <c r="Q1225" s="181">
        <v>0</v>
      </c>
      <c r="R1225" s="181">
        <v>0</v>
      </c>
      <c r="S1225" s="181">
        <v>0</v>
      </c>
      <c r="T1225" s="181">
        <v>97.789999999999992</v>
      </c>
      <c r="U1225" s="181">
        <v>0</v>
      </c>
      <c r="V1225" s="181">
        <v>0</v>
      </c>
    </row>
    <row r="1226" spans="1:22">
      <c r="A1226" s="2" t="s">
        <v>2470</v>
      </c>
      <c r="B1226" s="2" t="s">
        <v>2471</v>
      </c>
      <c r="C1226" s="181">
        <v>65.627855999999994</v>
      </c>
      <c r="D1226" s="181">
        <v>8387.08</v>
      </c>
      <c r="E1226" s="181">
        <v>101.6</v>
      </c>
      <c r="F1226" s="181">
        <v>0</v>
      </c>
      <c r="G1226" s="181">
        <v>0</v>
      </c>
      <c r="H1226" s="181">
        <v>0</v>
      </c>
      <c r="I1226" s="181">
        <v>14.2875</v>
      </c>
      <c r="J1226" s="181">
        <v>0</v>
      </c>
      <c r="K1226" s="181">
        <v>0</v>
      </c>
      <c r="L1226" s="181">
        <v>0</v>
      </c>
      <c r="M1226" s="181">
        <v>6201848.2414399991</v>
      </c>
      <c r="N1226" s="181">
        <v>143714.55127999999</v>
      </c>
      <c r="O1226" s="181">
        <v>78166.295279999991</v>
      </c>
      <c r="P1226" s="181">
        <v>27.178000000000001</v>
      </c>
      <c r="Q1226" s="181">
        <v>0</v>
      </c>
      <c r="R1226" s="181">
        <v>0</v>
      </c>
      <c r="S1226" s="181">
        <v>0</v>
      </c>
      <c r="T1226" s="181">
        <v>101.346</v>
      </c>
      <c r="U1226" s="181">
        <v>0</v>
      </c>
      <c r="V1226" s="181">
        <v>0</v>
      </c>
    </row>
    <row r="1227" spans="1:22">
      <c r="A1227" s="2" t="s">
        <v>2472</v>
      </c>
      <c r="B1227" s="2" t="s">
        <v>2473</v>
      </c>
      <c r="C1227" s="181">
        <v>65.627855999999994</v>
      </c>
      <c r="D1227" s="181">
        <v>8387.08</v>
      </c>
      <c r="E1227" s="181">
        <v>101.6</v>
      </c>
      <c r="F1227" s="181">
        <v>0</v>
      </c>
      <c r="G1227" s="181">
        <v>0</v>
      </c>
      <c r="H1227" s="181">
        <v>0</v>
      </c>
      <c r="I1227" s="181">
        <v>14.2875</v>
      </c>
      <c r="J1227" s="181">
        <v>0</v>
      </c>
      <c r="K1227" s="181">
        <v>0</v>
      </c>
      <c r="L1227" s="181">
        <v>0</v>
      </c>
      <c r="M1227" s="181">
        <v>6201848.2414399991</v>
      </c>
      <c r="N1227" s="181">
        <v>143714.55127999999</v>
      </c>
      <c r="O1227" s="181">
        <v>78166.295279999991</v>
      </c>
      <c r="P1227" s="181">
        <v>27.178000000000001</v>
      </c>
      <c r="Q1227" s="181">
        <v>0</v>
      </c>
      <c r="R1227" s="181">
        <v>0</v>
      </c>
      <c r="S1227" s="181">
        <v>0</v>
      </c>
      <c r="T1227" s="181">
        <v>104.90199999999999</v>
      </c>
      <c r="U1227" s="181">
        <v>0</v>
      </c>
      <c r="V1227" s="181">
        <v>0</v>
      </c>
    </row>
    <row r="1228" spans="1:22">
      <c r="A1228" s="2" t="s">
        <v>2474</v>
      </c>
      <c r="B1228" s="2" t="s">
        <v>2475</v>
      </c>
      <c r="C1228" s="181">
        <v>58.782319999999999</v>
      </c>
      <c r="D1228" s="181">
        <v>7483.8559999999998</v>
      </c>
      <c r="E1228" s="181">
        <v>101.6</v>
      </c>
      <c r="F1228" s="181">
        <v>0</v>
      </c>
      <c r="G1228" s="181">
        <v>0</v>
      </c>
      <c r="H1228" s="181">
        <v>0</v>
      </c>
      <c r="I1228" s="181">
        <v>12.7</v>
      </c>
      <c r="J1228" s="181">
        <v>0</v>
      </c>
      <c r="K1228" s="181">
        <v>0</v>
      </c>
      <c r="L1228" s="181">
        <v>0</v>
      </c>
      <c r="M1228" s="181">
        <v>5619124.2455999991</v>
      </c>
      <c r="N1228" s="181">
        <v>127982.96983999998</v>
      </c>
      <c r="O1228" s="181">
        <v>70300.504560000001</v>
      </c>
      <c r="P1228" s="181">
        <v>27.431999999999999</v>
      </c>
      <c r="Q1228" s="181">
        <v>0</v>
      </c>
      <c r="R1228" s="181">
        <v>0</v>
      </c>
      <c r="S1228" s="181">
        <v>0</v>
      </c>
      <c r="T1228" s="181">
        <v>97.281999999999996</v>
      </c>
      <c r="U1228" s="181">
        <v>0</v>
      </c>
      <c r="V1228" s="181">
        <v>0</v>
      </c>
    </row>
    <row r="1229" spans="1:22">
      <c r="A1229" s="2" t="s">
        <v>2476</v>
      </c>
      <c r="B1229" s="2" t="s">
        <v>2477</v>
      </c>
      <c r="C1229" s="181">
        <v>58.782319999999999</v>
      </c>
      <c r="D1229" s="181">
        <v>7483.8559999999998</v>
      </c>
      <c r="E1229" s="181">
        <v>101.6</v>
      </c>
      <c r="F1229" s="181">
        <v>0</v>
      </c>
      <c r="G1229" s="181">
        <v>0</v>
      </c>
      <c r="H1229" s="181">
        <v>0</v>
      </c>
      <c r="I1229" s="181">
        <v>12.7</v>
      </c>
      <c r="J1229" s="181">
        <v>0</v>
      </c>
      <c r="K1229" s="181">
        <v>0</v>
      </c>
      <c r="L1229" s="181">
        <v>0</v>
      </c>
      <c r="M1229" s="181">
        <v>5619124.2455999991</v>
      </c>
      <c r="N1229" s="181">
        <v>127982.96983999998</v>
      </c>
      <c r="O1229" s="181">
        <v>70300.504560000001</v>
      </c>
      <c r="P1229" s="181">
        <v>27.431999999999999</v>
      </c>
      <c r="Q1229" s="181">
        <v>0</v>
      </c>
      <c r="R1229" s="181">
        <v>0</v>
      </c>
      <c r="S1229" s="181">
        <v>0</v>
      </c>
      <c r="T1229" s="181">
        <v>100.83799999999999</v>
      </c>
      <c r="U1229" s="181">
        <v>0</v>
      </c>
      <c r="V1229" s="181">
        <v>0</v>
      </c>
    </row>
    <row r="1230" spans="1:22">
      <c r="A1230" s="2" t="s">
        <v>2478</v>
      </c>
      <c r="B1230" s="2" t="s">
        <v>2479</v>
      </c>
      <c r="C1230" s="181">
        <v>58.782319999999999</v>
      </c>
      <c r="D1230" s="181">
        <v>7483.8559999999998</v>
      </c>
      <c r="E1230" s="181">
        <v>101.6</v>
      </c>
      <c r="F1230" s="181">
        <v>0</v>
      </c>
      <c r="G1230" s="181">
        <v>0</v>
      </c>
      <c r="H1230" s="181">
        <v>0</v>
      </c>
      <c r="I1230" s="181">
        <v>12.7</v>
      </c>
      <c r="J1230" s="181">
        <v>0</v>
      </c>
      <c r="K1230" s="181">
        <v>0</v>
      </c>
      <c r="L1230" s="181">
        <v>0</v>
      </c>
      <c r="M1230" s="181">
        <v>5619124.2455999991</v>
      </c>
      <c r="N1230" s="181">
        <v>127982.96983999998</v>
      </c>
      <c r="O1230" s="181">
        <v>70300.504560000001</v>
      </c>
      <c r="P1230" s="181">
        <v>27.431999999999999</v>
      </c>
      <c r="Q1230" s="181">
        <v>0</v>
      </c>
      <c r="R1230" s="181">
        <v>0</v>
      </c>
      <c r="S1230" s="181">
        <v>0</v>
      </c>
      <c r="T1230" s="181">
        <v>104.648</v>
      </c>
      <c r="U1230" s="181">
        <v>0</v>
      </c>
      <c r="V1230" s="181">
        <v>0</v>
      </c>
    </row>
    <row r="1231" spans="1:22">
      <c r="A1231" s="2" t="s">
        <v>2480</v>
      </c>
      <c r="B1231" s="2" t="s">
        <v>2481</v>
      </c>
      <c r="C1231" s="181">
        <v>51.787967999999992</v>
      </c>
      <c r="D1231" s="181">
        <v>6580.6319999999996</v>
      </c>
      <c r="E1231" s="181">
        <v>101.6</v>
      </c>
      <c r="F1231" s="181">
        <v>0</v>
      </c>
      <c r="G1231" s="181">
        <v>0</v>
      </c>
      <c r="H1231" s="181">
        <v>0</v>
      </c>
      <c r="I1231" s="181">
        <v>11.112499999999999</v>
      </c>
      <c r="J1231" s="181">
        <v>0</v>
      </c>
      <c r="K1231" s="181">
        <v>0</v>
      </c>
      <c r="L1231" s="181">
        <v>0</v>
      </c>
      <c r="M1231" s="181">
        <v>5036400.2497599991</v>
      </c>
      <c r="N1231" s="181">
        <v>112251.38839999998</v>
      </c>
      <c r="O1231" s="181">
        <v>62434.713839999997</v>
      </c>
      <c r="P1231" s="181">
        <v>27.686</v>
      </c>
      <c r="Q1231" s="181">
        <v>0</v>
      </c>
      <c r="R1231" s="181">
        <v>0</v>
      </c>
      <c r="S1231" s="181">
        <v>0</v>
      </c>
      <c r="T1231" s="181">
        <v>97.027999999999992</v>
      </c>
      <c r="U1231" s="181">
        <v>0</v>
      </c>
      <c r="V1231" s="181">
        <v>0</v>
      </c>
    </row>
    <row r="1232" spans="1:22">
      <c r="A1232" s="2" t="s">
        <v>2482</v>
      </c>
      <c r="B1232" s="2" t="s">
        <v>2483</v>
      </c>
      <c r="C1232" s="181">
        <v>51.787967999999992</v>
      </c>
      <c r="D1232" s="181">
        <v>6580.6319999999996</v>
      </c>
      <c r="E1232" s="181">
        <v>101.6</v>
      </c>
      <c r="F1232" s="181">
        <v>0</v>
      </c>
      <c r="G1232" s="181">
        <v>0</v>
      </c>
      <c r="H1232" s="181">
        <v>0</v>
      </c>
      <c r="I1232" s="181">
        <v>11.112499999999999</v>
      </c>
      <c r="J1232" s="181">
        <v>0</v>
      </c>
      <c r="K1232" s="181">
        <v>0</v>
      </c>
      <c r="L1232" s="181">
        <v>0</v>
      </c>
      <c r="M1232" s="181">
        <v>5036400.2497599991</v>
      </c>
      <c r="N1232" s="181">
        <v>112251.38839999998</v>
      </c>
      <c r="O1232" s="181">
        <v>62434.713839999997</v>
      </c>
      <c r="P1232" s="181">
        <v>27.686</v>
      </c>
      <c r="Q1232" s="181">
        <v>0</v>
      </c>
      <c r="R1232" s="181">
        <v>0</v>
      </c>
      <c r="S1232" s="181">
        <v>0</v>
      </c>
      <c r="T1232" s="181">
        <v>100.58399999999999</v>
      </c>
      <c r="U1232" s="181">
        <v>0</v>
      </c>
      <c r="V1232" s="181">
        <v>0</v>
      </c>
    </row>
    <row r="1233" spans="1:22">
      <c r="A1233" s="2" t="s">
        <v>2484</v>
      </c>
      <c r="B1233" s="2" t="s">
        <v>2485</v>
      </c>
      <c r="C1233" s="181">
        <v>51.787967999999992</v>
      </c>
      <c r="D1233" s="181">
        <v>6580.6319999999996</v>
      </c>
      <c r="E1233" s="181">
        <v>101.6</v>
      </c>
      <c r="F1233" s="181">
        <v>0</v>
      </c>
      <c r="G1233" s="181">
        <v>0</v>
      </c>
      <c r="H1233" s="181">
        <v>0</v>
      </c>
      <c r="I1233" s="181">
        <v>11.112499999999999</v>
      </c>
      <c r="J1233" s="181">
        <v>0</v>
      </c>
      <c r="K1233" s="181">
        <v>0</v>
      </c>
      <c r="L1233" s="181">
        <v>0</v>
      </c>
      <c r="M1233" s="181">
        <v>5036400.2497599991</v>
      </c>
      <c r="N1233" s="181">
        <v>112251.38839999998</v>
      </c>
      <c r="O1233" s="181">
        <v>62434.713839999997</v>
      </c>
      <c r="P1233" s="181">
        <v>27.686</v>
      </c>
      <c r="Q1233" s="181">
        <v>0</v>
      </c>
      <c r="R1233" s="181">
        <v>0</v>
      </c>
      <c r="S1233" s="181">
        <v>0</v>
      </c>
      <c r="T1233" s="181">
        <v>104.13999999999999</v>
      </c>
      <c r="U1233" s="181">
        <v>0</v>
      </c>
      <c r="V1233" s="181">
        <v>0</v>
      </c>
    </row>
    <row r="1234" spans="1:22">
      <c r="A1234" s="2" t="s">
        <v>2486</v>
      </c>
      <c r="B1234" s="2" t="s">
        <v>2487</v>
      </c>
      <c r="C1234" s="181">
        <v>77.979583999999988</v>
      </c>
      <c r="D1234" s="181">
        <v>9935.4639999999999</v>
      </c>
      <c r="E1234" s="181">
        <v>101.6</v>
      </c>
      <c r="F1234" s="181">
        <v>0</v>
      </c>
      <c r="G1234" s="181">
        <v>0</v>
      </c>
      <c r="H1234" s="181">
        <v>0</v>
      </c>
      <c r="I1234" s="181">
        <v>19.049999999999997</v>
      </c>
      <c r="J1234" s="181">
        <v>0</v>
      </c>
      <c r="K1234" s="181">
        <v>0</v>
      </c>
      <c r="L1234" s="181">
        <v>0</v>
      </c>
      <c r="M1234" s="181">
        <v>7492165.6607999988</v>
      </c>
      <c r="N1234" s="181">
        <v>183535.11679999996</v>
      </c>
      <c r="O1234" s="181">
        <v>98486.254639999985</v>
      </c>
      <c r="P1234" s="181">
        <v>27.431999999999999</v>
      </c>
      <c r="Q1234" s="181">
        <v>0</v>
      </c>
      <c r="R1234" s="181">
        <v>0</v>
      </c>
      <c r="S1234" s="181">
        <v>0</v>
      </c>
      <c r="T1234" s="181">
        <v>84.835999999999999</v>
      </c>
      <c r="U1234" s="181">
        <v>0</v>
      </c>
      <c r="V1234" s="181">
        <v>0</v>
      </c>
    </row>
    <row r="1235" spans="1:22">
      <c r="A1235" s="2" t="s">
        <v>2488</v>
      </c>
      <c r="B1235" s="2" t="s">
        <v>2489</v>
      </c>
      <c r="C1235" s="181">
        <v>77.979583999999988</v>
      </c>
      <c r="D1235" s="181">
        <v>9935.4639999999999</v>
      </c>
      <c r="E1235" s="181">
        <v>101.6</v>
      </c>
      <c r="F1235" s="181">
        <v>0</v>
      </c>
      <c r="G1235" s="181">
        <v>0</v>
      </c>
      <c r="H1235" s="181">
        <v>0</v>
      </c>
      <c r="I1235" s="181">
        <v>19.049999999999997</v>
      </c>
      <c r="J1235" s="181">
        <v>0</v>
      </c>
      <c r="K1235" s="181">
        <v>0</v>
      </c>
      <c r="L1235" s="181">
        <v>0</v>
      </c>
      <c r="M1235" s="181">
        <v>7492165.6607999988</v>
      </c>
      <c r="N1235" s="181">
        <v>183535.11679999996</v>
      </c>
      <c r="O1235" s="181">
        <v>98486.254639999985</v>
      </c>
      <c r="P1235" s="181">
        <v>27.431999999999999</v>
      </c>
      <c r="Q1235" s="181">
        <v>0</v>
      </c>
      <c r="R1235" s="181">
        <v>0</v>
      </c>
      <c r="S1235" s="181">
        <v>0</v>
      </c>
      <c r="T1235" s="181">
        <v>88.391999999999996</v>
      </c>
      <c r="U1235" s="181">
        <v>0</v>
      </c>
      <c r="V1235" s="181">
        <v>0</v>
      </c>
    </row>
    <row r="1236" spans="1:22">
      <c r="A1236" s="2" t="s">
        <v>2490</v>
      </c>
      <c r="B1236" s="2" t="s">
        <v>2491</v>
      </c>
      <c r="C1236" s="181">
        <v>77.979583999999988</v>
      </c>
      <c r="D1236" s="181">
        <v>9935.4639999999999</v>
      </c>
      <c r="E1236" s="181">
        <v>101.6</v>
      </c>
      <c r="F1236" s="181">
        <v>0</v>
      </c>
      <c r="G1236" s="181">
        <v>0</v>
      </c>
      <c r="H1236" s="181">
        <v>0</v>
      </c>
      <c r="I1236" s="181">
        <v>19.049999999999997</v>
      </c>
      <c r="J1236" s="181">
        <v>0</v>
      </c>
      <c r="K1236" s="181">
        <v>0</v>
      </c>
      <c r="L1236" s="181">
        <v>0</v>
      </c>
      <c r="M1236" s="181">
        <v>7492165.6607999988</v>
      </c>
      <c r="N1236" s="181">
        <v>183535.11679999996</v>
      </c>
      <c r="O1236" s="181">
        <v>98486.254639999985</v>
      </c>
      <c r="P1236" s="181">
        <v>27.431999999999999</v>
      </c>
      <c r="Q1236" s="181">
        <v>0</v>
      </c>
      <c r="R1236" s="181">
        <v>0</v>
      </c>
      <c r="S1236" s="181">
        <v>0</v>
      </c>
      <c r="T1236" s="181">
        <v>92.201999999999998</v>
      </c>
      <c r="U1236" s="181">
        <v>0</v>
      </c>
      <c r="V1236" s="181">
        <v>0</v>
      </c>
    </row>
    <row r="1237" spans="1:22">
      <c r="A1237" s="2" t="s">
        <v>2492</v>
      </c>
      <c r="B1237" s="2" t="s">
        <v>2493</v>
      </c>
      <c r="C1237" s="181">
        <v>65.776672000000005</v>
      </c>
      <c r="D1237" s="181">
        <v>8387.08</v>
      </c>
      <c r="E1237" s="181">
        <v>101.6</v>
      </c>
      <c r="F1237" s="181">
        <v>0</v>
      </c>
      <c r="G1237" s="181">
        <v>0</v>
      </c>
      <c r="H1237" s="181">
        <v>0</v>
      </c>
      <c r="I1237" s="181">
        <v>15.875</v>
      </c>
      <c r="J1237" s="181">
        <v>0</v>
      </c>
      <c r="K1237" s="181">
        <v>0</v>
      </c>
      <c r="L1237" s="181">
        <v>0</v>
      </c>
      <c r="M1237" s="181">
        <v>6493210.2393599991</v>
      </c>
      <c r="N1237" s="181">
        <v>153710.66032</v>
      </c>
      <c r="O1237" s="181">
        <v>83901.76767999999</v>
      </c>
      <c r="P1237" s="181">
        <v>27.94</v>
      </c>
      <c r="Q1237" s="181">
        <v>0</v>
      </c>
      <c r="R1237" s="181">
        <v>0</v>
      </c>
      <c r="S1237" s="181">
        <v>0</v>
      </c>
      <c r="T1237" s="181">
        <v>84.073999999999998</v>
      </c>
      <c r="U1237" s="181">
        <v>0</v>
      </c>
      <c r="V1237" s="181">
        <v>0</v>
      </c>
    </row>
    <row r="1238" spans="1:22">
      <c r="A1238" s="2" t="s">
        <v>2494</v>
      </c>
      <c r="B1238" s="2" t="s">
        <v>2495</v>
      </c>
      <c r="C1238" s="181">
        <v>65.776672000000005</v>
      </c>
      <c r="D1238" s="181">
        <v>8387.08</v>
      </c>
      <c r="E1238" s="181">
        <v>101.6</v>
      </c>
      <c r="F1238" s="181">
        <v>0</v>
      </c>
      <c r="G1238" s="181">
        <v>0</v>
      </c>
      <c r="H1238" s="181">
        <v>0</v>
      </c>
      <c r="I1238" s="181">
        <v>15.875</v>
      </c>
      <c r="J1238" s="181">
        <v>0</v>
      </c>
      <c r="K1238" s="181">
        <v>0</v>
      </c>
      <c r="L1238" s="181">
        <v>0</v>
      </c>
      <c r="M1238" s="181">
        <v>6493210.2393599991</v>
      </c>
      <c r="N1238" s="181">
        <v>153710.66032</v>
      </c>
      <c r="O1238" s="181">
        <v>83901.76767999999</v>
      </c>
      <c r="P1238" s="181">
        <v>27.94</v>
      </c>
      <c r="Q1238" s="181">
        <v>0</v>
      </c>
      <c r="R1238" s="181">
        <v>0</v>
      </c>
      <c r="S1238" s="181">
        <v>0</v>
      </c>
      <c r="T1238" s="181">
        <v>87.884</v>
      </c>
      <c r="U1238" s="181">
        <v>0</v>
      </c>
      <c r="V1238" s="181">
        <v>0</v>
      </c>
    </row>
    <row r="1239" spans="1:22">
      <c r="A1239" s="2" t="s">
        <v>2496</v>
      </c>
      <c r="B1239" s="2" t="s">
        <v>2497</v>
      </c>
      <c r="C1239" s="181">
        <v>65.776672000000005</v>
      </c>
      <c r="D1239" s="181">
        <v>8387.08</v>
      </c>
      <c r="E1239" s="181">
        <v>101.6</v>
      </c>
      <c r="F1239" s="181">
        <v>0</v>
      </c>
      <c r="G1239" s="181">
        <v>0</v>
      </c>
      <c r="H1239" s="181">
        <v>0</v>
      </c>
      <c r="I1239" s="181">
        <v>15.875</v>
      </c>
      <c r="J1239" s="181">
        <v>0</v>
      </c>
      <c r="K1239" s="181">
        <v>0</v>
      </c>
      <c r="L1239" s="181">
        <v>0</v>
      </c>
      <c r="M1239" s="181">
        <v>6493210.2393599991</v>
      </c>
      <c r="N1239" s="181">
        <v>153710.66032</v>
      </c>
      <c r="O1239" s="181">
        <v>83901.76767999999</v>
      </c>
      <c r="P1239" s="181">
        <v>27.94</v>
      </c>
      <c r="Q1239" s="181">
        <v>0</v>
      </c>
      <c r="R1239" s="181">
        <v>0</v>
      </c>
      <c r="S1239" s="181">
        <v>0</v>
      </c>
      <c r="T1239" s="181">
        <v>91.44</v>
      </c>
      <c r="U1239" s="181">
        <v>0</v>
      </c>
      <c r="V1239" s="181">
        <v>0</v>
      </c>
    </row>
    <row r="1240" spans="1:22">
      <c r="A1240" s="2" t="s">
        <v>2498</v>
      </c>
      <c r="B1240" s="2" t="s">
        <v>2499</v>
      </c>
      <c r="C1240" s="181">
        <v>53.276127999999993</v>
      </c>
      <c r="D1240" s="181">
        <v>6774.1799999999994</v>
      </c>
      <c r="E1240" s="181">
        <v>101.6</v>
      </c>
      <c r="F1240" s="181">
        <v>0</v>
      </c>
      <c r="G1240" s="181">
        <v>0</v>
      </c>
      <c r="H1240" s="181">
        <v>0</v>
      </c>
      <c r="I1240" s="181">
        <v>12.7</v>
      </c>
      <c r="J1240" s="181">
        <v>0</v>
      </c>
      <c r="K1240" s="181">
        <v>0</v>
      </c>
      <c r="L1240" s="181">
        <v>0</v>
      </c>
      <c r="M1240" s="181">
        <v>5411008.5327999992</v>
      </c>
      <c r="N1240" s="181">
        <v>123558.46255999999</v>
      </c>
      <c r="O1240" s="181">
        <v>68825.668799999999</v>
      </c>
      <c r="P1240" s="181">
        <v>28.194000000000003</v>
      </c>
      <c r="Q1240" s="181">
        <v>0</v>
      </c>
      <c r="R1240" s="181">
        <v>0</v>
      </c>
      <c r="S1240" s="181">
        <v>0</v>
      </c>
      <c r="T1240" s="181">
        <v>83.566000000000003</v>
      </c>
      <c r="U1240" s="181">
        <v>0</v>
      </c>
      <c r="V1240" s="181">
        <v>0</v>
      </c>
    </row>
    <row r="1241" spans="1:22">
      <c r="A1241" s="2" t="s">
        <v>2500</v>
      </c>
      <c r="B1241" s="2" t="s">
        <v>2501</v>
      </c>
      <c r="C1241" s="181">
        <v>53.276127999999993</v>
      </c>
      <c r="D1241" s="181">
        <v>6774.1799999999994</v>
      </c>
      <c r="E1241" s="181">
        <v>101.6</v>
      </c>
      <c r="F1241" s="181">
        <v>0</v>
      </c>
      <c r="G1241" s="181">
        <v>0</v>
      </c>
      <c r="H1241" s="181">
        <v>0</v>
      </c>
      <c r="I1241" s="181">
        <v>12.7</v>
      </c>
      <c r="J1241" s="181">
        <v>0</v>
      </c>
      <c r="K1241" s="181">
        <v>0</v>
      </c>
      <c r="L1241" s="181">
        <v>0</v>
      </c>
      <c r="M1241" s="181">
        <v>5411008.5327999992</v>
      </c>
      <c r="N1241" s="181">
        <v>123558.46255999999</v>
      </c>
      <c r="O1241" s="181">
        <v>68825.668799999999</v>
      </c>
      <c r="P1241" s="181">
        <v>28.194000000000003</v>
      </c>
      <c r="Q1241" s="181">
        <v>0</v>
      </c>
      <c r="R1241" s="181">
        <v>0</v>
      </c>
      <c r="S1241" s="181">
        <v>0</v>
      </c>
      <c r="T1241" s="181">
        <v>87.122</v>
      </c>
      <c r="U1241" s="181">
        <v>0</v>
      </c>
      <c r="V1241" s="181">
        <v>0</v>
      </c>
    </row>
    <row r="1242" spans="1:22">
      <c r="A1242" s="2" t="s">
        <v>2502</v>
      </c>
      <c r="B1242" s="2" t="s">
        <v>2503</v>
      </c>
      <c r="C1242" s="181">
        <v>53.276127999999993</v>
      </c>
      <c r="D1242" s="181">
        <v>6774.1799999999994</v>
      </c>
      <c r="E1242" s="181">
        <v>101.6</v>
      </c>
      <c r="F1242" s="181">
        <v>0</v>
      </c>
      <c r="G1242" s="181">
        <v>0</v>
      </c>
      <c r="H1242" s="181">
        <v>0</v>
      </c>
      <c r="I1242" s="181">
        <v>12.7</v>
      </c>
      <c r="J1242" s="181">
        <v>0</v>
      </c>
      <c r="K1242" s="181">
        <v>0</v>
      </c>
      <c r="L1242" s="181">
        <v>0</v>
      </c>
      <c r="M1242" s="181">
        <v>5411008.5327999992</v>
      </c>
      <c r="N1242" s="181">
        <v>123558.46255999999</v>
      </c>
      <c r="O1242" s="181">
        <v>68825.668799999999</v>
      </c>
      <c r="P1242" s="181">
        <v>28.194000000000003</v>
      </c>
      <c r="Q1242" s="181">
        <v>0</v>
      </c>
      <c r="R1242" s="181">
        <v>0</v>
      </c>
      <c r="S1242" s="181">
        <v>0</v>
      </c>
      <c r="T1242" s="181">
        <v>90.677999999999997</v>
      </c>
      <c r="U1242" s="181">
        <v>0</v>
      </c>
      <c r="V1242" s="181">
        <v>0</v>
      </c>
    </row>
    <row r="1243" spans="1:22">
      <c r="A1243" s="2" t="s">
        <v>2504</v>
      </c>
      <c r="B1243" s="2" t="s">
        <v>2505</v>
      </c>
      <c r="C1243" s="181">
        <v>46.877040000000001</v>
      </c>
      <c r="D1243" s="181">
        <v>5980.6331999999993</v>
      </c>
      <c r="E1243" s="181">
        <v>101.6</v>
      </c>
      <c r="F1243" s="181">
        <v>0</v>
      </c>
      <c r="G1243" s="181">
        <v>0</v>
      </c>
      <c r="H1243" s="181">
        <v>0</v>
      </c>
      <c r="I1243" s="181">
        <v>11.112499999999999</v>
      </c>
      <c r="J1243" s="181">
        <v>0</v>
      </c>
      <c r="K1243" s="181">
        <v>0</v>
      </c>
      <c r="L1243" s="181">
        <v>0</v>
      </c>
      <c r="M1243" s="181">
        <v>4828284.5369599992</v>
      </c>
      <c r="N1243" s="181">
        <v>108318.49304</v>
      </c>
      <c r="O1243" s="181">
        <v>60959.878079999995</v>
      </c>
      <c r="P1243" s="181">
        <v>28.448</v>
      </c>
      <c r="Q1243" s="181">
        <v>0</v>
      </c>
      <c r="R1243" s="181">
        <v>0</v>
      </c>
      <c r="S1243" s="181">
        <v>0</v>
      </c>
      <c r="T1243" s="181">
        <v>83.311999999999983</v>
      </c>
      <c r="U1243" s="181">
        <v>0</v>
      </c>
      <c r="V1243" s="181">
        <v>0</v>
      </c>
    </row>
    <row r="1244" spans="1:22">
      <c r="A1244" s="2" t="s">
        <v>2506</v>
      </c>
      <c r="B1244" s="2" t="s">
        <v>2507</v>
      </c>
      <c r="C1244" s="181">
        <v>46.877040000000001</v>
      </c>
      <c r="D1244" s="181">
        <v>5980.6331999999993</v>
      </c>
      <c r="E1244" s="181">
        <v>101.6</v>
      </c>
      <c r="F1244" s="181">
        <v>0</v>
      </c>
      <c r="G1244" s="181">
        <v>0</v>
      </c>
      <c r="H1244" s="181">
        <v>0</v>
      </c>
      <c r="I1244" s="181">
        <v>11.112499999999999</v>
      </c>
      <c r="J1244" s="181">
        <v>0</v>
      </c>
      <c r="K1244" s="181">
        <v>0</v>
      </c>
      <c r="L1244" s="181">
        <v>0</v>
      </c>
      <c r="M1244" s="181">
        <v>4828284.5369599992</v>
      </c>
      <c r="N1244" s="181">
        <v>108318.49304</v>
      </c>
      <c r="O1244" s="181">
        <v>60959.878079999995</v>
      </c>
      <c r="P1244" s="181">
        <v>28.448</v>
      </c>
      <c r="Q1244" s="181">
        <v>0</v>
      </c>
      <c r="R1244" s="181">
        <v>0</v>
      </c>
      <c r="S1244" s="181">
        <v>0</v>
      </c>
      <c r="T1244" s="181">
        <v>86.867999999999995</v>
      </c>
      <c r="U1244" s="181">
        <v>0</v>
      </c>
      <c r="V1244" s="181">
        <v>0</v>
      </c>
    </row>
    <row r="1245" spans="1:22">
      <c r="A1245" s="2" t="s">
        <v>2508</v>
      </c>
      <c r="B1245" s="2" t="s">
        <v>2509</v>
      </c>
      <c r="C1245" s="181">
        <v>46.877040000000001</v>
      </c>
      <c r="D1245" s="181">
        <v>5980.6331999999993</v>
      </c>
      <c r="E1245" s="181">
        <v>101.6</v>
      </c>
      <c r="F1245" s="181">
        <v>0</v>
      </c>
      <c r="G1245" s="181">
        <v>0</v>
      </c>
      <c r="H1245" s="181">
        <v>0</v>
      </c>
      <c r="I1245" s="181">
        <v>11.112499999999999</v>
      </c>
      <c r="J1245" s="181">
        <v>0</v>
      </c>
      <c r="K1245" s="181">
        <v>0</v>
      </c>
      <c r="L1245" s="181">
        <v>0</v>
      </c>
      <c r="M1245" s="181">
        <v>4828284.5369599992</v>
      </c>
      <c r="N1245" s="181">
        <v>108318.49304</v>
      </c>
      <c r="O1245" s="181">
        <v>60959.878079999995</v>
      </c>
      <c r="P1245" s="181">
        <v>28.448</v>
      </c>
      <c r="Q1245" s="181">
        <v>0</v>
      </c>
      <c r="R1245" s="181">
        <v>0</v>
      </c>
      <c r="S1245" s="181">
        <v>0</v>
      </c>
      <c r="T1245" s="181">
        <v>90.423999999999992</v>
      </c>
      <c r="U1245" s="181">
        <v>0</v>
      </c>
      <c r="V1245" s="181">
        <v>0</v>
      </c>
    </row>
    <row r="1246" spans="1:22">
      <c r="A1246" s="2" t="s">
        <v>2510</v>
      </c>
      <c r="B1246" s="2" t="s">
        <v>2511</v>
      </c>
      <c r="C1246" s="181">
        <v>40.477951999999995</v>
      </c>
      <c r="D1246" s="181">
        <v>5161.28</v>
      </c>
      <c r="E1246" s="181">
        <v>101.6</v>
      </c>
      <c r="F1246" s="181">
        <v>0</v>
      </c>
      <c r="G1246" s="181">
        <v>0</v>
      </c>
      <c r="H1246" s="181">
        <v>0</v>
      </c>
      <c r="I1246" s="181">
        <v>9.5249999999999986</v>
      </c>
      <c r="J1246" s="181">
        <v>0</v>
      </c>
      <c r="K1246" s="181">
        <v>0</v>
      </c>
      <c r="L1246" s="181">
        <v>0</v>
      </c>
      <c r="M1246" s="181">
        <v>4203937.3985599997</v>
      </c>
      <c r="N1246" s="181">
        <v>93078.523519999988</v>
      </c>
      <c r="O1246" s="181">
        <v>52766.346079999996</v>
      </c>
      <c r="P1246" s="181">
        <v>28.448</v>
      </c>
      <c r="Q1246" s="181">
        <v>0</v>
      </c>
      <c r="R1246" s="181">
        <v>0</v>
      </c>
      <c r="S1246" s="181">
        <v>0</v>
      </c>
      <c r="T1246" s="181">
        <v>82.803999999999988</v>
      </c>
      <c r="U1246" s="181">
        <v>0</v>
      </c>
      <c r="V1246" s="181">
        <v>0</v>
      </c>
    </row>
    <row r="1247" spans="1:22">
      <c r="A1247" s="2" t="s">
        <v>2512</v>
      </c>
      <c r="B1247" s="2" t="s">
        <v>2513</v>
      </c>
      <c r="C1247" s="181">
        <v>40.477951999999995</v>
      </c>
      <c r="D1247" s="181">
        <v>5161.28</v>
      </c>
      <c r="E1247" s="181">
        <v>101.6</v>
      </c>
      <c r="F1247" s="181">
        <v>0</v>
      </c>
      <c r="G1247" s="181">
        <v>0</v>
      </c>
      <c r="H1247" s="181">
        <v>0</v>
      </c>
      <c r="I1247" s="181">
        <v>9.5249999999999986</v>
      </c>
      <c r="J1247" s="181">
        <v>0</v>
      </c>
      <c r="K1247" s="181">
        <v>0</v>
      </c>
      <c r="L1247" s="181">
        <v>0</v>
      </c>
      <c r="M1247" s="181">
        <v>4203937.3985599997</v>
      </c>
      <c r="N1247" s="181">
        <v>93078.523519999988</v>
      </c>
      <c r="O1247" s="181">
        <v>52766.346079999996</v>
      </c>
      <c r="P1247" s="181">
        <v>28.448</v>
      </c>
      <c r="Q1247" s="181">
        <v>0</v>
      </c>
      <c r="R1247" s="181">
        <v>0</v>
      </c>
      <c r="S1247" s="181">
        <v>0</v>
      </c>
      <c r="T1247" s="181">
        <v>86.36</v>
      </c>
      <c r="U1247" s="181">
        <v>0</v>
      </c>
      <c r="V1247" s="181">
        <v>0</v>
      </c>
    </row>
    <row r="1248" spans="1:22">
      <c r="A1248" s="2" t="s">
        <v>2514</v>
      </c>
      <c r="B1248" s="2" t="s">
        <v>2515</v>
      </c>
      <c r="C1248" s="181">
        <v>40.477951999999995</v>
      </c>
      <c r="D1248" s="181">
        <v>5161.28</v>
      </c>
      <c r="E1248" s="181">
        <v>101.6</v>
      </c>
      <c r="F1248" s="181">
        <v>0</v>
      </c>
      <c r="G1248" s="181">
        <v>0</v>
      </c>
      <c r="H1248" s="181">
        <v>0</v>
      </c>
      <c r="I1248" s="181">
        <v>9.5249999999999986</v>
      </c>
      <c r="J1248" s="181">
        <v>0</v>
      </c>
      <c r="K1248" s="181">
        <v>0</v>
      </c>
      <c r="L1248" s="181">
        <v>0</v>
      </c>
      <c r="M1248" s="181">
        <v>4203937.3985599997</v>
      </c>
      <c r="N1248" s="181">
        <v>93078.523519999988</v>
      </c>
      <c r="O1248" s="181">
        <v>52766.346079999996</v>
      </c>
      <c r="P1248" s="181">
        <v>28.448</v>
      </c>
      <c r="Q1248" s="181">
        <v>0</v>
      </c>
      <c r="R1248" s="181">
        <v>0</v>
      </c>
      <c r="S1248" s="181">
        <v>0</v>
      </c>
      <c r="T1248" s="181">
        <v>89.915999999999997</v>
      </c>
      <c r="U1248" s="181">
        <v>0</v>
      </c>
      <c r="V1248" s="181">
        <v>0</v>
      </c>
    </row>
    <row r="1249" spans="1:22">
      <c r="A1249" s="2" t="s">
        <v>2516</v>
      </c>
      <c r="B1249" s="2" t="s">
        <v>2517</v>
      </c>
      <c r="C1249" s="181">
        <v>80.807087999999993</v>
      </c>
      <c r="D1249" s="181">
        <v>10322.56</v>
      </c>
      <c r="E1249" s="181">
        <v>101.6</v>
      </c>
      <c r="F1249" s="181">
        <v>0</v>
      </c>
      <c r="G1249" s="181">
        <v>0</v>
      </c>
      <c r="H1249" s="181">
        <v>0</v>
      </c>
      <c r="I1249" s="181">
        <v>22.224999999999998</v>
      </c>
      <c r="J1249" s="181">
        <v>0</v>
      </c>
      <c r="K1249" s="181">
        <v>0</v>
      </c>
      <c r="L1249" s="181">
        <v>0</v>
      </c>
      <c r="M1249" s="181">
        <v>8074889.6566399988</v>
      </c>
      <c r="N1249" s="181">
        <v>204838.3</v>
      </c>
      <c r="O1249" s="181">
        <v>110448.81135999999</v>
      </c>
      <c r="P1249" s="181">
        <v>27.94</v>
      </c>
      <c r="Q1249" s="181">
        <v>0</v>
      </c>
      <c r="R1249" s="181">
        <v>0</v>
      </c>
      <c r="S1249" s="181">
        <v>0</v>
      </c>
      <c r="T1249" s="181">
        <v>71.627999999999986</v>
      </c>
      <c r="U1249" s="181">
        <v>0</v>
      </c>
      <c r="V1249" s="181">
        <v>0</v>
      </c>
    </row>
    <row r="1250" spans="1:22">
      <c r="A1250" s="2" t="s">
        <v>2518</v>
      </c>
      <c r="B1250" s="2" t="s">
        <v>2519</v>
      </c>
      <c r="C1250" s="181">
        <v>80.807087999999993</v>
      </c>
      <c r="D1250" s="181">
        <v>10322.56</v>
      </c>
      <c r="E1250" s="181">
        <v>101.6</v>
      </c>
      <c r="F1250" s="181">
        <v>0</v>
      </c>
      <c r="G1250" s="181">
        <v>0</v>
      </c>
      <c r="H1250" s="181">
        <v>0</v>
      </c>
      <c r="I1250" s="181">
        <v>22.224999999999998</v>
      </c>
      <c r="J1250" s="181">
        <v>0</v>
      </c>
      <c r="K1250" s="181">
        <v>0</v>
      </c>
      <c r="L1250" s="181">
        <v>0</v>
      </c>
      <c r="M1250" s="181">
        <v>8074889.6566399988</v>
      </c>
      <c r="N1250" s="181">
        <v>204838.3</v>
      </c>
      <c r="O1250" s="181">
        <v>110448.81135999999</v>
      </c>
      <c r="P1250" s="181">
        <v>27.94</v>
      </c>
      <c r="Q1250" s="181">
        <v>0</v>
      </c>
      <c r="R1250" s="181">
        <v>0</v>
      </c>
      <c r="S1250" s="181">
        <v>0</v>
      </c>
      <c r="T1250" s="181">
        <v>75.183999999999997</v>
      </c>
      <c r="U1250" s="181">
        <v>0</v>
      </c>
      <c r="V1250" s="181">
        <v>0</v>
      </c>
    </row>
    <row r="1251" spans="1:22">
      <c r="A1251" s="2" t="s">
        <v>2520</v>
      </c>
      <c r="B1251" s="2" t="s">
        <v>2521</v>
      </c>
      <c r="C1251" s="181">
        <v>80.807087999999993</v>
      </c>
      <c r="D1251" s="181">
        <v>10322.56</v>
      </c>
      <c r="E1251" s="181">
        <v>101.6</v>
      </c>
      <c r="F1251" s="181">
        <v>0</v>
      </c>
      <c r="G1251" s="181">
        <v>0</v>
      </c>
      <c r="H1251" s="181">
        <v>0</v>
      </c>
      <c r="I1251" s="181">
        <v>22.224999999999998</v>
      </c>
      <c r="J1251" s="181">
        <v>0</v>
      </c>
      <c r="K1251" s="181">
        <v>0</v>
      </c>
      <c r="L1251" s="181">
        <v>0</v>
      </c>
      <c r="M1251" s="181">
        <v>8074889.6566399988</v>
      </c>
      <c r="N1251" s="181">
        <v>204838.3</v>
      </c>
      <c r="O1251" s="181">
        <v>110448.81135999999</v>
      </c>
      <c r="P1251" s="181">
        <v>27.94</v>
      </c>
      <c r="Q1251" s="181">
        <v>0</v>
      </c>
      <c r="R1251" s="181">
        <v>0</v>
      </c>
      <c r="S1251" s="181">
        <v>0</v>
      </c>
      <c r="T1251" s="181">
        <v>78.993999999999986</v>
      </c>
      <c r="U1251" s="181">
        <v>0</v>
      </c>
      <c r="V1251" s="181">
        <v>0</v>
      </c>
    </row>
    <row r="1252" spans="1:22">
      <c r="A1252" s="2" t="s">
        <v>2522</v>
      </c>
      <c r="B1252" s="2" t="s">
        <v>2523</v>
      </c>
      <c r="C1252" s="181">
        <v>70.241152</v>
      </c>
      <c r="D1252" s="181">
        <v>8967.7240000000002</v>
      </c>
      <c r="E1252" s="181">
        <v>101.6</v>
      </c>
      <c r="F1252" s="181">
        <v>0</v>
      </c>
      <c r="G1252" s="181">
        <v>0</v>
      </c>
      <c r="H1252" s="181">
        <v>0</v>
      </c>
      <c r="I1252" s="181">
        <v>19.049999999999997</v>
      </c>
      <c r="J1252" s="181">
        <v>0</v>
      </c>
      <c r="K1252" s="181">
        <v>0</v>
      </c>
      <c r="L1252" s="181">
        <v>0</v>
      </c>
      <c r="M1252" s="181">
        <v>7200803.6628799997</v>
      </c>
      <c r="N1252" s="181">
        <v>176980.29120000001</v>
      </c>
      <c r="O1252" s="181">
        <v>96683.677599999995</v>
      </c>
      <c r="P1252" s="181">
        <v>28.448</v>
      </c>
      <c r="Q1252" s="181">
        <v>0</v>
      </c>
      <c r="R1252" s="181">
        <v>0</v>
      </c>
      <c r="S1252" s="181">
        <v>0</v>
      </c>
      <c r="T1252" s="181">
        <v>71.11999999999999</v>
      </c>
      <c r="U1252" s="181">
        <v>0</v>
      </c>
      <c r="V1252" s="181">
        <v>0</v>
      </c>
    </row>
    <row r="1253" spans="1:22">
      <c r="A1253" s="2" t="s">
        <v>2524</v>
      </c>
      <c r="B1253" s="2" t="s">
        <v>2525</v>
      </c>
      <c r="C1253" s="181">
        <v>70.241152</v>
      </c>
      <c r="D1253" s="181">
        <v>8967.7240000000002</v>
      </c>
      <c r="E1253" s="181">
        <v>101.6</v>
      </c>
      <c r="F1253" s="181">
        <v>0</v>
      </c>
      <c r="G1253" s="181">
        <v>0</v>
      </c>
      <c r="H1253" s="181">
        <v>0</v>
      </c>
      <c r="I1253" s="181">
        <v>19.049999999999997</v>
      </c>
      <c r="J1253" s="181">
        <v>0</v>
      </c>
      <c r="K1253" s="181">
        <v>0</v>
      </c>
      <c r="L1253" s="181">
        <v>0</v>
      </c>
      <c r="M1253" s="181">
        <v>7200803.6628799997</v>
      </c>
      <c r="N1253" s="181">
        <v>176980.29120000001</v>
      </c>
      <c r="O1253" s="181">
        <v>96683.677599999995</v>
      </c>
      <c r="P1253" s="181">
        <v>28.448</v>
      </c>
      <c r="Q1253" s="181">
        <v>0</v>
      </c>
      <c r="R1253" s="181">
        <v>0</v>
      </c>
      <c r="S1253" s="181">
        <v>0</v>
      </c>
      <c r="T1253" s="181">
        <v>74.675999999999988</v>
      </c>
      <c r="U1253" s="181">
        <v>0</v>
      </c>
      <c r="V1253" s="181">
        <v>0</v>
      </c>
    </row>
    <row r="1254" spans="1:22">
      <c r="A1254" s="2" t="s">
        <v>2526</v>
      </c>
      <c r="B1254" s="2" t="s">
        <v>2527</v>
      </c>
      <c r="C1254" s="181">
        <v>70.241152</v>
      </c>
      <c r="D1254" s="181">
        <v>8967.7240000000002</v>
      </c>
      <c r="E1254" s="181">
        <v>101.6</v>
      </c>
      <c r="F1254" s="181">
        <v>0</v>
      </c>
      <c r="G1254" s="181">
        <v>0</v>
      </c>
      <c r="H1254" s="181">
        <v>0</v>
      </c>
      <c r="I1254" s="181">
        <v>19.049999999999997</v>
      </c>
      <c r="J1254" s="181">
        <v>0</v>
      </c>
      <c r="K1254" s="181">
        <v>0</v>
      </c>
      <c r="L1254" s="181">
        <v>0</v>
      </c>
      <c r="M1254" s="181">
        <v>7200803.6628799997</v>
      </c>
      <c r="N1254" s="181">
        <v>176980.29120000001</v>
      </c>
      <c r="O1254" s="181">
        <v>96683.677599999995</v>
      </c>
      <c r="P1254" s="181">
        <v>28.448</v>
      </c>
      <c r="Q1254" s="181">
        <v>0</v>
      </c>
      <c r="R1254" s="181">
        <v>0</v>
      </c>
      <c r="S1254" s="181">
        <v>0</v>
      </c>
      <c r="T1254" s="181">
        <v>78.231999999999999</v>
      </c>
      <c r="U1254" s="181">
        <v>0</v>
      </c>
      <c r="V1254" s="181">
        <v>0</v>
      </c>
    </row>
    <row r="1255" spans="1:22">
      <c r="A1255" s="2" t="s">
        <v>2528</v>
      </c>
      <c r="B1255" s="2" t="s">
        <v>2529</v>
      </c>
      <c r="C1255" s="181">
        <v>59.377583999999992</v>
      </c>
      <c r="D1255" s="181">
        <v>7548.3719999999994</v>
      </c>
      <c r="E1255" s="181">
        <v>101.6</v>
      </c>
      <c r="F1255" s="181">
        <v>0</v>
      </c>
      <c r="G1255" s="181">
        <v>0</v>
      </c>
      <c r="H1255" s="181">
        <v>0</v>
      </c>
      <c r="I1255" s="181">
        <v>15.875</v>
      </c>
      <c r="J1255" s="181">
        <v>0</v>
      </c>
      <c r="K1255" s="181">
        <v>0</v>
      </c>
      <c r="L1255" s="181">
        <v>0</v>
      </c>
      <c r="M1255" s="181">
        <v>6243471.3839999996</v>
      </c>
      <c r="N1255" s="181">
        <v>149613.89431999999</v>
      </c>
      <c r="O1255" s="181">
        <v>82426.931920000003</v>
      </c>
      <c r="P1255" s="181">
        <v>28.701999999999995</v>
      </c>
      <c r="Q1255" s="181">
        <v>0</v>
      </c>
      <c r="R1255" s="181">
        <v>0</v>
      </c>
      <c r="S1255" s="181">
        <v>0</v>
      </c>
      <c r="T1255" s="181">
        <v>70.35799999999999</v>
      </c>
      <c r="U1255" s="181">
        <v>0</v>
      </c>
      <c r="V1255" s="181">
        <v>0</v>
      </c>
    </row>
    <row r="1256" spans="1:22">
      <c r="A1256" s="2" t="s">
        <v>2530</v>
      </c>
      <c r="B1256" s="2" t="s">
        <v>2531</v>
      </c>
      <c r="C1256" s="181">
        <v>59.377583999999992</v>
      </c>
      <c r="D1256" s="181">
        <v>7548.3719999999994</v>
      </c>
      <c r="E1256" s="181">
        <v>101.6</v>
      </c>
      <c r="F1256" s="181">
        <v>0</v>
      </c>
      <c r="G1256" s="181">
        <v>0</v>
      </c>
      <c r="H1256" s="181">
        <v>0</v>
      </c>
      <c r="I1256" s="181">
        <v>15.875</v>
      </c>
      <c r="J1256" s="181">
        <v>0</v>
      </c>
      <c r="K1256" s="181">
        <v>0</v>
      </c>
      <c r="L1256" s="181">
        <v>0</v>
      </c>
      <c r="M1256" s="181">
        <v>6243471.3839999996</v>
      </c>
      <c r="N1256" s="181">
        <v>149613.89431999999</v>
      </c>
      <c r="O1256" s="181">
        <v>82426.931920000003</v>
      </c>
      <c r="P1256" s="181">
        <v>28.701999999999995</v>
      </c>
      <c r="Q1256" s="181">
        <v>0</v>
      </c>
      <c r="R1256" s="181">
        <v>0</v>
      </c>
      <c r="S1256" s="181">
        <v>0</v>
      </c>
      <c r="T1256" s="181">
        <v>73.914000000000001</v>
      </c>
      <c r="U1256" s="181">
        <v>0</v>
      </c>
      <c r="V1256" s="181">
        <v>0</v>
      </c>
    </row>
    <row r="1257" spans="1:22">
      <c r="A1257" s="2" t="s">
        <v>2532</v>
      </c>
      <c r="B1257" s="2" t="s">
        <v>2533</v>
      </c>
      <c r="C1257" s="181">
        <v>59.377583999999992</v>
      </c>
      <c r="D1257" s="181">
        <v>7548.3719999999994</v>
      </c>
      <c r="E1257" s="181">
        <v>101.6</v>
      </c>
      <c r="F1257" s="181">
        <v>0</v>
      </c>
      <c r="G1257" s="181">
        <v>0</v>
      </c>
      <c r="H1257" s="181">
        <v>0</v>
      </c>
      <c r="I1257" s="181">
        <v>15.875</v>
      </c>
      <c r="J1257" s="181">
        <v>0</v>
      </c>
      <c r="K1257" s="181">
        <v>0</v>
      </c>
      <c r="L1257" s="181">
        <v>0</v>
      </c>
      <c r="M1257" s="181">
        <v>6243471.3839999996</v>
      </c>
      <c r="N1257" s="181">
        <v>149613.89431999999</v>
      </c>
      <c r="O1257" s="181">
        <v>82426.931920000003</v>
      </c>
      <c r="P1257" s="181">
        <v>28.701999999999995</v>
      </c>
      <c r="Q1257" s="181">
        <v>0</v>
      </c>
      <c r="R1257" s="181">
        <v>0</v>
      </c>
      <c r="S1257" s="181">
        <v>0</v>
      </c>
      <c r="T1257" s="181">
        <v>77.724000000000004</v>
      </c>
      <c r="U1257" s="181">
        <v>0</v>
      </c>
      <c r="V1257" s="181">
        <v>0</v>
      </c>
    </row>
    <row r="1258" spans="1:22">
      <c r="A1258" s="2" t="s">
        <v>2534</v>
      </c>
      <c r="B1258" s="2" t="s">
        <v>2535</v>
      </c>
      <c r="C1258" s="181">
        <v>53.722575999999997</v>
      </c>
      <c r="D1258" s="181">
        <v>6838.695999999999</v>
      </c>
      <c r="E1258" s="181">
        <v>101.6</v>
      </c>
      <c r="F1258" s="181">
        <v>0</v>
      </c>
      <c r="G1258" s="181">
        <v>0</v>
      </c>
      <c r="H1258" s="181">
        <v>0</v>
      </c>
      <c r="I1258" s="181">
        <v>14.2875</v>
      </c>
      <c r="J1258" s="181">
        <v>0</v>
      </c>
      <c r="K1258" s="181">
        <v>0</v>
      </c>
      <c r="L1258" s="181">
        <v>0</v>
      </c>
      <c r="M1258" s="181">
        <v>5702370.5307199992</v>
      </c>
      <c r="N1258" s="181">
        <v>135357.14863999997</v>
      </c>
      <c r="O1258" s="181">
        <v>75052.753119999994</v>
      </c>
      <c r="P1258" s="181">
        <v>28.955999999999996</v>
      </c>
      <c r="Q1258" s="181">
        <v>0</v>
      </c>
      <c r="R1258" s="181">
        <v>0</v>
      </c>
      <c r="S1258" s="181">
        <v>0</v>
      </c>
      <c r="T1258" s="181">
        <v>70.103999999999985</v>
      </c>
      <c r="U1258" s="181">
        <v>0</v>
      </c>
      <c r="V1258" s="181">
        <v>0</v>
      </c>
    </row>
    <row r="1259" spans="1:22">
      <c r="A1259" s="2" t="s">
        <v>2536</v>
      </c>
      <c r="B1259" s="2" t="s">
        <v>2537</v>
      </c>
      <c r="C1259" s="181">
        <v>53.722575999999997</v>
      </c>
      <c r="D1259" s="181">
        <v>6838.695999999999</v>
      </c>
      <c r="E1259" s="181">
        <v>101.6</v>
      </c>
      <c r="F1259" s="181">
        <v>0</v>
      </c>
      <c r="G1259" s="181">
        <v>0</v>
      </c>
      <c r="H1259" s="181">
        <v>0</v>
      </c>
      <c r="I1259" s="181">
        <v>14.2875</v>
      </c>
      <c r="J1259" s="181">
        <v>0</v>
      </c>
      <c r="K1259" s="181">
        <v>0</v>
      </c>
      <c r="L1259" s="181">
        <v>0</v>
      </c>
      <c r="M1259" s="181">
        <v>5702370.5307199992</v>
      </c>
      <c r="N1259" s="181">
        <v>135357.14863999997</v>
      </c>
      <c r="O1259" s="181">
        <v>75052.753119999994</v>
      </c>
      <c r="P1259" s="181">
        <v>28.955999999999996</v>
      </c>
      <c r="Q1259" s="181">
        <v>0</v>
      </c>
      <c r="R1259" s="181">
        <v>0</v>
      </c>
      <c r="S1259" s="181">
        <v>0</v>
      </c>
      <c r="T1259" s="181">
        <v>73.66</v>
      </c>
      <c r="U1259" s="181">
        <v>0</v>
      </c>
      <c r="V1259" s="181">
        <v>0</v>
      </c>
    </row>
    <row r="1260" spans="1:22">
      <c r="A1260" s="2" t="s">
        <v>2538</v>
      </c>
      <c r="B1260" s="2" t="s">
        <v>2539</v>
      </c>
      <c r="C1260" s="181">
        <v>53.722575999999997</v>
      </c>
      <c r="D1260" s="181">
        <v>6838.695999999999</v>
      </c>
      <c r="E1260" s="181">
        <v>101.6</v>
      </c>
      <c r="F1260" s="181">
        <v>0</v>
      </c>
      <c r="G1260" s="181">
        <v>0</v>
      </c>
      <c r="H1260" s="181">
        <v>0</v>
      </c>
      <c r="I1260" s="181">
        <v>14.2875</v>
      </c>
      <c r="J1260" s="181">
        <v>0</v>
      </c>
      <c r="K1260" s="181">
        <v>0</v>
      </c>
      <c r="L1260" s="181">
        <v>0</v>
      </c>
      <c r="M1260" s="181">
        <v>5702370.5307199992</v>
      </c>
      <c r="N1260" s="181">
        <v>135357.14863999997</v>
      </c>
      <c r="O1260" s="181">
        <v>75052.753119999994</v>
      </c>
      <c r="P1260" s="181">
        <v>28.955999999999996</v>
      </c>
      <c r="Q1260" s="181">
        <v>0</v>
      </c>
      <c r="R1260" s="181">
        <v>0</v>
      </c>
      <c r="S1260" s="181">
        <v>0</v>
      </c>
      <c r="T1260" s="181">
        <v>77.215999999999994</v>
      </c>
      <c r="U1260" s="181">
        <v>0</v>
      </c>
      <c r="V1260" s="181">
        <v>0</v>
      </c>
    </row>
    <row r="1261" spans="1:22">
      <c r="A1261" s="2" t="s">
        <v>2540</v>
      </c>
      <c r="B1261" s="2" t="s">
        <v>2541</v>
      </c>
      <c r="C1261" s="181">
        <v>48.067567999999994</v>
      </c>
      <c r="D1261" s="181">
        <v>6129.0199999999995</v>
      </c>
      <c r="E1261" s="181">
        <v>101.6</v>
      </c>
      <c r="F1261" s="181">
        <v>0</v>
      </c>
      <c r="G1261" s="181">
        <v>0</v>
      </c>
      <c r="H1261" s="181">
        <v>0</v>
      </c>
      <c r="I1261" s="181">
        <v>12.7</v>
      </c>
      <c r="J1261" s="181">
        <v>0</v>
      </c>
      <c r="K1261" s="181">
        <v>0</v>
      </c>
      <c r="L1261" s="181">
        <v>0</v>
      </c>
      <c r="M1261" s="181">
        <v>5161269.6774399998</v>
      </c>
      <c r="N1261" s="181">
        <v>120936.53231999998</v>
      </c>
      <c r="O1261" s="181">
        <v>67514.703679999991</v>
      </c>
      <c r="P1261" s="181">
        <v>28.955999999999996</v>
      </c>
      <c r="Q1261" s="181">
        <v>0</v>
      </c>
      <c r="R1261" s="181">
        <v>0</v>
      </c>
      <c r="S1261" s="181">
        <v>0</v>
      </c>
      <c r="T1261" s="181">
        <v>69.849999999999994</v>
      </c>
      <c r="U1261" s="181">
        <v>0</v>
      </c>
      <c r="V1261" s="181">
        <v>0</v>
      </c>
    </row>
    <row r="1262" spans="1:22">
      <c r="A1262" s="2" t="s">
        <v>2542</v>
      </c>
      <c r="B1262" s="2" t="s">
        <v>2543</v>
      </c>
      <c r="C1262" s="181">
        <v>48.067567999999994</v>
      </c>
      <c r="D1262" s="181">
        <v>6129.0199999999995</v>
      </c>
      <c r="E1262" s="181">
        <v>101.6</v>
      </c>
      <c r="F1262" s="181">
        <v>0</v>
      </c>
      <c r="G1262" s="181">
        <v>0</v>
      </c>
      <c r="H1262" s="181">
        <v>0</v>
      </c>
      <c r="I1262" s="181">
        <v>12.7</v>
      </c>
      <c r="J1262" s="181">
        <v>0</v>
      </c>
      <c r="K1262" s="181">
        <v>0</v>
      </c>
      <c r="L1262" s="181">
        <v>0</v>
      </c>
      <c r="M1262" s="181">
        <v>5161269.6774399998</v>
      </c>
      <c r="N1262" s="181">
        <v>120936.53231999998</v>
      </c>
      <c r="O1262" s="181">
        <v>67514.703679999991</v>
      </c>
      <c r="P1262" s="181">
        <v>28.955999999999996</v>
      </c>
      <c r="Q1262" s="181">
        <v>0</v>
      </c>
      <c r="R1262" s="181">
        <v>0</v>
      </c>
      <c r="S1262" s="181">
        <v>0</v>
      </c>
      <c r="T1262" s="181">
        <v>73.406000000000006</v>
      </c>
      <c r="U1262" s="181">
        <v>0</v>
      </c>
      <c r="V1262" s="181">
        <v>0</v>
      </c>
    </row>
    <row r="1263" spans="1:22">
      <c r="A1263" s="2" t="s">
        <v>2544</v>
      </c>
      <c r="B1263" s="2" t="s">
        <v>2545</v>
      </c>
      <c r="C1263" s="181">
        <v>48.067567999999994</v>
      </c>
      <c r="D1263" s="181">
        <v>6129.0199999999995</v>
      </c>
      <c r="E1263" s="181">
        <v>101.6</v>
      </c>
      <c r="F1263" s="181">
        <v>0</v>
      </c>
      <c r="G1263" s="181">
        <v>0</v>
      </c>
      <c r="H1263" s="181">
        <v>0</v>
      </c>
      <c r="I1263" s="181">
        <v>12.7</v>
      </c>
      <c r="J1263" s="181">
        <v>0</v>
      </c>
      <c r="K1263" s="181">
        <v>0</v>
      </c>
      <c r="L1263" s="181">
        <v>0</v>
      </c>
      <c r="M1263" s="181">
        <v>5161269.6774399998</v>
      </c>
      <c r="N1263" s="181">
        <v>120936.53231999998</v>
      </c>
      <c r="O1263" s="181">
        <v>67514.703679999991</v>
      </c>
      <c r="P1263" s="181">
        <v>28.955999999999996</v>
      </c>
      <c r="Q1263" s="181">
        <v>0</v>
      </c>
      <c r="R1263" s="181">
        <v>0</v>
      </c>
      <c r="S1263" s="181">
        <v>0</v>
      </c>
      <c r="T1263" s="181">
        <v>76.961999999999989</v>
      </c>
      <c r="U1263" s="181">
        <v>0</v>
      </c>
      <c r="V1263" s="181">
        <v>0</v>
      </c>
    </row>
    <row r="1264" spans="1:22">
      <c r="A1264" s="2" t="s">
        <v>2546</v>
      </c>
      <c r="B1264" s="2" t="s">
        <v>2547</v>
      </c>
      <c r="C1264" s="181">
        <v>42.412559999999999</v>
      </c>
      <c r="D1264" s="181">
        <v>5393.5375999999997</v>
      </c>
      <c r="E1264" s="181">
        <v>101.6</v>
      </c>
      <c r="F1264" s="181">
        <v>0</v>
      </c>
      <c r="G1264" s="181">
        <v>0</v>
      </c>
      <c r="H1264" s="181">
        <v>0</v>
      </c>
      <c r="I1264" s="181">
        <v>11.112499999999999</v>
      </c>
      <c r="J1264" s="181">
        <v>0</v>
      </c>
      <c r="K1264" s="181">
        <v>0</v>
      </c>
      <c r="L1264" s="181">
        <v>0</v>
      </c>
      <c r="M1264" s="181">
        <v>4620168.8241599994</v>
      </c>
      <c r="N1264" s="181">
        <v>106352.04535999999</v>
      </c>
      <c r="O1264" s="181">
        <v>59812.783599999995</v>
      </c>
      <c r="P1264" s="181">
        <v>29.209999999999997</v>
      </c>
      <c r="Q1264" s="181">
        <v>0</v>
      </c>
      <c r="R1264" s="181">
        <v>0</v>
      </c>
      <c r="S1264" s="181">
        <v>0</v>
      </c>
      <c r="T1264" s="181">
        <v>69.596000000000004</v>
      </c>
      <c r="U1264" s="181">
        <v>0</v>
      </c>
      <c r="V1264" s="181">
        <v>0</v>
      </c>
    </row>
    <row r="1265" spans="1:22">
      <c r="A1265" s="2" t="s">
        <v>2548</v>
      </c>
      <c r="B1265" s="2" t="s">
        <v>2549</v>
      </c>
      <c r="C1265" s="181">
        <v>42.412559999999999</v>
      </c>
      <c r="D1265" s="181">
        <v>5393.5375999999997</v>
      </c>
      <c r="E1265" s="181">
        <v>101.6</v>
      </c>
      <c r="F1265" s="181">
        <v>0</v>
      </c>
      <c r="G1265" s="181">
        <v>0</v>
      </c>
      <c r="H1265" s="181">
        <v>0</v>
      </c>
      <c r="I1265" s="181">
        <v>11.112499999999999</v>
      </c>
      <c r="J1265" s="181">
        <v>0</v>
      </c>
      <c r="K1265" s="181">
        <v>0</v>
      </c>
      <c r="L1265" s="181">
        <v>0</v>
      </c>
      <c r="M1265" s="181">
        <v>4620168.8241599994</v>
      </c>
      <c r="N1265" s="181">
        <v>106352.04535999999</v>
      </c>
      <c r="O1265" s="181">
        <v>59812.783599999995</v>
      </c>
      <c r="P1265" s="181">
        <v>29.209999999999997</v>
      </c>
      <c r="Q1265" s="181">
        <v>0</v>
      </c>
      <c r="R1265" s="181">
        <v>0</v>
      </c>
      <c r="S1265" s="181">
        <v>0</v>
      </c>
      <c r="T1265" s="181">
        <v>73.151999999999987</v>
      </c>
      <c r="U1265" s="181">
        <v>0</v>
      </c>
      <c r="V1265" s="181">
        <v>0</v>
      </c>
    </row>
    <row r="1266" spans="1:22">
      <c r="A1266" s="2" t="s">
        <v>2550</v>
      </c>
      <c r="B1266" s="2" t="s">
        <v>2551</v>
      </c>
      <c r="C1266" s="181">
        <v>42.412559999999999</v>
      </c>
      <c r="D1266" s="181">
        <v>5393.5375999999997</v>
      </c>
      <c r="E1266" s="181">
        <v>101.6</v>
      </c>
      <c r="F1266" s="181">
        <v>0</v>
      </c>
      <c r="G1266" s="181">
        <v>0</v>
      </c>
      <c r="H1266" s="181">
        <v>0</v>
      </c>
      <c r="I1266" s="181">
        <v>11.112499999999999</v>
      </c>
      <c r="J1266" s="181">
        <v>0</v>
      </c>
      <c r="K1266" s="181">
        <v>0</v>
      </c>
      <c r="L1266" s="181">
        <v>0</v>
      </c>
      <c r="M1266" s="181">
        <v>4620168.8241599994</v>
      </c>
      <c r="N1266" s="181">
        <v>106352.04535999999</v>
      </c>
      <c r="O1266" s="181">
        <v>59812.783599999995</v>
      </c>
      <c r="P1266" s="181">
        <v>29.209999999999997</v>
      </c>
      <c r="Q1266" s="181">
        <v>0</v>
      </c>
      <c r="R1266" s="181">
        <v>0</v>
      </c>
      <c r="S1266" s="181">
        <v>0</v>
      </c>
      <c r="T1266" s="181">
        <v>76.707999999999998</v>
      </c>
      <c r="U1266" s="181">
        <v>0</v>
      </c>
      <c r="V1266" s="181">
        <v>0</v>
      </c>
    </row>
    <row r="1267" spans="1:22">
      <c r="A1267" s="2" t="s">
        <v>2552</v>
      </c>
      <c r="B1267" s="2" t="s">
        <v>2553</v>
      </c>
      <c r="C1267" s="181">
        <v>36.608736</v>
      </c>
      <c r="D1267" s="181">
        <v>4658.0551999999998</v>
      </c>
      <c r="E1267" s="181">
        <v>101.6</v>
      </c>
      <c r="F1267" s="181">
        <v>0</v>
      </c>
      <c r="G1267" s="181">
        <v>0</v>
      </c>
      <c r="H1267" s="181">
        <v>0</v>
      </c>
      <c r="I1267" s="181">
        <v>9.5249999999999986</v>
      </c>
      <c r="J1267" s="181">
        <v>0</v>
      </c>
      <c r="K1267" s="181">
        <v>0</v>
      </c>
      <c r="L1267" s="181">
        <v>0</v>
      </c>
      <c r="M1267" s="181">
        <v>4045769.4568320001</v>
      </c>
      <c r="N1267" s="181">
        <v>91439.817119999992</v>
      </c>
      <c r="O1267" s="181">
        <v>51946.992879999991</v>
      </c>
      <c r="P1267" s="181">
        <v>29.463999999999995</v>
      </c>
      <c r="Q1267" s="181">
        <v>0</v>
      </c>
      <c r="R1267" s="181">
        <v>0</v>
      </c>
      <c r="S1267" s="181">
        <v>0</v>
      </c>
      <c r="T1267" s="181">
        <v>69.341999999999999</v>
      </c>
      <c r="U1267" s="181">
        <v>0</v>
      </c>
      <c r="V1267" s="181">
        <v>0</v>
      </c>
    </row>
    <row r="1268" spans="1:22">
      <c r="A1268" s="2" t="s">
        <v>2554</v>
      </c>
      <c r="B1268" s="2" t="s">
        <v>2555</v>
      </c>
      <c r="C1268" s="181">
        <v>36.608736</v>
      </c>
      <c r="D1268" s="181">
        <v>4658.0551999999998</v>
      </c>
      <c r="E1268" s="181">
        <v>101.6</v>
      </c>
      <c r="F1268" s="181">
        <v>0</v>
      </c>
      <c r="G1268" s="181">
        <v>0</v>
      </c>
      <c r="H1268" s="181">
        <v>0</v>
      </c>
      <c r="I1268" s="181">
        <v>9.5249999999999986</v>
      </c>
      <c r="J1268" s="181">
        <v>0</v>
      </c>
      <c r="K1268" s="181">
        <v>0</v>
      </c>
      <c r="L1268" s="181">
        <v>0</v>
      </c>
      <c r="M1268" s="181">
        <v>4045769.4568320001</v>
      </c>
      <c r="N1268" s="181">
        <v>91439.817119999992</v>
      </c>
      <c r="O1268" s="181">
        <v>51946.992879999991</v>
      </c>
      <c r="P1268" s="181">
        <v>29.463999999999995</v>
      </c>
      <c r="Q1268" s="181">
        <v>0</v>
      </c>
      <c r="R1268" s="181">
        <v>0</v>
      </c>
      <c r="S1268" s="181">
        <v>0</v>
      </c>
      <c r="T1268" s="181">
        <v>72.643999999999991</v>
      </c>
      <c r="U1268" s="181">
        <v>0</v>
      </c>
      <c r="V1268" s="181">
        <v>0</v>
      </c>
    </row>
    <row r="1269" spans="1:22">
      <c r="A1269" s="2" t="s">
        <v>2556</v>
      </c>
      <c r="B1269" s="2" t="s">
        <v>2557</v>
      </c>
      <c r="C1269" s="181">
        <v>36.608736</v>
      </c>
      <c r="D1269" s="181">
        <v>4658.0551999999998</v>
      </c>
      <c r="E1269" s="181">
        <v>101.6</v>
      </c>
      <c r="F1269" s="181">
        <v>0</v>
      </c>
      <c r="G1269" s="181">
        <v>0</v>
      </c>
      <c r="H1269" s="181">
        <v>0</v>
      </c>
      <c r="I1269" s="181">
        <v>9.5249999999999986</v>
      </c>
      <c r="J1269" s="181">
        <v>0</v>
      </c>
      <c r="K1269" s="181">
        <v>0</v>
      </c>
      <c r="L1269" s="181">
        <v>0</v>
      </c>
      <c r="M1269" s="181">
        <v>4045769.4568320001</v>
      </c>
      <c r="N1269" s="181">
        <v>91439.817119999992</v>
      </c>
      <c r="O1269" s="181">
        <v>51946.992879999991</v>
      </c>
      <c r="P1269" s="181">
        <v>29.463999999999995</v>
      </c>
      <c r="Q1269" s="181">
        <v>0</v>
      </c>
      <c r="R1269" s="181">
        <v>0</v>
      </c>
      <c r="S1269" s="181">
        <v>0</v>
      </c>
      <c r="T1269" s="181">
        <v>76.199999999999989</v>
      </c>
      <c r="U1269" s="181">
        <v>0</v>
      </c>
      <c r="V1269" s="181">
        <v>0</v>
      </c>
    </row>
    <row r="1270" spans="1:22">
      <c r="A1270" s="2" t="s">
        <v>2558</v>
      </c>
      <c r="B1270" s="2" t="s">
        <v>2559</v>
      </c>
      <c r="C1270" s="181">
        <v>30.656096000000002</v>
      </c>
      <c r="D1270" s="181">
        <v>3903.2179999999998</v>
      </c>
      <c r="E1270" s="181">
        <v>101.6</v>
      </c>
      <c r="F1270" s="181">
        <v>0</v>
      </c>
      <c r="G1270" s="181">
        <v>0</v>
      </c>
      <c r="H1270" s="181">
        <v>0</v>
      </c>
      <c r="I1270" s="181">
        <v>7.9375</v>
      </c>
      <c r="J1270" s="181">
        <v>0</v>
      </c>
      <c r="K1270" s="181">
        <v>0</v>
      </c>
      <c r="L1270" s="181">
        <v>0</v>
      </c>
      <c r="M1270" s="181">
        <v>3438071.5754559995</v>
      </c>
      <c r="N1270" s="181">
        <v>76527.588879999996</v>
      </c>
      <c r="O1270" s="181">
        <v>43753.460879999991</v>
      </c>
      <c r="P1270" s="181">
        <v>29.717999999999996</v>
      </c>
      <c r="Q1270" s="181">
        <v>0</v>
      </c>
      <c r="R1270" s="181">
        <v>0</v>
      </c>
      <c r="S1270" s="181">
        <v>0</v>
      </c>
      <c r="T1270" s="181">
        <v>69.088000000000008</v>
      </c>
      <c r="U1270" s="181">
        <v>0</v>
      </c>
      <c r="V1270" s="181">
        <v>0</v>
      </c>
    </row>
    <row r="1271" spans="1:22">
      <c r="A1271" s="2" t="s">
        <v>2560</v>
      </c>
      <c r="B1271" s="2" t="s">
        <v>2561</v>
      </c>
      <c r="C1271" s="181">
        <v>30.656096000000002</v>
      </c>
      <c r="D1271" s="181">
        <v>3903.2179999999998</v>
      </c>
      <c r="E1271" s="181">
        <v>101.6</v>
      </c>
      <c r="F1271" s="181">
        <v>0</v>
      </c>
      <c r="G1271" s="181">
        <v>0</v>
      </c>
      <c r="H1271" s="181">
        <v>0</v>
      </c>
      <c r="I1271" s="181">
        <v>7.9375</v>
      </c>
      <c r="J1271" s="181">
        <v>0</v>
      </c>
      <c r="K1271" s="181">
        <v>0</v>
      </c>
      <c r="L1271" s="181">
        <v>0</v>
      </c>
      <c r="M1271" s="181">
        <v>3438071.5754559995</v>
      </c>
      <c r="N1271" s="181">
        <v>76527.588879999996</v>
      </c>
      <c r="O1271" s="181">
        <v>43753.460879999991</v>
      </c>
      <c r="P1271" s="181">
        <v>29.717999999999996</v>
      </c>
      <c r="Q1271" s="181">
        <v>0</v>
      </c>
      <c r="R1271" s="181">
        <v>0</v>
      </c>
      <c r="S1271" s="181">
        <v>0</v>
      </c>
      <c r="T1271" s="181">
        <v>72.39</v>
      </c>
      <c r="U1271" s="181">
        <v>0</v>
      </c>
      <c r="V1271" s="181">
        <v>0</v>
      </c>
    </row>
    <row r="1272" spans="1:22">
      <c r="A1272" s="2" t="s">
        <v>2562</v>
      </c>
      <c r="B1272" s="2" t="s">
        <v>2563</v>
      </c>
      <c r="C1272" s="181">
        <v>30.656096000000002</v>
      </c>
      <c r="D1272" s="181">
        <v>3903.2179999999998</v>
      </c>
      <c r="E1272" s="181">
        <v>101.6</v>
      </c>
      <c r="F1272" s="181">
        <v>0</v>
      </c>
      <c r="G1272" s="181">
        <v>0</v>
      </c>
      <c r="H1272" s="181">
        <v>0</v>
      </c>
      <c r="I1272" s="181">
        <v>7.9375</v>
      </c>
      <c r="J1272" s="181">
        <v>0</v>
      </c>
      <c r="K1272" s="181">
        <v>0</v>
      </c>
      <c r="L1272" s="181">
        <v>0</v>
      </c>
      <c r="M1272" s="181">
        <v>3438071.5754559995</v>
      </c>
      <c r="N1272" s="181">
        <v>76527.588879999996</v>
      </c>
      <c r="O1272" s="181">
        <v>43753.460879999991</v>
      </c>
      <c r="P1272" s="181">
        <v>29.717999999999996</v>
      </c>
      <c r="Q1272" s="181">
        <v>0</v>
      </c>
      <c r="R1272" s="181">
        <v>0</v>
      </c>
      <c r="S1272" s="181">
        <v>0</v>
      </c>
      <c r="T1272" s="181">
        <v>75.945999999999998</v>
      </c>
      <c r="U1272" s="181">
        <v>0</v>
      </c>
      <c r="V1272" s="181">
        <v>0</v>
      </c>
    </row>
    <row r="1273" spans="1:22">
      <c r="A1273" s="2" t="s">
        <v>2564</v>
      </c>
      <c r="B1273" s="2" t="s">
        <v>2565</v>
      </c>
      <c r="C1273" s="181">
        <v>45.686511999999993</v>
      </c>
      <c r="D1273" s="181">
        <v>5832.2463999999991</v>
      </c>
      <c r="E1273" s="181">
        <v>88.899999999999991</v>
      </c>
      <c r="F1273" s="181">
        <v>0</v>
      </c>
      <c r="G1273" s="181">
        <v>0</v>
      </c>
      <c r="H1273" s="181">
        <v>0</v>
      </c>
      <c r="I1273" s="181">
        <v>12.7</v>
      </c>
      <c r="J1273" s="181">
        <v>0</v>
      </c>
      <c r="K1273" s="181">
        <v>0</v>
      </c>
      <c r="L1273" s="181">
        <v>0</v>
      </c>
      <c r="M1273" s="181">
        <v>3525480.1748319999</v>
      </c>
      <c r="N1273" s="181">
        <v>94553.35927999999</v>
      </c>
      <c r="O1273" s="181">
        <v>51946.992879999991</v>
      </c>
      <c r="P1273" s="181">
        <v>24.587199999999999</v>
      </c>
      <c r="Q1273" s="181">
        <v>0</v>
      </c>
      <c r="R1273" s="181">
        <v>0</v>
      </c>
      <c r="S1273" s="181">
        <v>0</v>
      </c>
      <c r="T1273" s="181">
        <v>71.627999999999986</v>
      </c>
      <c r="U1273" s="181">
        <v>0</v>
      </c>
      <c r="V1273" s="181">
        <v>0</v>
      </c>
    </row>
    <row r="1274" spans="1:22">
      <c r="A1274" s="2" t="s">
        <v>2566</v>
      </c>
      <c r="B1274" s="2" t="s">
        <v>2567</v>
      </c>
      <c r="C1274" s="181">
        <v>45.686511999999993</v>
      </c>
      <c r="D1274" s="181">
        <v>5832.2463999999991</v>
      </c>
      <c r="E1274" s="181">
        <v>88.899999999999991</v>
      </c>
      <c r="F1274" s="181">
        <v>0</v>
      </c>
      <c r="G1274" s="181">
        <v>0</v>
      </c>
      <c r="H1274" s="181">
        <v>0</v>
      </c>
      <c r="I1274" s="181">
        <v>12.7</v>
      </c>
      <c r="J1274" s="181">
        <v>0</v>
      </c>
      <c r="K1274" s="181">
        <v>0</v>
      </c>
      <c r="L1274" s="181">
        <v>0</v>
      </c>
      <c r="M1274" s="181">
        <v>3525480.1748319999</v>
      </c>
      <c r="N1274" s="181">
        <v>94553.35927999999</v>
      </c>
      <c r="O1274" s="181">
        <v>51946.992879999991</v>
      </c>
      <c r="P1274" s="181">
        <v>24.587199999999999</v>
      </c>
      <c r="Q1274" s="181">
        <v>0</v>
      </c>
      <c r="R1274" s="181">
        <v>0</v>
      </c>
      <c r="S1274" s="181">
        <v>0</v>
      </c>
      <c r="T1274" s="181">
        <v>75.183999999999997</v>
      </c>
      <c r="U1274" s="181">
        <v>0</v>
      </c>
      <c r="V1274" s="181">
        <v>0</v>
      </c>
    </row>
    <row r="1275" spans="1:22">
      <c r="A1275" s="2" t="s">
        <v>2568</v>
      </c>
      <c r="B1275" s="2" t="s">
        <v>2569</v>
      </c>
      <c r="C1275" s="181">
        <v>45.686511999999993</v>
      </c>
      <c r="D1275" s="181">
        <v>5832.2463999999991</v>
      </c>
      <c r="E1275" s="181">
        <v>88.899999999999991</v>
      </c>
      <c r="F1275" s="181">
        <v>0</v>
      </c>
      <c r="G1275" s="181">
        <v>0</v>
      </c>
      <c r="H1275" s="181">
        <v>0</v>
      </c>
      <c r="I1275" s="181">
        <v>12.7</v>
      </c>
      <c r="J1275" s="181">
        <v>0</v>
      </c>
      <c r="K1275" s="181">
        <v>0</v>
      </c>
      <c r="L1275" s="181">
        <v>0</v>
      </c>
      <c r="M1275" s="181">
        <v>3525480.1748319999</v>
      </c>
      <c r="N1275" s="181">
        <v>94553.35927999999</v>
      </c>
      <c r="O1275" s="181">
        <v>51946.992879999991</v>
      </c>
      <c r="P1275" s="181">
        <v>24.587199999999999</v>
      </c>
      <c r="Q1275" s="181">
        <v>0</v>
      </c>
      <c r="R1275" s="181">
        <v>0</v>
      </c>
      <c r="S1275" s="181">
        <v>0</v>
      </c>
      <c r="T1275" s="181">
        <v>78.993999999999986</v>
      </c>
      <c r="U1275" s="181">
        <v>0</v>
      </c>
      <c r="V1275" s="181">
        <v>0</v>
      </c>
    </row>
    <row r="1276" spans="1:22">
      <c r="A1276" s="2" t="s">
        <v>2570</v>
      </c>
      <c r="B1276" s="2" t="s">
        <v>2571</v>
      </c>
      <c r="C1276" s="181">
        <v>34.822944</v>
      </c>
      <c r="D1276" s="181">
        <v>4438.7007999999996</v>
      </c>
      <c r="E1276" s="181">
        <v>88.899999999999991</v>
      </c>
      <c r="F1276" s="181">
        <v>0</v>
      </c>
      <c r="G1276" s="181">
        <v>0</v>
      </c>
      <c r="H1276" s="181">
        <v>0</v>
      </c>
      <c r="I1276" s="181">
        <v>9.5249999999999986</v>
      </c>
      <c r="J1276" s="181">
        <v>0</v>
      </c>
      <c r="K1276" s="181">
        <v>0</v>
      </c>
      <c r="L1276" s="181">
        <v>0</v>
      </c>
      <c r="M1276" s="181">
        <v>2767938.9802399999</v>
      </c>
      <c r="N1276" s="181">
        <v>71447.599040000001</v>
      </c>
      <c r="O1276" s="181">
        <v>40148.306799999998</v>
      </c>
      <c r="P1276" s="181">
        <v>24.993599999999997</v>
      </c>
      <c r="Q1276" s="181">
        <v>0</v>
      </c>
      <c r="R1276" s="181">
        <v>0</v>
      </c>
      <c r="S1276" s="181">
        <v>0</v>
      </c>
      <c r="T1276" s="181">
        <v>71.11999999999999</v>
      </c>
      <c r="U1276" s="181">
        <v>0</v>
      </c>
      <c r="V1276" s="181">
        <v>0</v>
      </c>
    </row>
    <row r="1277" spans="1:22">
      <c r="A1277" s="2" t="s">
        <v>2572</v>
      </c>
      <c r="B1277" s="2" t="s">
        <v>2573</v>
      </c>
      <c r="C1277" s="181">
        <v>34.822944</v>
      </c>
      <c r="D1277" s="181">
        <v>4438.7007999999996</v>
      </c>
      <c r="E1277" s="181">
        <v>88.899999999999991</v>
      </c>
      <c r="F1277" s="181">
        <v>0</v>
      </c>
      <c r="G1277" s="181">
        <v>0</v>
      </c>
      <c r="H1277" s="181">
        <v>0</v>
      </c>
      <c r="I1277" s="181">
        <v>9.5249999999999986</v>
      </c>
      <c r="J1277" s="181">
        <v>0</v>
      </c>
      <c r="K1277" s="181">
        <v>0</v>
      </c>
      <c r="L1277" s="181">
        <v>0</v>
      </c>
      <c r="M1277" s="181">
        <v>2767938.9802399999</v>
      </c>
      <c r="N1277" s="181">
        <v>71447.599040000001</v>
      </c>
      <c r="O1277" s="181">
        <v>40148.306799999998</v>
      </c>
      <c r="P1277" s="181">
        <v>24.993599999999997</v>
      </c>
      <c r="Q1277" s="181">
        <v>0</v>
      </c>
      <c r="R1277" s="181">
        <v>0</v>
      </c>
      <c r="S1277" s="181">
        <v>0</v>
      </c>
      <c r="T1277" s="181">
        <v>74.675999999999988</v>
      </c>
      <c r="U1277" s="181">
        <v>0</v>
      </c>
      <c r="V1277" s="181">
        <v>0</v>
      </c>
    </row>
    <row r="1278" spans="1:22">
      <c r="A1278" s="2" t="s">
        <v>2574</v>
      </c>
      <c r="B1278" s="2" t="s">
        <v>2575</v>
      </c>
      <c r="C1278" s="181">
        <v>34.822944</v>
      </c>
      <c r="D1278" s="181">
        <v>4438.7007999999996</v>
      </c>
      <c r="E1278" s="181">
        <v>88.899999999999991</v>
      </c>
      <c r="F1278" s="181">
        <v>0</v>
      </c>
      <c r="G1278" s="181">
        <v>0</v>
      </c>
      <c r="H1278" s="181">
        <v>0</v>
      </c>
      <c r="I1278" s="181">
        <v>9.5249999999999986</v>
      </c>
      <c r="J1278" s="181">
        <v>0</v>
      </c>
      <c r="K1278" s="181">
        <v>0</v>
      </c>
      <c r="L1278" s="181">
        <v>0</v>
      </c>
      <c r="M1278" s="181">
        <v>2767938.9802399999</v>
      </c>
      <c r="N1278" s="181">
        <v>71447.599040000001</v>
      </c>
      <c r="O1278" s="181">
        <v>40148.306799999998</v>
      </c>
      <c r="P1278" s="181">
        <v>24.993599999999997</v>
      </c>
      <c r="Q1278" s="181">
        <v>0</v>
      </c>
      <c r="R1278" s="181">
        <v>0</v>
      </c>
      <c r="S1278" s="181">
        <v>0</v>
      </c>
      <c r="T1278" s="181">
        <v>78.231999999999999</v>
      </c>
      <c r="U1278" s="181">
        <v>0</v>
      </c>
      <c r="V1278" s="181">
        <v>0</v>
      </c>
    </row>
    <row r="1279" spans="1:22">
      <c r="A1279" s="2" t="s">
        <v>2576</v>
      </c>
      <c r="B1279" s="2" t="s">
        <v>2577</v>
      </c>
      <c r="C1279" s="181">
        <v>29.316751999999997</v>
      </c>
      <c r="D1279" s="181">
        <v>3729.0248000000001</v>
      </c>
      <c r="E1279" s="181">
        <v>88.899999999999991</v>
      </c>
      <c r="F1279" s="181">
        <v>0</v>
      </c>
      <c r="G1279" s="181">
        <v>0</v>
      </c>
      <c r="H1279" s="181">
        <v>0</v>
      </c>
      <c r="I1279" s="181">
        <v>7.9375</v>
      </c>
      <c r="J1279" s="181">
        <v>0</v>
      </c>
      <c r="K1279" s="181">
        <v>0</v>
      </c>
      <c r="L1279" s="181">
        <v>0</v>
      </c>
      <c r="M1279" s="181">
        <v>2364194.4974079998</v>
      </c>
      <c r="N1279" s="181">
        <v>59812.783599999995</v>
      </c>
      <c r="O1279" s="181">
        <v>33921.222479999997</v>
      </c>
      <c r="P1279" s="181">
        <v>25.171399999999998</v>
      </c>
      <c r="Q1279" s="181">
        <v>0</v>
      </c>
      <c r="R1279" s="181">
        <v>0</v>
      </c>
      <c r="S1279" s="181">
        <v>0</v>
      </c>
      <c r="T1279" s="181">
        <v>70.611999999999995</v>
      </c>
      <c r="U1279" s="181">
        <v>0</v>
      </c>
      <c r="V1279" s="181">
        <v>0</v>
      </c>
    </row>
    <row r="1280" spans="1:22">
      <c r="A1280" s="2" t="s">
        <v>2578</v>
      </c>
      <c r="B1280" s="2" t="s">
        <v>2579</v>
      </c>
      <c r="C1280" s="181">
        <v>29.316751999999997</v>
      </c>
      <c r="D1280" s="181">
        <v>3729.0248000000001</v>
      </c>
      <c r="E1280" s="181">
        <v>88.899999999999991</v>
      </c>
      <c r="F1280" s="181">
        <v>0</v>
      </c>
      <c r="G1280" s="181">
        <v>0</v>
      </c>
      <c r="H1280" s="181">
        <v>0</v>
      </c>
      <c r="I1280" s="181">
        <v>7.9375</v>
      </c>
      <c r="J1280" s="181">
        <v>0</v>
      </c>
      <c r="K1280" s="181">
        <v>0</v>
      </c>
      <c r="L1280" s="181">
        <v>0</v>
      </c>
      <c r="M1280" s="181">
        <v>2364194.4974079998</v>
      </c>
      <c r="N1280" s="181">
        <v>59812.783599999995</v>
      </c>
      <c r="O1280" s="181">
        <v>33921.222479999997</v>
      </c>
      <c r="P1280" s="181">
        <v>25.171399999999998</v>
      </c>
      <c r="Q1280" s="181">
        <v>0</v>
      </c>
      <c r="R1280" s="181">
        <v>0</v>
      </c>
      <c r="S1280" s="181">
        <v>0</v>
      </c>
      <c r="T1280" s="181">
        <v>74.167999999999992</v>
      </c>
      <c r="U1280" s="181">
        <v>0</v>
      </c>
      <c r="V1280" s="181">
        <v>0</v>
      </c>
    </row>
    <row r="1281" spans="1:22">
      <c r="A1281" s="2" t="s">
        <v>2580</v>
      </c>
      <c r="B1281" s="2" t="s">
        <v>2581</v>
      </c>
      <c r="C1281" s="181">
        <v>29.316751999999997</v>
      </c>
      <c r="D1281" s="181">
        <v>3729.0248000000001</v>
      </c>
      <c r="E1281" s="181">
        <v>88.899999999999991</v>
      </c>
      <c r="F1281" s="181">
        <v>0</v>
      </c>
      <c r="G1281" s="181">
        <v>0</v>
      </c>
      <c r="H1281" s="181">
        <v>0</v>
      </c>
      <c r="I1281" s="181">
        <v>7.9375</v>
      </c>
      <c r="J1281" s="181">
        <v>0</v>
      </c>
      <c r="K1281" s="181">
        <v>0</v>
      </c>
      <c r="L1281" s="181">
        <v>0</v>
      </c>
      <c r="M1281" s="181">
        <v>2364194.4974079998</v>
      </c>
      <c r="N1281" s="181">
        <v>59812.783599999995</v>
      </c>
      <c r="O1281" s="181">
        <v>33921.222479999997</v>
      </c>
      <c r="P1281" s="181">
        <v>25.171399999999998</v>
      </c>
      <c r="Q1281" s="181">
        <v>0</v>
      </c>
      <c r="R1281" s="181">
        <v>0</v>
      </c>
      <c r="S1281" s="181">
        <v>0</v>
      </c>
      <c r="T1281" s="181">
        <v>77.724000000000004</v>
      </c>
      <c r="U1281" s="181">
        <v>0</v>
      </c>
      <c r="V1281" s="181">
        <v>0</v>
      </c>
    </row>
    <row r="1282" spans="1:22">
      <c r="A1282" s="2" t="s">
        <v>2582</v>
      </c>
      <c r="B1282" s="2" t="s">
        <v>2583</v>
      </c>
      <c r="C1282" s="181">
        <v>58.931136000000002</v>
      </c>
      <c r="D1282" s="181">
        <v>7483.8559999999998</v>
      </c>
      <c r="E1282" s="181">
        <v>88.899999999999991</v>
      </c>
      <c r="F1282" s="181">
        <v>0</v>
      </c>
      <c r="G1282" s="181">
        <v>0</v>
      </c>
      <c r="H1282" s="181">
        <v>0</v>
      </c>
      <c r="I1282" s="181">
        <v>19.049999999999997</v>
      </c>
      <c r="J1282" s="181">
        <v>0</v>
      </c>
      <c r="K1282" s="181">
        <v>0</v>
      </c>
      <c r="L1282" s="181">
        <v>0</v>
      </c>
      <c r="M1282" s="181">
        <v>4578545.6815999998</v>
      </c>
      <c r="N1282" s="181">
        <v>133226.83032000001</v>
      </c>
      <c r="O1282" s="181">
        <v>72103.081600000005</v>
      </c>
      <c r="P1282" s="181">
        <v>24.739599999999999</v>
      </c>
      <c r="Q1282" s="181">
        <v>0</v>
      </c>
      <c r="R1282" s="181">
        <v>0</v>
      </c>
      <c r="S1282" s="181">
        <v>0</v>
      </c>
      <c r="T1282" s="181">
        <v>59.181999999999995</v>
      </c>
      <c r="U1282" s="181">
        <v>0</v>
      </c>
      <c r="V1282" s="181">
        <v>0</v>
      </c>
    </row>
    <row r="1283" spans="1:22">
      <c r="A1283" s="2" t="s">
        <v>2584</v>
      </c>
      <c r="B1283" s="2" t="s">
        <v>2585</v>
      </c>
      <c r="C1283" s="181">
        <v>58.931136000000002</v>
      </c>
      <c r="D1283" s="181">
        <v>7483.8559999999998</v>
      </c>
      <c r="E1283" s="181">
        <v>88.899999999999991</v>
      </c>
      <c r="F1283" s="181">
        <v>0</v>
      </c>
      <c r="G1283" s="181">
        <v>0</v>
      </c>
      <c r="H1283" s="181">
        <v>0</v>
      </c>
      <c r="I1283" s="181">
        <v>19.049999999999997</v>
      </c>
      <c r="J1283" s="181">
        <v>0</v>
      </c>
      <c r="K1283" s="181">
        <v>0</v>
      </c>
      <c r="L1283" s="181">
        <v>0</v>
      </c>
      <c r="M1283" s="181">
        <v>4578545.6815999998</v>
      </c>
      <c r="N1283" s="181">
        <v>133226.83032000001</v>
      </c>
      <c r="O1283" s="181">
        <v>72103.081600000005</v>
      </c>
      <c r="P1283" s="181">
        <v>24.739599999999999</v>
      </c>
      <c r="Q1283" s="181">
        <v>0</v>
      </c>
      <c r="R1283" s="181">
        <v>0</v>
      </c>
      <c r="S1283" s="181">
        <v>0</v>
      </c>
      <c r="T1283" s="181">
        <v>62.738</v>
      </c>
      <c r="U1283" s="181">
        <v>0</v>
      </c>
      <c r="V1283" s="181">
        <v>0</v>
      </c>
    </row>
    <row r="1284" spans="1:22">
      <c r="A1284" s="2" t="s">
        <v>2586</v>
      </c>
      <c r="B1284" s="2" t="s">
        <v>2587</v>
      </c>
      <c r="C1284" s="181">
        <v>58.931136000000002</v>
      </c>
      <c r="D1284" s="181">
        <v>7483.8559999999998</v>
      </c>
      <c r="E1284" s="181">
        <v>88.899999999999991</v>
      </c>
      <c r="F1284" s="181">
        <v>0</v>
      </c>
      <c r="G1284" s="181">
        <v>0</v>
      </c>
      <c r="H1284" s="181">
        <v>0</v>
      </c>
      <c r="I1284" s="181">
        <v>19.049999999999997</v>
      </c>
      <c r="J1284" s="181">
        <v>0</v>
      </c>
      <c r="K1284" s="181">
        <v>0</v>
      </c>
      <c r="L1284" s="181">
        <v>0</v>
      </c>
      <c r="M1284" s="181">
        <v>4578545.6815999998</v>
      </c>
      <c r="N1284" s="181">
        <v>133226.83032000001</v>
      </c>
      <c r="O1284" s="181">
        <v>72103.081600000005</v>
      </c>
      <c r="P1284" s="181">
        <v>24.739599999999999</v>
      </c>
      <c r="Q1284" s="181">
        <v>0</v>
      </c>
      <c r="R1284" s="181">
        <v>0</v>
      </c>
      <c r="S1284" s="181">
        <v>0</v>
      </c>
      <c r="T1284" s="181">
        <v>66.548000000000002</v>
      </c>
      <c r="U1284" s="181">
        <v>0</v>
      </c>
      <c r="V1284" s="181">
        <v>0</v>
      </c>
    </row>
    <row r="1285" spans="1:22">
      <c r="A1285" s="2" t="s">
        <v>2588</v>
      </c>
      <c r="B1285" s="2" t="s">
        <v>2589</v>
      </c>
      <c r="C1285" s="181">
        <v>49.853359999999995</v>
      </c>
      <c r="D1285" s="181">
        <v>6354.8259999999991</v>
      </c>
      <c r="E1285" s="181">
        <v>88.899999999999991</v>
      </c>
      <c r="F1285" s="181">
        <v>0</v>
      </c>
      <c r="G1285" s="181">
        <v>0</v>
      </c>
      <c r="H1285" s="181">
        <v>0</v>
      </c>
      <c r="I1285" s="181">
        <v>15.875</v>
      </c>
      <c r="J1285" s="181">
        <v>0</v>
      </c>
      <c r="K1285" s="181">
        <v>0</v>
      </c>
      <c r="L1285" s="181">
        <v>0</v>
      </c>
      <c r="M1285" s="181">
        <v>3995821.6857599993</v>
      </c>
      <c r="N1285" s="181">
        <v>112579.12968</v>
      </c>
      <c r="O1285" s="181">
        <v>61615.360639999992</v>
      </c>
      <c r="P1285" s="181">
        <v>25.069799999999997</v>
      </c>
      <c r="Q1285" s="181">
        <v>0</v>
      </c>
      <c r="R1285" s="181">
        <v>0</v>
      </c>
      <c r="S1285" s="181">
        <v>0</v>
      </c>
      <c r="T1285" s="181">
        <v>58.419999999999995</v>
      </c>
      <c r="U1285" s="181">
        <v>0</v>
      </c>
      <c r="V1285" s="181">
        <v>0</v>
      </c>
    </row>
    <row r="1286" spans="1:22">
      <c r="A1286" s="2" t="s">
        <v>2590</v>
      </c>
      <c r="B1286" s="2" t="s">
        <v>2591</v>
      </c>
      <c r="C1286" s="181">
        <v>49.853359999999995</v>
      </c>
      <c r="D1286" s="181">
        <v>6354.8259999999991</v>
      </c>
      <c r="E1286" s="181">
        <v>88.899999999999991</v>
      </c>
      <c r="F1286" s="181">
        <v>0</v>
      </c>
      <c r="G1286" s="181">
        <v>0</v>
      </c>
      <c r="H1286" s="181">
        <v>0</v>
      </c>
      <c r="I1286" s="181">
        <v>15.875</v>
      </c>
      <c r="J1286" s="181">
        <v>0</v>
      </c>
      <c r="K1286" s="181">
        <v>0</v>
      </c>
      <c r="L1286" s="181">
        <v>0</v>
      </c>
      <c r="M1286" s="181">
        <v>3995821.6857599993</v>
      </c>
      <c r="N1286" s="181">
        <v>112579.12968</v>
      </c>
      <c r="O1286" s="181">
        <v>61615.360639999992</v>
      </c>
      <c r="P1286" s="181">
        <v>25.069799999999997</v>
      </c>
      <c r="Q1286" s="181">
        <v>0</v>
      </c>
      <c r="R1286" s="181">
        <v>0</v>
      </c>
      <c r="S1286" s="181">
        <v>0</v>
      </c>
      <c r="T1286" s="181">
        <v>62.230000000000004</v>
      </c>
      <c r="U1286" s="181">
        <v>0</v>
      </c>
      <c r="V1286" s="181">
        <v>0</v>
      </c>
    </row>
    <row r="1287" spans="1:22">
      <c r="A1287" s="2" t="s">
        <v>2592</v>
      </c>
      <c r="B1287" s="2" t="s">
        <v>2593</v>
      </c>
      <c r="C1287" s="181">
        <v>49.853359999999995</v>
      </c>
      <c r="D1287" s="181">
        <v>6354.8259999999991</v>
      </c>
      <c r="E1287" s="181">
        <v>88.899999999999991</v>
      </c>
      <c r="F1287" s="181">
        <v>0</v>
      </c>
      <c r="G1287" s="181">
        <v>0</v>
      </c>
      <c r="H1287" s="181">
        <v>0</v>
      </c>
      <c r="I1287" s="181">
        <v>15.875</v>
      </c>
      <c r="J1287" s="181">
        <v>0</v>
      </c>
      <c r="K1287" s="181">
        <v>0</v>
      </c>
      <c r="L1287" s="181">
        <v>0</v>
      </c>
      <c r="M1287" s="181">
        <v>3995821.6857599993</v>
      </c>
      <c r="N1287" s="181">
        <v>112579.12968</v>
      </c>
      <c r="O1287" s="181">
        <v>61615.360639999992</v>
      </c>
      <c r="P1287" s="181">
        <v>25.069799999999997</v>
      </c>
      <c r="Q1287" s="181">
        <v>0</v>
      </c>
      <c r="R1287" s="181">
        <v>0</v>
      </c>
      <c r="S1287" s="181">
        <v>0</v>
      </c>
      <c r="T1287" s="181">
        <v>65.785999999999987</v>
      </c>
      <c r="U1287" s="181">
        <v>0</v>
      </c>
      <c r="V1287" s="181">
        <v>0</v>
      </c>
    </row>
    <row r="1288" spans="1:22">
      <c r="A1288" s="2" t="s">
        <v>2594</v>
      </c>
      <c r="B1288" s="2" t="s">
        <v>2595</v>
      </c>
      <c r="C1288" s="181">
        <v>40.477951999999995</v>
      </c>
      <c r="D1288" s="181">
        <v>5167.7315999999992</v>
      </c>
      <c r="E1288" s="181">
        <v>88.899999999999991</v>
      </c>
      <c r="F1288" s="181">
        <v>0</v>
      </c>
      <c r="G1288" s="181">
        <v>0</v>
      </c>
      <c r="H1288" s="181">
        <v>0</v>
      </c>
      <c r="I1288" s="181">
        <v>12.7</v>
      </c>
      <c r="J1288" s="181">
        <v>0</v>
      </c>
      <c r="K1288" s="181">
        <v>0</v>
      </c>
      <c r="L1288" s="181">
        <v>0</v>
      </c>
      <c r="M1288" s="181">
        <v>3346500.6618239991</v>
      </c>
      <c r="N1288" s="181">
        <v>91275.946479999999</v>
      </c>
      <c r="O1288" s="181">
        <v>50636.02775999999</v>
      </c>
      <c r="P1288" s="181">
        <v>25.4</v>
      </c>
      <c r="Q1288" s="181">
        <v>0</v>
      </c>
      <c r="R1288" s="181">
        <v>0</v>
      </c>
      <c r="S1288" s="181">
        <v>0</v>
      </c>
      <c r="T1288" s="181">
        <v>57.911999999999992</v>
      </c>
      <c r="U1288" s="181">
        <v>0</v>
      </c>
      <c r="V1288" s="181">
        <v>0</v>
      </c>
    </row>
    <row r="1289" spans="1:22">
      <c r="A1289" s="2" t="s">
        <v>2596</v>
      </c>
      <c r="B1289" s="2" t="s">
        <v>2597</v>
      </c>
      <c r="C1289" s="181">
        <v>40.477951999999995</v>
      </c>
      <c r="D1289" s="181">
        <v>5167.7315999999992</v>
      </c>
      <c r="E1289" s="181">
        <v>88.899999999999991</v>
      </c>
      <c r="F1289" s="181">
        <v>0</v>
      </c>
      <c r="G1289" s="181">
        <v>0</v>
      </c>
      <c r="H1289" s="181">
        <v>0</v>
      </c>
      <c r="I1289" s="181">
        <v>12.7</v>
      </c>
      <c r="J1289" s="181">
        <v>0</v>
      </c>
      <c r="K1289" s="181">
        <v>0</v>
      </c>
      <c r="L1289" s="181">
        <v>0</v>
      </c>
      <c r="M1289" s="181">
        <v>3346500.6618239991</v>
      </c>
      <c r="N1289" s="181">
        <v>91275.946479999999</v>
      </c>
      <c r="O1289" s="181">
        <v>50636.02775999999</v>
      </c>
      <c r="P1289" s="181">
        <v>25.4</v>
      </c>
      <c r="Q1289" s="181">
        <v>0</v>
      </c>
      <c r="R1289" s="181">
        <v>0</v>
      </c>
      <c r="S1289" s="181">
        <v>0</v>
      </c>
      <c r="T1289" s="181">
        <v>61.467999999999996</v>
      </c>
      <c r="U1289" s="181">
        <v>0</v>
      </c>
      <c r="V1289" s="181">
        <v>0</v>
      </c>
    </row>
    <row r="1290" spans="1:22">
      <c r="A1290" s="2" t="s">
        <v>2598</v>
      </c>
      <c r="B1290" s="2" t="s">
        <v>2599</v>
      </c>
      <c r="C1290" s="181">
        <v>40.477951999999995</v>
      </c>
      <c r="D1290" s="181">
        <v>5167.7315999999992</v>
      </c>
      <c r="E1290" s="181">
        <v>88.899999999999991</v>
      </c>
      <c r="F1290" s="181">
        <v>0</v>
      </c>
      <c r="G1290" s="181">
        <v>0</v>
      </c>
      <c r="H1290" s="181">
        <v>0</v>
      </c>
      <c r="I1290" s="181">
        <v>12.7</v>
      </c>
      <c r="J1290" s="181">
        <v>0</v>
      </c>
      <c r="K1290" s="181">
        <v>0</v>
      </c>
      <c r="L1290" s="181">
        <v>0</v>
      </c>
      <c r="M1290" s="181">
        <v>3346500.6618239991</v>
      </c>
      <c r="N1290" s="181">
        <v>91275.946479999999</v>
      </c>
      <c r="O1290" s="181">
        <v>50636.02775999999</v>
      </c>
      <c r="P1290" s="181">
        <v>25.4</v>
      </c>
      <c r="Q1290" s="181">
        <v>0</v>
      </c>
      <c r="R1290" s="181">
        <v>0</v>
      </c>
      <c r="S1290" s="181">
        <v>0</v>
      </c>
      <c r="T1290" s="181">
        <v>65.277999999999992</v>
      </c>
      <c r="U1290" s="181">
        <v>0</v>
      </c>
      <c r="V1290" s="181">
        <v>0</v>
      </c>
    </row>
    <row r="1291" spans="1:22">
      <c r="A1291" s="2" t="s">
        <v>2600</v>
      </c>
      <c r="B1291" s="2" t="s">
        <v>2601</v>
      </c>
      <c r="C1291" s="181">
        <v>30.953727999999998</v>
      </c>
      <c r="D1291" s="181">
        <v>3935.4759999999997</v>
      </c>
      <c r="E1291" s="181">
        <v>88.899999999999991</v>
      </c>
      <c r="F1291" s="181">
        <v>0</v>
      </c>
      <c r="G1291" s="181">
        <v>0</v>
      </c>
      <c r="H1291" s="181">
        <v>0</v>
      </c>
      <c r="I1291" s="181">
        <v>9.5249999999999986</v>
      </c>
      <c r="J1291" s="181">
        <v>0</v>
      </c>
      <c r="K1291" s="181">
        <v>0</v>
      </c>
      <c r="L1291" s="181">
        <v>0</v>
      </c>
      <c r="M1291" s="181">
        <v>2626420.2955359994</v>
      </c>
      <c r="N1291" s="181">
        <v>69317.280719999995</v>
      </c>
      <c r="O1291" s="181">
        <v>39001.212319999991</v>
      </c>
      <c r="P1291" s="181">
        <v>25.907999999999998</v>
      </c>
      <c r="Q1291" s="181">
        <v>0</v>
      </c>
      <c r="R1291" s="181">
        <v>0</v>
      </c>
      <c r="S1291" s="181">
        <v>0</v>
      </c>
      <c r="T1291" s="181">
        <v>57.403999999999989</v>
      </c>
      <c r="U1291" s="181">
        <v>0</v>
      </c>
      <c r="V1291" s="181">
        <v>0</v>
      </c>
    </row>
    <row r="1292" spans="1:22">
      <c r="A1292" s="2" t="s">
        <v>2602</v>
      </c>
      <c r="B1292" s="2" t="s">
        <v>2603</v>
      </c>
      <c r="C1292" s="181">
        <v>30.953727999999998</v>
      </c>
      <c r="D1292" s="181">
        <v>3935.4759999999997</v>
      </c>
      <c r="E1292" s="181">
        <v>88.899999999999991</v>
      </c>
      <c r="F1292" s="181">
        <v>0</v>
      </c>
      <c r="G1292" s="181">
        <v>0</v>
      </c>
      <c r="H1292" s="181">
        <v>0</v>
      </c>
      <c r="I1292" s="181">
        <v>9.5249999999999986</v>
      </c>
      <c r="J1292" s="181">
        <v>0</v>
      </c>
      <c r="K1292" s="181">
        <v>0</v>
      </c>
      <c r="L1292" s="181">
        <v>0</v>
      </c>
      <c r="M1292" s="181">
        <v>2626420.2955359994</v>
      </c>
      <c r="N1292" s="181">
        <v>69317.280719999995</v>
      </c>
      <c r="O1292" s="181">
        <v>39001.212319999991</v>
      </c>
      <c r="P1292" s="181">
        <v>25.907999999999998</v>
      </c>
      <c r="Q1292" s="181">
        <v>0</v>
      </c>
      <c r="R1292" s="181">
        <v>0</v>
      </c>
      <c r="S1292" s="181">
        <v>0</v>
      </c>
      <c r="T1292" s="181">
        <v>60.706000000000003</v>
      </c>
      <c r="U1292" s="181">
        <v>0</v>
      </c>
      <c r="V1292" s="181">
        <v>0</v>
      </c>
    </row>
    <row r="1293" spans="1:22">
      <c r="A1293" s="2" t="s">
        <v>2604</v>
      </c>
      <c r="B1293" s="2" t="s">
        <v>2605</v>
      </c>
      <c r="C1293" s="181">
        <v>30.953727999999998</v>
      </c>
      <c r="D1293" s="181">
        <v>3935.4759999999997</v>
      </c>
      <c r="E1293" s="181">
        <v>88.899999999999991</v>
      </c>
      <c r="F1293" s="181">
        <v>0</v>
      </c>
      <c r="G1293" s="181">
        <v>0</v>
      </c>
      <c r="H1293" s="181">
        <v>0</v>
      </c>
      <c r="I1293" s="181">
        <v>9.5249999999999986</v>
      </c>
      <c r="J1293" s="181">
        <v>0</v>
      </c>
      <c r="K1293" s="181">
        <v>0</v>
      </c>
      <c r="L1293" s="181">
        <v>0</v>
      </c>
      <c r="M1293" s="181">
        <v>2626420.2955359994</v>
      </c>
      <c r="N1293" s="181">
        <v>69317.280719999995</v>
      </c>
      <c r="O1293" s="181">
        <v>39001.212319999991</v>
      </c>
      <c r="P1293" s="181">
        <v>25.907999999999998</v>
      </c>
      <c r="Q1293" s="181">
        <v>0</v>
      </c>
      <c r="R1293" s="181">
        <v>0</v>
      </c>
      <c r="S1293" s="181">
        <v>0</v>
      </c>
      <c r="T1293" s="181">
        <v>64.515999999999991</v>
      </c>
      <c r="U1293" s="181">
        <v>0</v>
      </c>
      <c r="V1293" s="181">
        <v>0</v>
      </c>
    </row>
    <row r="1294" spans="1:22">
      <c r="A1294" s="2" t="s">
        <v>2606</v>
      </c>
      <c r="B1294" s="2" t="s">
        <v>2607</v>
      </c>
      <c r="C1294" s="181">
        <v>25.893983999999996</v>
      </c>
      <c r="D1294" s="181">
        <v>3303.2192</v>
      </c>
      <c r="E1294" s="181">
        <v>88.899999999999991</v>
      </c>
      <c r="F1294" s="181">
        <v>0</v>
      </c>
      <c r="G1294" s="181">
        <v>0</v>
      </c>
      <c r="H1294" s="181">
        <v>0</v>
      </c>
      <c r="I1294" s="181">
        <v>7.9375</v>
      </c>
      <c r="J1294" s="181">
        <v>0</v>
      </c>
      <c r="K1294" s="181">
        <v>0</v>
      </c>
      <c r="L1294" s="181">
        <v>0</v>
      </c>
      <c r="M1294" s="181">
        <v>2239325.0697279996</v>
      </c>
      <c r="N1294" s="181">
        <v>58174.077199999992</v>
      </c>
      <c r="O1294" s="181">
        <v>32937.998639999991</v>
      </c>
      <c r="P1294" s="181">
        <v>25.907999999999998</v>
      </c>
      <c r="Q1294" s="181">
        <v>0</v>
      </c>
      <c r="R1294" s="181">
        <v>0</v>
      </c>
      <c r="S1294" s="181">
        <v>0</v>
      </c>
      <c r="T1294" s="181">
        <v>57.15</v>
      </c>
      <c r="U1294" s="181">
        <v>0</v>
      </c>
      <c r="V1294" s="181">
        <v>0</v>
      </c>
    </row>
    <row r="1295" spans="1:22">
      <c r="A1295" s="2" t="s">
        <v>2608</v>
      </c>
      <c r="B1295" s="2" t="s">
        <v>2609</v>
      </c>
      <c r="C1295" s="181">
        <v>25.893983999999996</v>
      </c>
      <c r="D1295" s="181">
        <v>3303.2192</v>
      </c>
      <c r="E1295" s="181">
        <v>88.899999999999991</v>
      </c>
      <c r="F1295" s="181">
        <v>0</v>
      </c>
      <c r="G1295" s="181">
        <v>0</v>
      </c>
      <c r="H1295" s="181">
        <v>0</v>
      </c>
      <c r="I1295" s="181">
        <v>7.9375</v>
      </c>
      <c r="J1295" s="181">
        <v>0</v>
      </c>
      <c r="K1295" s="181">
        <v>0</v>
      </c>
      <c r="L1295" s="181">
        <v>0</v>
      </c>
      <c r="M1295" s="181">
        <v>2239325.0697279996</v>
      </c>
      <c r="N1295" s="181">
        <v>58174.077199999992</v>
      </c>
      <c r="O1295" s="181">
        <v>32937.998639999991</v>
      </c>
      <c r="P1295" s="181">
        <v>25.907999999999998</v>
      </c>
      <c r="Q1295" s="181">
        <v>0</v>
      </c>
      <c r="R1295" s="181">
        <v>0</v>
      </c>
      <c r="S1295" s="181">
        <v>0</v>
      </c>
      <c r="T1295" s="181">
        <v>60.451999999999991</v>
      </c>
      <c r="U1295" s="181">
        <v>0</v>
      </c>
      <c r="V1295" s="181">
        <v>0</v>
      </c>
    </row>
    <row r="1296" spans="1:22">
      <c r="A1296" s="2" t="s">
        <v>2610</v>
      </c>
      <c r="B1296" s="2" t="s">
        <v>2611</v>
      </c>
      <c r="C1296" s="181">
        <v>25.893983999999996</v>
      </c>
      <c r="D1296" s="181">
        <v>3303.2192</v>
      </c>
      <c r="E1296" s="181">
        <v>88.899999999999991</v>
      </c>
      <c r="F1296" s="181">
        <v>0</v>
      </c>
      <c r="G1296" s="181">
        <v>0</v>
      </c>
      <c r="H1296" s="181">
        <v>0</v>
      </c>
      <c r="I1296" s="181">
        <v>7.9375</v>
      </c>
      <c r="J1296" s="181">
        <v>0</v>
      </c>
      <c r="K1296" s="181">
        <v>0</v>
      </c>
      <c r="L1296" s="181">
        <v>0</v>
      </c>
      <c r="M1296" s="181">
        <v>2239325.0697279996</v>
      </c>
      <c r="N1296" s="181">
        <v>58174.077199999992</v>
      </c>
      <c r="O1296" s="181">
        <v>32937.998639999991</v>
      </c>
      <c r="P1296" s="181">
        <v>25.907999999999998</v>
      </c>
      <c r="Q1296" s="181">
        <v>0</v>
      </c>
      <c r="R1296" s="181">
        <v>0</v>
      </c>
      <c r="S1296" s="181">
        <v>0</v>
      </c>
      <c r="T1296" s="181">
        <v>64.007999999999996</v>
      </c>
      <c r="U1296" s="181">
        <v>0</v>
      </c>
      <c r="V1296" s="181">
        <v>0</v>
      </c>
    </row>
    <row r="1297" spans="1:22">
      <c r="A1297" s="2" t="s">
        <v>2612</v>
      </c>
      <c r="B1297" s="2" t="s">
        <v>2613</v>
      </c>
      <c r="C1297" s="181">
        <v>20.983055999999998</v>
      </c>
      <c r="D1297" s="181">
        <v>2664.5108</v>
      </c>
      <c r="E1297" s="181">
        <v>88.899999999999991</v>
      </c>
      <c r="F1297" s="181">
        <v>0</v>
      </c>
      <c r="G1297" s="181">
        <v>0</v>
      </c>
      <c r="H1297" s="181">
        <v>0</v>
      </c>
      <c r="I1297" s="181">
        <v>6.35</v>
      </c>
      <c r="J1297" s="181">
        <v>0</v>
      </c>
      <c r="K1297" s="181">
        <v>0</v>
      </c>
      <c r="L1297" s="181">
        <v>0</v>
      </c>
      <c r="M1297" s="181">
        <v>1831418.2726399999</v>
      </c>
      <c r="N1297" s="181">
        <v>46703.132399999995</v>
      </c>
      <c r="O1297" s="181">
        <v>26710.914319999996</v>
      </c>
      <c r="P1297" s="181">
        <v>26.161999999999999</v>
      </c>
      <c r="Q1297" s="181">
        <v>0</v>
      </c>
      <c r="R1297" s="181">
        <v>0</v>
      </c>
      <c r="S1297" s="181">
        <v>0</v>
      </c>
      <c r="T1297" s="181">
        <v>56.641999999999996</v>
      </c>
      <c r="U1297" s="181">
        <v>0</v>
      </c>
      <c r="V1297" s="181">
        <v>0</v>
      </c>
    </row>
    <row r="1298" spans="1:22">
      <c r="A1298" s="2" t="s">
        <v>2614</v>
      </c>
      <c r="B1298" s="2" t="s">
        <v>2615</v>
      </c>
      <c r="C1298" s="181">
        <v>20.983055999999998</v>
      </c>
      <c r="D1298" s="181">
        <v>2664.5108</v>
      </c>
      <c r="E1298" s="181">
        <v>88.899999999999991</v>
      </c>
      <c r="F1298" s="181">
        <v>0</v>
      </c>
      <c r="G1298" s="181">
        <v>0</v>
      </c>
      <c r="H1298" s="181">
        <v>0</v>
      </c>
      <c r="I1298" s="181">
        <v>6.35</v>
      </c>
      <c r="J1298" s="181">
        <v>0</v>
      </c>
      <c r="K1298" s="181">
        <v>0</v>
      </c>
      <c r="L1298" s="181">
        <v>0</v>
      </c>
      <c r="M1298" s="181">
        <v>1831418.2726399999</v>
      </c>
      <c r="N1298" s="181">
        <v>46703.132399999995</v>
      </c>
      <c r="O1298" s="181">
        <v>26710.914319999996</v>
      </c>
      <c r="P1298" s="181">
        <v>26.161999999999999</v>
      </c>
      <c r="Q1298" s="181">
        <v>0</v>
      </c>
      <c r="R1298" s="181">
        <v>0</v>
      </c>
      <c r="S1298" s="181">
        <v>0</v>
      </c>
      <c r="T1298" s="181">
        <v>60.198</v>
      </c>
      <c r="U1298" s="181">
        <v>0</v>
      </c>
      <c r="V1298" s="181">
        <v>0</v>
      </c>
    </row>
    <row r="1299" spans="1:22">
      <c r="A1299" s="2" t="s">
        <v>2616</v>
      </c>
      <c r="B1299" s="2" t="s">
        <v>2617</v>
      </c>
      <c r="C1299" s="181">
        <v>20.983055999999998</v>
      </c>
      <c r="D1299" s="181">
        <v>2664.5108</v>
      </c>
      <c r="E1299" s="181">
        <v>88.899999999999991</v>
      </c>
      <c r="F1299" s="181">
        <v>0</v>
      </c>
      <c r="G1299" s="181">
        <v>0</v>
      </c>
      <c r="H1299" s="181">
        <v>0</v>
      </c>
      <c r="I1299" s="181">
        <v>6.35</v>
      </c>
      <c r="J1299" s="181">
        <v>0</v>
      </c>
      <c r="K1299" s="181">
        <v>0</v>
      </c>
      <c r="L1299" s="181">
        <v>0</v>
      </c>
      <c r="M1299" s="181">
        <v>1831418.2726399999</v>
      </c>
      <c r="N1299" s="181">
        <v>46703.132399999995</v>
      </c>
      <c r="O1299" s="181">
        <v>26710.914319999996</v>
      </c>
      <c r="P1299" s="181">
        <v>26.161999999999999</v>
      </c>
      <c r="Q1299" s="181">
        <v>0</v>
      </c>
      <c r="R1299" s="181">
        <v>0</v>
      </c>
      <c r="S1299" s="181">
        <v>0</v>
      </c>
      <c r="T1299" s="181">
        <v>63.753999999999991</v>
      </c>
      <c r="U1299" s="181">
        <v>0</v>
      </c>
      <c r="V1299" s="181">
        <v>0</v>
      </c>
    </row>
    <row r="1300" spans="1:22">
      <c r="A1300" s="2" t="s">
        <v>2618</v>
      </c>
      <c r="B1300" s="2" t="s">
        <v>2619</v>
      </c>
      <c r="C1300" s="181">
        <v>37.948079999999997</v>
      </c>
      <c r="D1300" s="181">
        <v>4845.1515999999992</v>
      </c>
      <c r="E1300" s="181">
        <v>76.199999999999989</v>
      </c>
      <c r="F1300" s="181">
        <v>0</v>
      </c>
      <c r="G1300" s="181">
        <v>0</v>
      </c>
      <c r="H1300" s="181">
        <v>0</v>
      </c>
      <c r="I1300" s="181">
        <v>12.7</v>
      </c>
      <c r="J1300" s="181">
        <v>0</v>
      </c>
      <c r="K1300" s="181">
        <v>0</v>
      </c>
      <c r="L1300" s="181">
        <v>0</v>
      </c>
      <c r="M1300" s="181">
        <v>2122780.2705599996</v>
      </c>
      <c r="N1300" s="181">
        <v>68006.315600000002</v>
      </c>
      <c r="O1300" s="181">
        <v>37034.764639999994</v>
      </c>
      <c r="P1300" s="181">
        <v>20.929600000000001</v>
      </c>
      <c r="Q1300" s="181">
        <v>0</v>
      </c>
      <c r="R1300" s="181">
        <v>0</v>
      </c>
      <c r="S1300" s="181">
        <v>0</v>
      </c>
      <c r="T1300" s="181">
        <v>59.69</v>
      </c>
      <c r="U1300" s="181">
        <v>0</v>
      </c>
      <c r="V1300" s="181">
        <v>0</v>
      </c>
    </row>
    <row r="1301" spans="1:22">
      <c r="A1301" s="2" t="s">
        <v>2620</v>
      </c>
      <c r="B1301" s="2" t="s">
        <v>2621</v>
      </c>
      <c r="C1301" s="181">
        <v>37.948079999999997</v>
      </c>
      <c r="D1301" s="181">
        <v>4845.1515999999992</v>
      </c>
      <c r="E1301" s="181">
        <v>76.199999999999989</v>
      </c>
      <c r="F1301" s="181">
        <v>0</v>
      </c>
      <c r="G1301" s="181">
        <v>0</v>
      </c>
      <c r="H1301" s="181">
        <v>0</v>
      </c>
      <c r="I1301" s="181">
        <v>12.7</v>
      </c>
      <c r="J1301" s="181">
        <v>0</v>
      </c>
      <c r="K1301" s="181">
        <v>0</v>
      </c>
      <c r="L1301" s="181">
        <v>0</v>
      </c>
      <c r="M1301" s="181">
        <v>2122780.2705599996</v>
      </c>
      <c r="N1301" s="181">
        <v>68006.315600000002</v>
      </c>
      <c r="O1301" s="181">
        <v>37034.764639999994</v>
      </c>
      <c r="P1301" s="181">
        <v>20.929600000000001</v>
      </c>
      <c r="Q1301" s="181">
        <v>0</v>
      </c>
      <c r="R1301" s="181">
        <v>0</v>
      </c>
      <c r="S1301" s="181">
        <v>0</v>
      </c>
      <c r="T1301" s="181">
        <v>63.5</v>
      </c>
      <c r="U1301" s="181">
        <v>0</v>
      </c>
      <c r="V1301" s="181">
        <v>0</v>
      </c>
    </row>
    <row r="1302" spans="1:22">
      <c r="A1302" s="2" t="s">
        <v>2622</v>
      </c>
      <c r="B1302" s="2" t="s">
        <v>2623</v>
      </c>
      <c r="C1302" s="181">
        <v>37.948079999999997</v>
      </c>
      <c r="D1302" s="181">
        <v>4845.1515999999992</v>
      </c>
      <c r="E1302" s="181">
        <v>76.199999999999989</v>
      </c>
      <c r="F1302" s="181">
        <v>0</v>
      </c>
      <c r="G1302" s="181">
        <v>0</v>
      </c>
      <c r="H1302" s="181">
        <v>0</v>
      </c>
      <c r="I1302" s="181">
        <v>12.7</v>
      </c>
      <c r="J1302" s="181">
        <v>0</v>
      </c>
      <c r="K1302" s="181">
        <v>0</v>
      </c>
      <c r="L1302" s="181">
        <v>0</v>
      </c>
      <c r="M1302" s="181">
        <v>2122780.2705599996</v>
      </c>
      <c r="N1302" s="181">
        <v>68006.315600000002</v>
      </c>
      <c r="O1302" s="181">
        <v>37034.764639999994</v>
      </c>
      <c r="P1302" s="181">
        <v>20.929600000000001</v>
      </c>
      <c r="Q1302" s="181">
        <v>0</v>
      </c>
      <c r="R1302" s="181">
        <v>0</v>
      </c>
      <c r="S1302" s="181">
        <v>0</v>
      </c>
      <c r="T1302" s="181">
        <v>67.055999999999997</v>
      </c>
      <c r="U1302" s="181">
        <v>0</v>
      </c>
      <c r="V1302" s="181">
        <v>0</v>
      </c>
    </row>
    <row r="1303" spans="1:22">
      <c r="A1303" s="2" t="s">
        <v>2624</v>
      </c>
      <c r="B1303" s="2" t="s">
        <v>2625</v>
      </c>
      <c r="C1303" s="181">
        <v>33.483599999999996</v>
      </c>
      <c r="D1303" s="181">
        <v>4270.9592000000002</v>
      </c>
      <c r="E1303" s="181">
        <v>76.199999999999989</v>
      </c>
      <c r="F1303" s="181">
        <v>0</v>
      </c>
      <c r="G1303" s="181">
        <v>0</v>
      </c>
      <c r="H1303" s="181">
        <v>0</v>
      </c>
      <c r="I1303" s="181">
        <v>11.112499999999999</v>
      </c>
      <c r="J1303" s="181">
        <v>0</v>
      </c>
      <c r="K1303" s="181">
        <v>0</v>
      </c>
      <c r="L1303" s="181">
        <v>0</v>
      </c>
      <c r="M1303" s="181">
        <v>1906339.9292479998</v>
      </c>
      <c r="N1303" s="181">
        <v>59812.783599999995</v>
      </c>
      <c r="O1303" s="181">
        <v>32937.998639999991</v>
      </c>
      <c r="P1303" s="181">
        <v>21.107400000000002</v>
      </c>
      <c r="Q1303" s="181">
        <v>0</v>
      </c>
      <c r="R1303" s="181">
        <v>0</v>
      </c>
      <c r="S1303" s="181">
        <v>0</v>
      </c>
      <c r="T1303" s="181">
        <v>59.435999999999993</v>
      </c>
      <c r="U1303" s="181">
        <v>0</v>
      </c>
      <c r="V1303" s="181">
        <v>0</v>
      </c>
    </row>
    <row r="1304" spans="1:22">
      <c r="A1304" s="2" t="s">
        <v>2626</v>
      </c>
      <c r="B1304" s="2" t="s">
        <v>2627</v>
      </c>
      <c r="C1304" s="181">
        <v>33.483599999999996</v>
      </c>
      <c r="D1304" s="181">
        <v>4270.9592000000002</v>
      </c>
      <c r="E1304" s="181">
        <v>76.199999999999989</v>
      </c>
      <c r="F1304" s="181">
        <v>0</v>
      </c>
      <c r="G1304" s="181">
        <v>0</v>
      </c>
      <c r="H1304" s="181">
        <v>0</v>
      </c>
      <c r="I1304" s="181">
        <v>11.112499999999999</v>
      </c>
      <c r="J1304" s="181">
        <v>0</v>
      </c>
      <c r="K1304" s="181">
        <v>0</v>
      </c>
      <c r="L1304" s="181">
        <v>0</v>
      </c>
      <c r="M1304" s="181">
        <v>1906339.9292479998</v>
      </c>
      <c r="N1304" s="181">
        <v>59812.783599999995</v>
      </c>
      <c r="O1304" s="181">
        <v>32937.998639999991</v>
      </c>
      <c r="P1304" s="181">
        <v>21.107400000000002</v>
      </c>
      <c r="Q1304" s="181">
        <v>0</v>
      </c>
      <c r="R1304" s="181">
        <v>0</v>
      </c>
      <c r="S1304" s="181">
        <v>0</v>
      </c>
      <c r="T1304" s="181">
        <v>62.991999999999997</v>
      </c>
      <c r="U1304" s="181">
        <v>0</v>
      </c>
      <c r="V1304" s="181">
        <v>0</v>
      </c>
    </row>
    <row r="1305" spans="1:22">
      <c r="A1305" s="2" t="s">
        <v>2628</v>
      </c>
      <c r="B1305" s="2" t="s">
        <v>2629</v>
      </c>
      <c r="C1305" s="181">
        <v>33.483599999999996</v>
      </c>
      <c r="D1305" s="181">
        <v>4270.9592000000002</v>
      </c>
      <c r="E1305" s="181">
        <v>76.199999999999989</v>
      </c>
      <c r="F1305" s="181">
        <v>0</v>
      </c>
      <c r="G1305" s="181">
        <v>0</v>
      </c>
      <c r="H1305" s="181">
        <v>0</v>
      </c>
      <c r="I1305" s="181">
        <v>11.112499999999999</v>
      </c>
      <c r="J1305" s="181">
        <v>0</v>
      </c>
      <c r="K1305" s="181">
        <v>0</v>
      </c>
      <c r="L1305" s="181">
        <v>0</v>
      </c>
      <c r="M1305" s="181">
        <v>1906339.9292479998</v>
      </c>
      <c r="N1305" s="181">
        <v>59812.783599999995</v>
      </c>
      <c r="O1305" s="181">
        <v>32937.998639999991</v>
      </c>
      <c r="P1305" s="181">
        <v>21.107400000000002</v>
      </c>
      <c r="Q1305" s="181">
        <v>0</v>
      </c>
      <c r="R1305" s="181">
        <v>0</v>
      </c>
      <c r="S1305" s="181">
        <v>0</v>
      </c>
      <c r="T1305" s="181">
        <v>66.801999999999992</v>
      </c>
      <c r="U1305" s="181">
        <v>0</v>
      </c>
      <c r="V1305" s="181">
        <v>0</v>
      </c>
    </row>
    <row r="1306" spans="1:22">
      <c r="A1306" s="2" t="s">
        <v>2630</v>
      </c>
      <c r="B1306" s="2" t="s">
        <v>2631</v>
      </c>
      <c r="C1306" s="181">
        <v>29.019119999999997</v>
      </c>
      <c r="D1306" s="181">
        <v>3696.7667999999999</v>
      </c>
      <c r="E1306" s="181">
        <v>76.199999999999989</v>
      </c>
      <c r="F1306" s="181">
        <v>0</v>
      </c>
      <c r="G1306" s="181">
        <v>0</v>
      </c>
      <c r="H1306" s="181">
        <v>0</v>
      </c>
      <c r="I1306" s="181">
        <v>9.5249999999999986</v>
      </c>
      <c r="J1306" s="181">
        <v>0</v>
      </c>
      <c r="K1306" s="181">
        <v>0</v>
      </c>
      <c r="L1306" s="181">
        <v>0</v>
      </c>
      <c r="M1306" s="181">
        <v>1673250.3309119996</v>
      </c>
      <c r="N1306" s="181">
        <v>51455.380959999995</v>
      </c>
      <c r="O1306" s="181">
        <v>28677.361999999997</v>
      </c>
      <c r="P1306" s="181">
        <v>21.2852</v>
      </c>
      <c r="Q1306" s="181">
        <v>0</v>
      </c>
      <c r="R1306" s="181">
        <v>0</v>
      </c>
      <c r="S1306" s="181">
        <v>0</v>
      </c>
      <c r="T1306" s="181">
        <v>59.181999999999995</v>
      </c>
      <c r="U1306" s="181">
        <v>0</v>
      </c>
      <c r="V1306" s="181">
        <v>0</v>
      </c>
    </row>
    <row r="1307" spans="1:22">
      <c r="A1307" s="2" t="s">
        <v>2632</v>
      </c>
      <c r="B1307" s="2" t="s">
        <v>2633</v>
      </c>
      <c r="C1307" s="181">
        <v>29.019119999999997</v>
      </c>
      <c r="D1307" s="181">
        <v>3696.7667999999999</v>
      </c>
      <c r="E1307" s="181">
        <v>76.199999999999989</v>
      </c>
      <c r="F1307" s="181">
        <v>0</v>
      </c>
      <c r="G1307" s="181">
        <v>0</v>
      </c>
      <c r="H1307" s="181">
        <v>0</v>
      </c>
      <c r="I1307" s="181">
        <v>9.5249999999999986</v>
      </c>
      <c r="J1307" s="181">
        <v>0</v>
      </c>
      <c r="K1307" s="181">
        <v>0</v>
      </c>
      <c r="L1307" s="181">
        <v>0</v>
      </c>
      <c r="M1307" s="181">
        <v>1673250.3309119996</v>
      </c>
      <c r="N1307" s="181">
        <v>51455.380959999995</v>
      </c>
      <c r="O1307" s="181">
        <v>28677.361999999997</v>
      </c>
      <c r="P1307" s="181">
        <v>21.2852</v>
      </c>
      <c r="Q1307" s="181">
        <v>0</v>
      </c>
      <c r="R1307" s="181">
        <v>0</v>
      </c>
      <c r="S1307" s="181">
        <v>0</v>
      </c>
      <c r="T1307" s="181">
        <v>62.738</v>
      </c>
      <c r="U1307" s="181">
        <v>0</v>
      </c>
      <c r="V1307" s="181">
        <v>0</v>
      </c>
    </row>
    <row r="1308" spans="1:22">
      <c r="A1308" s="2" t="s">
        <v>2634</v>
      </c>
      <c r="B1308" s="2" t="s">
        <v>2635</v>
      </c>
      <c r="C1308" s="181">
        <v>29.019119999999997</v>
      </c>
      <c r="D1308" s="181">
        <v>3696.7667999999999</v>
      </c>
      <c r="E1308" s="181">
        <v>76.199999999999989</v>
      </c>
      <c r="F1308" s="181">
        <v>0</v>
      </c>
      <c r="G1308" s="181">
        <v>0</v>
      </c>
      <c r="H1308" s="181">
        <v>0</v>
      </c>
      <c r="I1308" s="181">
        <v>9.5249999999999986</v>
      </c>
      <c r="J1308" s="181">
        <v>0</v>
      </c>
      <c r="K1308" s="181">
        <v>0</v>
      </c>
      <c r="L1308" s="181">
        <v>0</v>
      </c>
      <c r="M1308" s="181">
        <v>1673250.3309119996</v>
      </c>
      <c r="N1308" s="181">
        <v>51455.380959999995</v>
      </c>
      <c r="O1308" s="181">
        <v>28677.361999999997</v>
      </c>
      <c r="P1308" s="181">
        <v>21.2852</v>
      </c>
      <c r="Q1308" s="181">
        <v>0</v>
      </c>
      <c r="R1308" s="181">
        <v>0</v>
      </c>
      <c r="S1308" s="181">
        <v>0</v>
      </c>
      <c r="T1308" s="181">
        <v>66.548000000000002</v>
      </c>
      <c r="U1308" s="181">
        <v>0</v>
      </c>
      <c r="V1308" s="181">
        <v>0</v>
      </c>
    </row>
    <row r="1309" spans="1:22">
      <c r="A1309" s="2" t="s">
        <v>2636</v>
      </c>
      <c r="B1309" s="2" t="s">
        <v>2637</v>
      </c>
      <c r="C1309" s="181">
        <v>24.405823999999996</v>
      </c>
      <c r="D1309" s="181">
        <v>3103.2195999999994</v>
      </c>
      <c r="E1309" s="181">
        <v>76.199999999999989</v>
      </c>
      <c r="F1309" s="181">
        <v>0</v>
      </c>
      <c r="G1309" s="181">
        <v>0</v>
      </c>
      <c r="H1309" s="181">
        <v>0</v>
      </c>
      <c r="I1309" s="181">
        <v>7.9375</v>
      </c>
      <c r="J1309" s="181">
        <v>0</v>
      </c>
      <c r="K1309" s="181">
        <v>0</v>
      </c>
      <c r="L1309" s="181">
        <v>0</v>
      </c>
      <c r="M1309" s="181">
        <v>1431836.1040639998</v>
      </c>
      <c r="N1309" s="181">
        <v>42934.107680000001</v>
      </c>
      <c r="O1309" s="181">
        <v>24252.854719999996</v>
      </c>
      <c r="P1309" s="181">
        <v>21.488399999999999</v>
      </c>
      <c r="Q1309" s="181">
        <v>0</v>
      </c>
      <c r="R1309" s="181">
        <v>0</v>
      </c>
      <c r="S1309" s="181">
        <v>0</v>
      </c>
      <c r="T1309" s="181">
        <v>58.92799999999999</v>
      </c>
      <c r="U1309" s="181">
        <v>0</v>
      </c>
      <c r="V1309" s="181">
        <v>0</v>
      </c>
    </row>
    <row r="1310" spans="1:22">
      <c r="A1310" s="2" t="s">
        <v>2638</v>
      </c>
      <c r="B1310" s="2" t="s">
        <v>2639</v>
      </c>
      <c r="C1310" s="181">
        <v>24.405823999999996</v>
      </c>
      <c r="D1310" s="181">
        <v>3103.2195999999994</v>
      </c>
      <c r="E1310" s="181">
        <v>76.199999999999989</v>
      </c>
      <c r="F1310" s="181">
        <v>0</v>
      </c>
      <c r="G1310" s="181">
        <v>0</v>
      </c>
      <c r="H1310" s="181">
        <v>0</v>
      </c>
      <c r="I1310" s="181">
        <v>7.9375</v>
      </c>
      <c r="J1310" s="181">
        <v>0</v>
      </c>
      <c r="K1310" s="181">
        <v>0</v>
      </c>
      <c r="L1310" s="181">
        <v>0</v>
      </c>
      <c r="M1310" s="181">
        <v>1431836.1040639998</v>
      </c>
      <c r="N1310" s="181">
        <v>42934.107680000001</v>
      </c>
      <c r="O1310" s="181">
        <v>24252.854719999996</v>
      </c>
      <c r="P1310" s="181">
        <v>21.488399999999999</v>
      </c>
      <c r="Q1310" s="181">
        <v>0</v>
      </c>
      <c r="R1310" s="181">
        <v>0</v>
      </c>
      <c r="S1310" s="181">
        <v>0</v>
      </c>
      <c r="T1310" s="181">
        <v>62.483999999999995</v>
      </c>
      <c r="U1310" s="181">
        <v>0</v>
      </c>
      <c r="V1310" s="181">
        <v>0</v>
      </c>
    </row>
    <row r="1311" spans="1:22">
      <c r="A1311" s="2" t="s">
        <v>2640</v>
      </c>
      <c r="B1311" s="2" t="s">
        <v>2641</v>
      </c>
      <c r="C1311" s="181">
        <v>24.405823999999996</v>
      </c>
      <c r="D1311" s="181">
        <v>3103.2195999999994</v>
      </c>
      <c r="E1311" s="181">
        <v>76.199999999999989</v>
      </c>
      <c r="F1311" s="181">
        <v>0</v>
      </c>
      <c r="G1311" s="181">
        <v>0</v>
      </c>
      <c r="H1311" s="181">
        <v>0</v>
      </c>
      <c r="I1311" s="181">
        <v>7.9375</v>
      </c>
      <c r="J1311" s="181">
        <v>0</v>
      </c>
      <c r="K1311" s="181">
        <v>0</v>
      </c>
      <c r="L1311" s="181">
        <v>0</v>
      </c>
      <c r="M1311" s="181">
        <v>1431836.1040639998</v>
      </c>
      <c r="N1311" s="181">
        <v>42934.107680000001</v>
      </c>
      <c r="O1311" s="181">
        <v>24252.854719999996</v>
      </c>
      <c r="P1311" s="181">
        <v>21.488399999999999</v>
      </c>
      <c r="Q1311" s="181">
        <v>0</v>
      </c>
      <c r="R1311" s="181">
        <v>0</v>
      </c>
      <c r="S1311" s="181">
        <v>0</v>
      </c>
      <c r="T1311" s="181">
        <v>66.039999999999992</v>
      </c>
      <c r="U1311" s="181">
        <v>0</v>
      </c>
      <c r="V1311" s="181">
        <v>0</v>
      </c>
    </row>
    <row r="1312" spans="1:22">
      <c r="A1312" s="2" t="s">
        <v>2642</v>
      </c>
      <c r="B1312" s="2" t="s">
        <v>2643</v>
      </c>
      <c r="C1312" s="181">
        <v>19.643711999999997</v>
      </c>
      <c r="D1312" s="181">
        <v>2503.2207999999996</v>
      </c>
      <c r="E1312" s="181">
        <v>76.199999999999989</v>
      </c>
      <c r="F1312" s="181">
        <v>0</v>
      </c>
      <c r="G1312" s="181">
        <v>0</v>
      </c>
      <c r="H1312" s="181">
        <v>0</v>
      </c>
      <c r="I1312" s="181">
        <v>6.35</v>
      </c>
      <c r="J1312" s="181">
        <v>0</v>
      </c>
      <c r="K1312" s="181">
        <v>0</v>
      </c>
      <c r="L1312" s="181">
        <v>0</v>
      </c>
      <c r="M1312" s="181">
        <v>1173772.6201919997</v>
      </c>
      <c r="N1312" s="181">
        <v>34412.8344</v>
      </c>
      <c r="O1312" s="181">
        <v>19664.476799999997</v>
      </c>
      <c r="P1312" s="181">
        <v>21.6662</v>
      </c>
      <c r="Q1312" s="181">
        <v>0</v>
      </c>
      <c r="R1312" s="181">
        <v>0</v>
      </c>
      <c r="S1312" s="181">
        <v>0</v>
      </c>
      <c r="T1312" s="181">
        <v>58.419999999999995</v>
      </c>
      <c r="U1312" s="181">
        <v>0</v>
      </c>
      <c r="V1312" s="181">
        <v>0</v>
      </c>
    </row>
    <row r="1313" spans="1:22">
      <c r="A1313" s="2" t="s">
        <v>2644</v>
      </c>
      <c r="B1313" s="2" t="s">
        <v>2645</v>
      </c>
      <c r="C1313" s="181">
        <v>19.643711999999997</v>
      </c>
      <c r="D1313" s="181">
        <v>2503.2207999999996</v>
      </c>
      <c r="E1313" s="181">
        <v>76.199999999999989</v>
      </c>
      <c r="F1313" s="181">
        <v>0</v>
      </c>
      <c r="G1313" s="181">
        <v>0</v>
      </c>
      <c r="H1313" s="181">
        <v>0</v>
      </c>
      <c r="I1313" s="181">
        <v>6.35</v>
      </c>
      <c r="J1313" s="181">
        <v>0</v>
      </c>
      <c r="K1313" s="181">
        <v>0</v>
      </c>
      <c r="L1313" s="181">
        <v>0</v>
      </c>
      <c r="M1313" s="181">
        <v>1173772.6201919997</v>
      </c>
      <c r="N1313" s="181">
        <v>34412.8344</v>
      </c>
      <c r="O1313" s="181">
        <v>19664.476799999997</v>
      </c>
      <c r="P1313" s="181">
        <v>21.6662</v>
      </c>
      <c r="Q1313" s="181">
        <v>0</v>
      </c>
      <c r="R1313" s="181">
        <v>0</v>
      </c>
      <c r="S1313" s="181">
        <v>0</v>
      </c>
      <c r="T1313" s="181">
        <v>61.975999999999992</v>
      </c>
      <c r="U1313" s="181">
        <v>0</v>
      </c>
      <c r="V1313" s="181">
        <v>0</v>
      </c>
    </row>
    <row r="1314" spans="1:22">
      <c r="A1314" s="2" t="s">
        <v>2646</v>
      </c>
      <c r="B1314" s="2" t="s">
        <v>2647</v>
      </c>
      <c r="C1314" s="181">
        <v>19.643711999999997</v>
      </c>
      <c r="D1314" s="181">
        <v>2503.2207999999996</v>
      </c>
      <c r="E1314" s="181">
        <v>76.199999999999989</v>
      </c>
      <c r="F1314" s="181">
        <v>0</v>
      </c>
      <c r="G1314" s="181">
        <v>0</v>
      </c>
      <c r="H1314" s="181">
        <v>0</v>
      </c>
      <c r="I1314" s="181">
        <v>6.35</v>
      </c>
      <c r="J1314" s="181">
        <v>0</v>
      </c>
      <c r="K1314" s="181">
        <v>0</v>
      </c>
      <c r="L1314" s="181">
        <v>0</v>
      </c>
      <c r="M1314" s="181">
        <v>1173772.6201919997</v>
      </c>
      <c r="N1314" s="181">
        <v>34412.8344</v>
      </c>
      <c r="O1314" s="181">
        <v>19664.476799999997</v>
      </c>
      <c r="P1314" s="181">
        <v>21.6662</v>
      </c>
      <c r="Q1314" s="181">
        <v>0</v>
      </c>
      <c r="R1314" s="181">
        <v>0</v>
      </c>
      <c r="S1314" s="181">
        <v>0</v>
      </c>
      <c r="T1314" s="181">
        <v>65.531999999999996</v>
      </c>
      <c r="U1314" s="181">
        <v>0</v>
      </c>
      <c r="V1314" s="181">
        <v>0</v>
      </c>
    </row>
    <row r="1315" spans="1:22">
      <c r="A1315" s="2" t="s">
        <v>2648</v>
      </c>
      <c r="B1315" s="2" t="s">
        <v>2649</v>
      </c>
      <c r="C1315" s="181">
        <v>35.418208</v>
      </c>
      <c r="D1315" s="181">
        <v>4522.5715999999993</v>
      </c>
      <c r="E1315" s="181">
        <v>88.899999999999991</v>
      </c>
      <c r="F1315" s="181">
        <v>0</v>
      </c>
      <c r="G1315" s="181">
        <v>0</v>
      </c>
      <c r="H1315" s="181">
        <v>0</v>
      </c>
      <c r="I1315" s="181">
        <v>12.7</v>
      </c>
      <c r="J1315" s="181">
        <v>0</v>
      </c>
      <c r="K1315" s="181">
        <v>0</v>
      </c>
      <c r="L1315" s="181">
        <v>0</v>
      </c>
      <c r="M1315" s="181">
        <v>3134222.6347679999</v>
      </c>
      <c r="N1315" s="181">
        <v>88326.274959999981</v>
      </c>
      <c r="O1315" s="181">
        <v>49161.191999999995</v>
      </c>
      <c r="P1315" s="181">
        <v>26.416</v>
      </c>
      <c r="Q1315" s="181">
        <v>0</v>
      </c>
      <c r="R1315" s="181">
        <v>0</v>
      </c>
      <c r="S1315" s="181">
        <v>0</v>
      </c>
      <c r="T1315" s="181">
        <v>44.449999999999996</v>
      </c>
      <c r="U1315" s="181">
        <v>0</v>
      </c>
      <c r="V1315" s="181">
        <v>0</v>
      </c>
    </row>
    <row r="1316" spans="1:22">
      <c r="A1316" s="2" t="s">
        <v>2650</v>
      </c>
      <c r="B1316" s="2" t="s">
        <v>2651</v>
      </c>
      <c r="C1316" s="181">
        <v>35.418208</v>
      </c>
      <c r="D1316" s="181">
        <v>4522.5715999999993</v>
      </c>
      <c r="E1316" s="181">
        <v>88.899999999999991</v>
      </c>
      <c r="F1316" s="181">
        <v>0</v>
      </c>
      <c r="G1316" s="181">
        <v>0</v>
      </c>
      <c r="H1316" s="181">
        <v>0</v>
      </c>
      <c r="I1316" s="181">
        <v>12.7</v>
      </c>
      <c r="J1316" s="181">
        <v>0</v>
      </c>
      <c r="K1316" s="181">
        <v>0</v>
      </c>
      <c r="L1316" s="181">
        <v>0</v>
      </c>
      <c r="M1316" s="181">
        <v>3134222.6347679999</v>
      </c>
      <c r="N1316" s="181">
        <v>88326.274959999981</v>
      </c>
      <c r="O1316" s="181">
        <v>49161.191999999995</v>
      </c>
      <c r="P1316" s="181">
        <v>26.416</v>
      </c>
      <c r="Q1316" s="181">
        <v>0</v>
      </c>
      <c r="R1316" s="181">
        <v>0</v>
      </c>
      <c r="S1316" s="181">
        <v>0</v>
      </c>
      <c r="T1316" s="181">
        <v>48.005999999999993</v>
      </c>
      <c r="U1316" s="181">
        <v>0</v>
      </c>
      <c r="V1316" s="181">
        <v>0</v>
      </c>
    </row>
    <row r="1317" spans="1:22">
      <c r="A1317" s="2" t="s">
        <v>2652</v>
      </c>
      <c r="B1317" s="2" t="s">
        <v>2653</v>
      </c>
      <c r="C1317" s="181">
        <v>35.418208</v>
      </c>
      <c r="D1317" s="181">
        <v>4522.5715999999993</v>
      </c>
      <c r="E1317" s="181">
        <v>88.899999999999991</v>
      </c>
      <c r="F1317" s="181">
        <v>0</v>
      </c>
      <c r="G1317" s="181">
        <v>0</v>
      </c>
      <c r="H1317" s="181">
        <v>0</v>
      </c>
      <c r="I1317" s="181">
        <v>12.7</v>
      </c>
      <c r="J1317" s="181">
        <v>0</v>
      </c>
      <c r="K1317" s="181">
        <v>0</v>
      </c>
      <c r="L1317" s="181">
        <v>0</v>
      </c>
      <c r="M1317" s="181">
        <v>3134222.6347679999</v>
      </c>
      <c r="N1317" s="181">
        <v>88326.274959999981</v>
      </c>
      <c r="O1317" s="181">
        <v>49161.191999999995</v>
      </c>
      <c r="P1317" s="181">
        <v>26.416</v>
      </c>
      <c r="Q1317" s="181">
        <v>0</v>
      </c>
      <c r="R1317" s="181">
        <v>0</v>
      </c>
      <c r="S1317" s="181">
        <v>0</v>
      </c>
      <c r="T1317" s="181">
        <v>51.561999999999991</v>
      </c>
      <c r="U1317" s="181">
        <v>0</v>
      </c>
      <c r="V1317" s="181">
        <v>0</v>
      </c>
    </row>
    <row r="1318" spans="1:22">
      <c r="A1318" s="2" t="s">
        <v>2654</v>
      </c>
      <c r="B1318" s="2" t="s">
        <v>2655</v>
      </c>
      <c r="C1318" s="181">
        <v>27.084511999999997</v>
      </c>
      <c r="D1318" s="181">
        <v>3451.6059999999998</v>
      </c>
      <c r="E1318" s="181">
        <v>88.899999999999991</v>
      </c>
      <c r="F1318" s="181">
        <v>0</v>
      </c>
      <c r="G1318" s="181">
        <v>0</v>
      </c>
      <c r="H1318" s="181">
        <v>0</v>
      </c>
      <c r="I1318" s="181">
        <v>9.5249999999999986</v>
      </c>
      <c r="J1318" s="181">
        <v>0</v>
      </c>
      <c r="K1318" s="181">
        <v>0</v>
      </c>
      <c r="L1318" s="181">
        <v>0</v>
      </c>
      <c r="M1318" s="181">
        <v>2464090.0395519999</v>
      </c>
      <c r="N1318" s="181">
        <v>67678.574319999985</v>
      </c>
      <c r="O1318" s="181">
        <v>38017.988479999993</v>
      </c>
      <c r="P1318" s="181">
        <v>26.669999999999998</v>
      </c>
      <c r="Q1318" s="181">
        <v>0</v>
      </c>
      <c r="R1318" s="181">
        <v>0</v>
      </c>
      <c r="S1318" s="181">
        <v>0</v>
      </c>
      <c r="T1318" s="181">
        <v>43.942</v>
      </c>
      <c r="U1318" s="181">
        <v>0</v>
      </c>
      <c r="V1318" s="181">
        <v>0</v>
      </c>
    </row>
    <row r="1319" spans="1:22">
      <c r="A1319" s="2" t="s">
        <v>2656</v>
      </c>
      <c r="B1319" s="2" t="s">
        <v>2657</v>
      </c>
      <c r="C1319" s="181">
        <v>27.084511999999997</v>
      </c>
      <c r="D1319" s="181">
        <v>3451.6059999999998</v>
      </c>
      <c r="E1319" s="181">
        <v>88.899999999999991</v>
      </c>
      <c r="F1319" s="181">
        <v>0</v>
      </c>
      <c r="G1319" s="181">
        <v>0</v>
      </c>
      <c r="H1319" s="181">
        <v>0</v>
      </c>
      <c r="I1319" s="181">
        <v>9.5249999999999986</v>
      </c>
      <c r="J1319" s="181">
        <v>0</v>
      </c>
      <c r="K1319" s="181">
        <v>0</v>
      </c>
      <c r="L1319" s="181">
        <v>0</v>
      </c>
      <c r="M1319" s="181">
        <v>2464090.0395519999</v>
      </c>
      <c r="N1319" s="181">
        <v>67678.574319999985</v>
      </c>
      <c r="O1319" s="181">
        <v>38017.988479999993</v>
      </c>
      <c r="P1319" s="181">
        <v>26.669999999999998</v>
      </c>
      <c r="Q1319" s="181">
        <v>0</v>
      </c>
      <c r="R1319" s="181">
        <v>0</v>
      </c>
      <c r="S1319" s="181">
        <v>0</v>
      </c>
      <c r="T1319" s="181">
        <v>47.244</v>
      </c>
      <c r="U1319" s="181">
        <v>0</v>
      </c>
      <c r="V1319" s="181">
        <v>0</v>
      </c>
    </row>
    <row r="1320" spans="1:22">
      <c r="A1320" s="2" t="s">
        <v>2658</v>
      </c>
      <c r="B1320" s="2" t="s">
        <v>2659</v>
      </c>
      <c r="C1320" s="181">
        <v>27.084511999999997</v>
      </c>
      <c r="D1320" s="181">
        <v>3451.6059999999998</v>
      </c>
      <c r="E1320" s="181">
        <v>88.899999999999991</v>
      </c>
      <c r="F1320" s="181">
        <v>0</v>
      </c>
      <c r="G1320" s="181">
        <v>0</v>
      </c>
      <c r="H1320" s="181">
        <v>0</v>
      </c>
      <c r="I1320" s="181">
        <v>9.5249999999999986</v>
      </c>
      <c r="J1320" s="181">
        <v>0</v>
      </c>
      <c r="K1320" s="181">
        <v>0</v>
      </c>
      <c r="L1320" s="181">
        <v>0</v>
      </c>
      <c r="M1320" s="181">
        <v>2464090.0395519999</v>
      </c>
      <c r="N1320" s="181">
        <v>67678.574319999985</v>
      </c>
      <c r="O1320" s="181">
        <v>38017.988479999993</v>
      </c>
      <c r="P1320" s="181">
        <v>26.669999999999998</v>
      </c>
      <c r="Q1320" s="181">
        <v>0</v>
      </c>
      <c r="R1320" s="181">
        <v>0</v>
      </c>
      <c r="S1320" s="181">
        <v>0</v>
      </c>
      <c r="T1320" s="181">
        <v>50.8</v>
      </c>
      <c r="U1320" s="181">
        <v>0</v>
      </c>
      <c r="V1320" s="181">
        <v>0</v>
      </c>
    </row>
    <row r="1321" spans="1:22">
      <c r="A1321" s="2" t="s">
        <v>2660</v>
      </c>
      <c r="B1321" s="2" t="s">
        <v>2661</v>
      </c>
      <c r="C1321" s="181">
        <v>22.768847999999998</v>
      </c>
      <c r="D1321" s="181">
        <v>2903.22</v>
      </c>
      <c r="E1321" s="181">
        <v>88.899999999999991</v>
      </c>
      <c r="F1321" s="181">
        <v>0</v>
      </c>
      <c r="G1321" s="181">
        <v>0</v>
      </c>
      <c r="H1321" s="181">
        <v>0</v>
      </c>
      <c r="I1321" s="181">
        <v>7.9375</v>
      </c>
      <c r="J1321" s="181">
        <v>0</v>
      </c>
      <c r="K1321" s="181">
        <v>0</v>
      </c>
      <c r="L1321" s="181">
        <v>0</v>
      </c>
      <c r="M1321" s="181">
        <v>2101968.6992799998</v>
      </c>
      <c r="N1321" s="181">
        <v>57026.982719999993</v>
      </c>
      <c r="O1321" s="181">
        <v>32118.645439999997</v>
      </c>
      <c r="P1321" s="181">
        <v>26.923999999999999</v>
      </c>
      <c r="Q1321" s="181">
        <v>0</v>
      </c>
      <c r="R1321" s="181">
        <v>0</v>
      </c>
      <c r="S1321" s="181">
        <v>0</v>
      </c>
      <c r="T1321" s="181">
        <v>43.687999999999995</v>
      </c>
      <c r="U1321" s="181">
        <v>0</v>
      </c>
      <c r="V1321" s="181">
        <v>0</v>
      </c>
    </row>
    <row r="1322" spans="1:22">
      <c r="A1322" s="2" t="s">
        <v>2662</v>
      </c>
      <c r="B1322" s="2" t="s">
        <v>2663</v>
      </c>
      <c r="C1322" s="181">
        <v>22.768847999999998</v>
      </c>
      <c r="D1322" s="181">
        <v>2903.22</v>
      </c>
      <c r="E1322" s="181">
        <v>88.899999999999991</v>
      </c>
      <c r="F1322" s="181">
        <v>0</v>
      </c>
      <c r="G1322" s="181">
        <v>0</v>
      </c>
      <c r="H1322" s="181">
        <v>0</v>
      </c>
      <c r="I1322" s="181">
        <v>7.9375</v>
      </c>
      <c r="J1322" s="181">
        <v>0</v>
      </c>
      <c r="K1322" s="181">
        <v>0</v>
      </c>
      <c r="L1322" s="181">
        <v>0</v>
      </c>
      <c r="M1322" s="181">
        <v>2101968.6992799998</v>
      </c>
      <c r="N1322" s="181">
        <v>57026.982719999993</v>
      </c>
      <c r="O1322" s="181">
        <v>32118.645439999997</v>
      </c>
      <c r="P1322" s="181">
        <v>26.923999999999999</v>
      </c>
      <c r="Q1322" s="181">
        <v>0</v>
      </c>
      <c r="R1322" s="181">
        <v>0</v>
      </c>
      <c r="S1322" s="181">
        <v>0</v>
      </c>
      <c r="T1322" s="181">
        <v>46.99</v>
      </c>
      <c r="U1322" s="181">
        <v>0</v>
      </c>
      <c r="V1322" s="181">
        <v>0</v>
      </c>
    </row>
    <row r="1323" spans="1:22">
      <c r="A1323" s="2" t="s">
        <v>2664</v>
      </c>
      <c r="B1323" s="2" t="s">
        <v>2665</v>
      </c>
      <c r="C1323" s="181">
        <v>22.768847999999998</v>
      </c>
      <c r="D1323" s="181">
        <v>2903.22</v>
      </c>
      <c r="E1323" s="181">
        <v>88.899999999999991</v>
      </c>
      <c r="F1323" s="181">
        <v>0</v>
      </c>
      <c r="G1323" s="181">
        <v>0</v>
      </c>
      <c r="H1323" s="181">
        <v>0</v>
      </c>
      <c r="I1323" s="181">
        <v>7.9375</v>
      </c>
      <c r="J1323" s="181">
        <v>0</v>
      </c>
      <c r="K1323" s="181">
        <v>0</v>
      </c>
      <c r="L1323" s="181">
        <v>0</v>
      </c>
      <c r="M1323" s="181">
        <v>2101968.6992799998</v>
      </c>
      <c r="N1323" s="181">
        <v>57026.982719999993</v>
      </c>
      <c r="O1323" s="181">
        <v>32118.645439999997</v>
      </c>
      <c r="P1323" s="181">
        <v>26.923999999999999</v>
      </c>
      <c r="Q1323" s="181">
        <v>0</v>
      </c>
      <c r="R1323" s="181">
        <v>0</v>
      </c>
      <c r="S1323" s="181">
        <v>0</v>
      </c>
      <c r="T1323" s="181">
        <v>50.545999999999999</v>
      </c>
      <c r="U1323" s="181">
        <v>0</v>
      </c>
      <c r="V1323" s="181">
        <v>0</v>
      </c>
    </row>
    <row r="1324" spans="1:22">
      <c r="A1324" s="2" t="s">
        <v>2666</v>
      </c>
      <c r="B1324" s="2" t="s">
        <v>2667</v>
      </c>
      <c r="C1324" s="181">
        <v>18.453184</v>
      </c>
      <c r="D1324" s="181">
        <v>2341.9307999999996</v>
      </c>
      <c r="E1324" s="181">
        <v>88.899999999999991</v>
      </c>
      <c r="F1324" s="181">
        <v>0</v>
      </c>
      <c r="G1324" s="181">
        <v>0</v>
      </c>
      <c r="H1324" s="181">
        <v>0</v>
      </c>
      <c r="I1324" s="181">
        <v>6.35</v>
      </c>
      <c r="J1324" s="181">
        <v>0</v>
      </c>
      <c r="K1324" s="181">
        <v>0</v>
      </c>
      <c r="L1324" s="181">
        <v>0</v>
      </c>
      <c r="M1324" s="181">
        <v>1719035.7877279997</v>
      </c>
      <c r="N1324" s="181">
        <v>45883.77919999999</v>
      </c>
      <c r="O1324" s="181">
        <v>26055.431759999999</v>
      </c>
      <c r="P1324" s="181">
        <v>27.178000000000001</v>
      </c>
      <c r="Q1324" s="181">
        <v>0</v>
      </c>
      <c r="R1324" s="181">
        <v>0</v>
      </c>
      <c r="S1324" s="181">
        <v>0</v>
      </c>
      <c r="T1324" s="181">
        <v>43.18</v>
      </c>
      <c r="U1324" s="181">
        <v>0</v>
      </c>
      <c r="V1324" s="181">
        <v>0</v>
      </c>
    </row>
    <row r="1325" spans="1:22">
      <c r="A1325" s="2" t="s">
        <v>2668</v>
      </c>
      <c r="B1325" s="2" t="s">
        <v>2669</v>
      </c>
      <c r="C1325" s="181">
        <v>18.453184</v>
      </c>
      <c r="D1325" s="181">
        <v>2341.9307999999996</v>
      </c>
      <c r="E1325" s="181">
        <v>88.899999999999991</v>
      </c>
      <c r="F1325" s="181">
        <v>0</v>
      </c>
      <c r="G1325" s="181">
        <v>0</v>
      </c>
      <c r="H1325" s="181">
        <v>0</v>
      </c>
      <c r="I1325" s="181">
        <v>6.35</v>
      </c>
      <c r="J1325" s="181">
        <v>0</v>
      </c>
      <c r="K1325" s="181">
        <v>0</v>
      </c>
      <c r="L1325" s="181">
        <v>0</v>
      </c>
      <c r="M1325" s="181">
        <v>1719035.7877279997</v>
      </c>
      <c r="N1325" s="181">
        <v>45883.77919999999</v>
      </c>
      <c r="O1325" s="181">
        <v>26055.431759999999</v>
      </c>
      <c r="P1325" s="181">
        <v>27.178000000000001</v>
      </c>
      <c r="Q1325" s="181">
        <v>0</v>
      </c>
      <c r="R1325" s="181">
        <v>0</v>
      </c>
      <c r="S1325" s="181">
        <v>0</v>
      </c>
      <c r="T1325" s="181">
        <v>46.481999999999999</v>
      </c>
      <c r="U1325" s="181">
        <v>0</v>
      </c>
      <c r="V1325" s="181">
        <v>0</v>
      </c>
    </row>
    <row r="1326" spans="1:22">
      <c r="A1326" s="2" t="s">
        <v>2670</v>
      </c>
      <c r="B1326" s="2" t="s">
        <v>2671</v>
      </c>
      <c r="C1326" s="181">
        <v>18.453184</v>
      </c>
      <c r="D1326" s="181">
        <v>2341.9307999999996</v>
      </c>
      <c r="E1326" s="181">
        <v>88.899999999999991</v>
      </c>
      <c r="F1326" s="181">
        <v>0</v>
      </c>
      <c r="G1326" s="181">
        <v>0</v>
      </c>
      <c r="H1326" s="181">
        <v>0</v>
      </c>
      <c r="I1326" s="181">
        <v>6.35</v>
      </c>
      <c r="J1326" s="181">
        <v>0</v>
      </c>
      <c r="K1326" s="181">
        <v>0</v>
      </c>
      <c r="L1326" s="181">
        <v>0</v>
      </c>
      <c r="M1326" s="181">
        <v>1719035.7877279997</v>
      </c>
      <c r="N1326" s="181">
        <v>45883.77919999999</v>
      </c>
      <c r="O1326" s="181">
        <v>26055.431759999999</v>
      </c>
      <c r="P1326" s="181">
        <v>27.178000000000001</v>
      </c>
      <c r="Q1326" s="181">
        <v>0</v>
      </c>
      <c r="R1326" s="181">
        <v>0</v>
      </c>
      <c r="S1326" s="181">
        <v>0</v>
      </c>
      <c r="T1326" s="181">
        <v>50.037999999999997</v>
      </c>
      <c r="U1326" s="181">
        <v>0</v>
      </c>
      <c r="V1326" s="181">
        <v>0</v>
      </c>
    </row>
    <row r="1327" spans="1:22">
      <c r="A1327" s="2" t="s">
        <v>2672</v>
      </c>
      <c r="B1327" s="2" t="s">
        <v>2673</v>
      </c>
      <c r="C1327" s="181">
        <v>40.329135999999998</v>
      </c>
      <c r="D1327" s="181">
        <v>5148.3768</v>
      </c>
      <c r="E1327" s="181">
        <v>76.199999999999989</v>
      </c>
      <c r="F1327" s="181">
        <v>0</v>
      </c>
      <c r="G1327" s="181">
        <v>0</v>
      </c>
      <c r="H1327" s="181">
        <v>0</v>
      </c>
      <c r="I1327" s="181">
        <v>15.875</v>
      </c>
      <c r="J1327" s="181">
        <v>0</v>
      </c>
      <c r="K1327" s="181">
        <v>0</v>
      </c>
      <c r="L1327" s="181">
        <v>0</v>
      </c>
      <c r="M1327" s="181">
        <v>2372519.12592</v>
      </c>
      <c r="N1327" s="181">
        <v>80296.613599999997</v>
      </c>
      <c r="O1327" s="181">
        <v>43753.460879999991</v>
      </c>
      <c r="P1327" s="181">
        <v>21.462999999999997</v>
      </c>
      <c r="Q1327" s="181">
        <v>0</v>
      </c>
      <c r="R1327" s="181">
        <v>0</v>
      </c>
      <c r="S1327" s="181">
        <v>0</v>
      </c>
      <c r="T1327" s="181">
        <v>46.735999999999997</v>
      </c>
      <c r="U1327" s="181">
        <v>0</v>
      </c>
      <c r="V1327" s="181">
        <v>0</v>
      </c>
    </row>
    <row r="1328" spans="1:22">
      <c r="A1328" s="2" t="s">
        <v>2674</v>
      </c>
      <c r="B1328" s="2" t="s">
        <v>2675</v>
      </c>
      <c r="C1328" s="181">
        <v>40.329135999999998</v>
      </c>
      <c r="D1328" s="181">
        <v>5148.3768</v>
      </c>
      <c r="E1328" s="181">
        <v>76.199999999999989</v>
      </c>
      <c r="F1328" s="181">
        <v>0</v>
      </c>
      <c r="G1328" s="181">
        <v>0</v>
      </c>
      <c r="H1328" s="181">
        <v>0</v>
      </c>
      <c r="I1328" s="181">
        <v>15.875</v>
      </c>
      <c r="J1328" s="181">
        <v>0</v>
      </c>
      <c r="K1328" s="181">
        <v>0</v>
      </c>
      <c r="L1328" s="181">
        <v>0</v>
      </c>
      <c r="M1328" s="181">
        <v>2372519.12592</v>
      </c>
      <c r="N1328" s="181">
        <v>80296.613599999997</v>
      </c>
      <c r="O1328" s="181">
        <v>43753.460879999991</v>
      </c>
      <c r="P1328" s="181">
        <v>21.462999999999997</v>
      </c>
      <c r="Q1328" s="181">
        <v>0</v>
      </c>
      <c r="R1328" s="181">
        <v>0</v>
      </c>
      <c r="S1328" s="181">
        <v>0</v>
      </c>
      <c r="T1328" s="181">
        <v>50.291999999999994</v>
      </c>
      <c r="U1328" s="181">
        <v>0</v>
      </c>
      <c r="V1328" s="181">
        <v>0</v>
      </c>
    </row>
    <row r="1329" spans="1:22">
      <c r="A1329" s="2" t="s">
        <v>2676</v>
      </c>
      <c r="B1329" s="2" t="s">
        <v>2677</v>
      </c>
      <c r="C1329" s="181">
        <v>40.329135999999998</v>
      </c>
      <c r="D1329" s="181">
        <v>5148.3768</v>
      </c>
      <c r="E1329" s="181">
        <v>76.199999999999989</v>
      </c>
      <c r="F1329" s="181">
        <v>0</v>
      </c>
      <c r="G1329" s="181">
        <v>0</v>
      </c>
      <c r="H1329" s="181">
        <v>0</v>
      </c>
      <c r="I1329" s="181">
        <v>15.875</v>
      </c>
      <c r="J1329" s="181">
        <v>0</v>
      </c>
      <c r="K1329" s="181">
        <v>0</v>
      </c>
      <c r="L1329" s="181">
        <v>0</v>
      </c>
      <c r="M1329" s="181">
        <v>2372519.12592</v>
      </c>
      <c r="N1329" s="181">
        <v>80296.613599999997</v>
      </c>
      <c r="O1329" s="181">
        <v>43753.460879999991</v>
      </c>
      <c r="P1329" s="181">
        <v>21.462999999999997</v>
      </c>
      <c r="Q1329" s="181">
        <v>0</v>
      </c>
      <c r="R1329" s="181">
        <v>0</v>
      </c>
      <c r="S1329" s="181">
        <v>0</v>
      </c>
      <c r="T1329" s="181">
        <v>54.101999999999997</v>
      </c>
      <c r="U1329" s="181">
        <v>0</v>
      </c>
      <c r="V1329" s="181">
        <v>0</v>
      </c>
    </row>
    <row r="1330" spans="1:22">
      <c r="A1330" s="2" t="s">
        <v>2678</v>
      </c>
      <c r="B1330" s="2" t="s">
        <v>2679</v>
      </c>
      <c r="C1330" s="181">
        <v>32.888336000000002</v>
      </c>
      <c r="D1330" s="181">
        <v>4199.9915999999994</v>
      </c>
      <c r="E1330" s="181">
        <v>76.199999999999989</v>
      </c>
      <c r="F1330" s="181">
        <v>0</v>
      </c>
      <c r="G1330" s="181">
        <v>0</v>
      </c>
      <c r="H1330" s="181">
        <v>0</v>
      </c>
      <c r="I1330" s="181">
        <v>12.7</v>
      </c>
      <c r="J1330" s="181">
        <v>0</v>
      </c>
      <c r="K1330" s="181">
        <v>0</v>
      </c>
      <c r="L1330" s="181">
        <v>0</v>
      </c>
      <c r="M1330" s="181">
        <v>1993748.5286239998</v>
      </c>
      <c r="N1330" s="181">
        <v>65384.38536</v>
      </c>
      <c r="O1330" s="181">
        <v>36051.540800000002</v>
      </c>
      <c r="P1330" s="181">
        <v>21.793199999999999</v>
      </c>
      <c r="Q1330" s="181">
        <v>0</v>
      </c>
      <c r="R1330" s="181">
        <v>0</v>
      </c>
      <c r="S1330" s="181">
        <v>0</v>
      </c>
      <c r="T1330" s="181">
        <v>45.973999999999997</v>
      </c>
      <c r="U1330" s="181">
        <v>0</v>
      </c>
      <c r="V1330" s="181">
        <v>0</v>
      </c>
    </row>
    <row r="1331" spans="1:22">
      <c r="A1331" s="2" t="s">
        <v>2680</v>
      </c>
      <c r="B1331" s="2" t="s">
        <v>2681</v>
      </c>
      <c r="C1331" s="181">
        <v>32.888336000000002</v>
      </c>
      <c r="D1331" s="181">
        <v>4199.9915999999994</v>
      </c>
      <c r="E1331" s="181">
        <v>76.199999999999989</v>
      </c>
      <c r="F1331" s="181">
        <v>0</v>
      </c>
      <c r="G1331" s="181">
        <v>0</v>
      </c>
      <c r="H1331" s="181">
        <v>0</v>
      </c>
      <c r="I1331" s="181">
        <v>12.7</v>
      </c>
      <c r="J1331" s="181">
        <v>0</v>
      </c>
      <c r="K1331" s="181">
        <v>0</v>
      </c>
      <c r="L1331" s="181">
        <v>0</v>
      </c>
      <c r="M1331" s="181">
        <v>1993748.5286239998</v>
      </c>
      <c r="N1331" s="181">
        <v>65384.38536</v>
      </c>
      <c r="O1331" s="181">
        <v>36051.540800000002</v>
      </c>
      <c r="P1331" s="181">
        <v>21.793199999999999</v>
      </c>
      <c r="Q1331" s="181">
        <v>0</v>
      </c>
      <c r="R1331" s="181">
        <v>0</v>
      </c>
      <c r="S1331" s="181">
        <v>0</v>
      </c>
      <c r="T1331" s="181">
        <v>49.529999999999994</v>
      </c>
      <c r="U1331" s="181">
        <v>0</v>
      </c>
      <c r="V1331" s="181">
        <v>0</v>
      </c>
    </row>
    <row r="1332" spans="1:22">
      <c r="A1332" s="2" t="s">
        <v>2682</v>
      </c>
      <c r="B1332" s="2" t="s">
        <v>2683</v>
      </c>
      <c r="C1332" s="181">
        <v>32.888336000000002</v>
      </c>
      <c r="D1332" s="181">
        <v>4199.9915999999994</v>
      </c>
      <c r="E1332" s="181">
        <v>76.199999999999989</v>
      </c>
      <c r="F1332" s="181">
        <v>0</v>
      </c>
      <c r="G1332" s="181">
        <v>0</v>
      </c>
      <c r="H1332" s="181">
        <v>0</v>
      </c>
      <c r="I1332" s="181">
        <v>12.7</v>
      </c>
      <c r="J1332" s="181">
        <v>0</v>
      </c>
      <c r="K1332" s="181">
        <v>0</v>
      </c>
      <c r="L1332" s="181">
        <v>0</v>
      </c>
      <c r="M1332" s="181">
        <v>1993748.5286239998</v>
      </c>
      <c r="N1332" s="181">
        <v>65384.38536</v>
      </c>
      <c r="O1332" s="181">
        <v>36051.540800000002</v>
      </c>
      <c r="P1332" s="181">
        <v>21.793199999999999</v>
      </c>
      <c r="Q1332" s="181">
        <v>0</v>
      </c>
      <c r="R1332" s="181">
        <v>0</v>
      </c>
      <c r="S1332" s="181">
        <v>0</v>
      </c>
      <c r="T1332" s="181">
        <v>53.339999999999996</v>
      </c>
      <c r="U1332" s="181">
        <v>0</v>
      </c>
      <c r="V1332" s="181">
        <v>0</v>
      </c>
    </row>
    <row r="1333" spans="1:22">
      <c r="A1333" s="2" t="s">
        <v>2684</v>
      </c>
      <c r="B1333" s="2" t="s">
        <v>2685</v>
      </c>
      <c r="C1333" s="181">
        <v>25.149903999999996</v>
      </c>
      <c r="D1333" s="181">
        <v>3212.8968</v>
      </c>
      <c r="E1333" s="181">
        <v>76.199999999999989</v>
      </c>
      <c r="F1333" s="181">
        <v>0</v>
      </c>
      <c r="G1333" s="181">
        <v>0</v>
      </c>
      <c r="H1333" s="181">
        <v>0</v>
      </c>
      <c r="I1333" s="181">
        <v>9.5249999999999986</v>
      </c>
      <c r="J1333" s="181">
        <v>0</v>
      </c>
      <c r="K1333" s="181">
        <v>0</v>
      </c>
      <c r="L1333" s="181">
        <v>0</v>
      </c>
      <c r="M1333" s="181">
        <v>1577517.1030239998</v>
      </c>
      <c r="N1333" s="181">
        <v>49816.674559999999</v>
      </c>
      <c r="O1333" s="181">
        <v>27858.008799999996</v>
      </c>
      <c r="P1333" s="181">
        <v>22.174199999999999</v>
      </c>
      <c r="Q1333" s="181">
        <v>0</v>
      </c>
      <c r="R1333" s="181">
        <v>0</v>
      </c>
      <c r="S1333" s="181">
        <v>0</v>
      </c>
      <c r="T1333" s="181">
        <v>45.466000000000001</v>
      </c>
      <c r="U1333" s="181">
        <v>0</v>
      </c>
      <c r="V1333" s="181">
        <v>0</v>
      </c>
    </row>
    <row r="1334" spans="1:22">
      <c r="A1334" s="2" t="s">
        <v>2686</v>
      </c>
      <c r="B1334" s="2" t="s">
        <v>2687</v>
      </c>
      <c r="C1334" s="181">
        <v>25.149903999999996</v>
      </c>
      <c r="D1334" s="181">
        <v>3212.8968</v>
      </c>
      <c r="E1334" s="181">
        <v>76.199999999999989</v>
      </c>
      <c r="F1334" s="181">
        <v>0</v>
      </c>
      <c r="G1334" s="181">
        <v>0</v>
      </c>
      <c r="H1334" s="181">
        <v>0</v>
      </c>
      <c r="I1334" s="181">
        <v>9.5249999999999986</v>
      </c>
      <c r="J1334" s="181">
        <v>0</v>
      </c>
      <c r="K1334" s="181">
        <v>0</v>
      </c>
      <c r="L1334" s="181">
        <v>0</v>
      </c>
      <c r="M1334" s="181">
        <v>1577517.1030239998</v>
      </c>
      <c r="N1334" s="181">
        <v>49816.674559999999</v>
      </c>
      <c r="O1334" s="181">
        <v>27858.008799999996</v>
      </c>
      <c r="P1334" s="181">
        <v>22.174199999999999</v>
      </c>
      <c r="Q1334" s="181">
        <v>0</v>
      </c>
      <c r="R1334" s="181">
        <v>0</v>
      </c>
      <c r="S1334" s="181">
        <v>0</v>
      </c>
      <c r="T1334" s="181">
        <v>49.021999999999998</v>
      </c>
      <c r="U1334" s="181">
        <v>0</v>
      </c>
      <c r="V1334" s="181">
        <v>0</v>
      </c>
    </row>
    <row r="1335" spans="1:22">
      <c r="A1335" s="2" t="s">
        <v>2688</v>
      </c>
      <c r="B1335" s="2" t="s">
        <v>2689</v>
      </c>
      <c r="C1335" s="181">
        <v>25.149903999999996</v>
      </c>
      <c r="D1335" s="181">
        <v>3212.8968</v>
      </c>
      <c r="E1335" s="181">
        <v>76.199999999999989</v>
      </c>
      <c r="F1335" s="181">
        <v>0</v>
      </c>
      <c r="G1335" s="181">
        <v>0</v>
      </c>
      <c r="H1335" s="181">
        <v>0</v>
      </c>
      <c r="I1335" s="181">
        <v>9.5249999999999986</v>
      </c>
      <c r="J1335" s="181">
        <v>0</v>
      </c>
      <c r="K1335" s="181">
        <v>0</v>
      </c>
      <c r="L1335" s="181">
        <v>0</v>
      </c>
      <c r="M1335" s="181">
        <v>1577517.1030239998</v>
      </c>
      <c r="N1335" s="181">
        <v>49816.674559999999</v>
      </c>
      <c r="O1335" s="181">
        <v>27858.008799999996</v>
      </c>
      <c r="P1335" s="181">
        <v>22.174199999999999</v>
      </c>
      <c r="Q1335" s="181">
        <v>0</v>
      </c>
      <c r="R1335" s="181">
        <v>0</v>
      </c>
      <c r="S1335" s="181">
        <v>0</v>
      </c>
      <c r="T1335" s="181">
        <v>52.577999999999996</v>
      </c>
      <c r="U1335" s="181">
        <v>0</v>
      </c>
      <c r="V1335" s="181">
        <v>0</v>
      </c>
    </row>
    <row r="1336" spans="1:22">
      <c r="A1336" s="2" t="s">
        <v>2690</v>
      </c>
      <c r="B1336" s="2" t="s">
        <v>2691</v>
      </c>
      <c r="C1336" s="181">
        <v>21.131871999999998</v>
      </c>
      <c r="D1336" s="181">
        <v>2703.2204000000002</v>
      </c>
      <c r="E1336" s="181">
        <v>76.199999999999989</v>
      </c>
      <c r="F1336" s="181">
        <v>0</v>
      </c>
      <c r="G1336" s="181">
        <v>0</v>
      </c>
      <c r="H1336" s="181">
        <v>0</v>
      </c>
      <c r="I1336" s="181">
        <v>7.9375</v>
      </c>
      <c r="J1336" s="181">
        <v>0</v>
      </c>
      <c r="K1336" s="181">
        <v>0</v>
      </c>
      <c r="L1336" s="181">
        <v>0</v>
      </c>
      <c r="M1336" s="181">
        <v>1348589.8189439999</v>
      </c>
      <c r="N1336" s="181">
        <v>41950.883839999995</v>
      </c>
      <c r="O1336" s="181">
        <v>23597.372159999995</v>
      </c>
      <c r="P1336" s="181">
        <v>22.352</v>
      </c>
      <c r="Q1336" s="181">
        <v>0</v>
      </c>
      <c r="R1336" s="181">
        <v>0</v>
      </c>
      <c r="S1336" s="181">
        <v>0</v>
      </c>
      <c r="T1336" s="181">
        <v>45.211999999999996</v>
      </c>
      <c r="U1336" s="181">
        <v>0</v>
      </c>
      <c r="V1336" s="181">
        <v>0</v>
      </c>
    </row>
    <row r="1337" spans="1:22">
      <c r="A1337" s="2" t="s">
        <v>2692</v>
      </c>
      <c r="B1337" s="2" t="s">
        <v>2693</v>
      </c>
      <c r="C1337" s="181">
        <v>21.131871999999998</v>
      </c>
      <c r="D1337" s="181">
        <v>2703.2204000000002</v>
      </c>
      <c r="E1337" s="181">
        <v>76.199999999999989</v>
      </c>
      <c r="F1337" s="181">
        <v>0</v>
      </c>
      <c r="G1337" s="181">
        <v>0</v>
      </c>
      <c r="H1337" s="181">
        <v>0</v>
      </c>
      <c r="I1337" s="181">
        <v>7.9375</v>
      </c>
      <c r="J1337" s="181">
        <v>0</v>
      </c>
      <c r="K1337" s="181">
        <v>0</v>
      </c>
      <c r="L1337" s="181">
        <v>0</v>
      </c>
      <c r="M1337" s="181">
        <v>1348589.8189439999</v>
      </c>
      <c r="N1337" s="181">
        <v>41950.883839999995</v>
      </c>
      <c r="O1337" s="181">
        <v>23597.372159999995</v>
      </c>
      <c r="P1337" s="181">
        <v>22.352</v>
      </c>
      <c r="Q1337" s="181">
        <v>0</v>
      </c>
      <c r="R1337" s="181">
        <v>0</v>
      </c>
      <c r="S1337" s="181">
        <v>0</v>
      </c>
      <c r="T1337" s="181">
        <v>48.513999999999996</v>
      </c>
      <c r="U1337" s="181">
        <v>0</v>
      </c>
      <c r="V1337" s="181">
        <v>0</v>
      </c>
    </row>
    <row r="1338" spans="1:22">
      <c r="A1338" s="2" t="s">
        <v>2694</v>
      </c>
      <c r="B1338" s="2" t="s">
        <v>2695</v>
      </c>
      <c r="C1338" s="181">
        <v>21.131871999999998</v>
      </c>
      <c r="D1338" s="181">
        <v>2703.2204000000002</v>
      </c>
      <c r="E1338" s="181">
        <v>76.199999999999989</v>
      </c>
      <c r="F1338" s="181">
        <v>0</v>
      </c>
      <c r="G1338" s="181">
        <v>0</v>
      </c>
      <c r="H1338" s="181">
        <v>0</v>
      </c>
      <c r="I1338" s="181">
        <v>7.9375</v>
      </c>
      <c r="J1338" s="181">
        <v>0</v>
      </c>
      <c r="K1338" s="181">
        <v>0</v>
      </c>
      <c r="L1338" s="181">
        <v>0</v>
      </c>
      <c r="M1338" s="181">
        <v>1348589.8189439999</v>
      </c>
      <c r="N1338" s="181">
        <v>41950.883839999995</v>
      </c>
      <c r="O1338" s="181">
        <v>23597.372159999995</v>
      </c>
      <c r="P1338" s="181">
        <v>22.352</v>
      </c>
      <c r="Q1338" s="181">
        <v>0</v>
      </c>
      <c r="R1338" s="181">
        <v>0</v>
      </c>
      <c r="S1338" s="181">
        <v>0</v>
      </c>
      <c r="T1338" s="181">
        <v>52.323999999999998</v>
      </c>
      <c r="U1338" s="181">
        <v>0</v>
      </c>
      <c r="V1338" s="181">
        <v>0</v>
      </c>
    </row>
    <row r="1339" spans="1:22">
      <c r="A1339" s="2" t="s">
        <v>2696</v>
      </c>
      <c r="B1339" s="2" t="s">
        <v>2697</v>
      </c>
      <c r="C1339" s="181">
        <v>17.11384</v>
      </c>
      <c r="D1339" s="181">
        <v>2180.6407999999997</v>
      </c>
      <c r="E1339" s="181">
        <v>76.199999999999989</v>
      </c>
      <c r="F1339" s="181">
        <v>0</v>
      </c>
      <c r="G1339" s="181">
        <v>0</v>
      </c>
      <c r="H1339" s="181">
        <v>0</v>
      </c>
      <c r="I1339" s="181">
        <v>6.35</v>
      </c>
      <c r="J1339" s="181">
        <v>0</v>
      </c>
      <c r="K1339" s="181">
        <v>0</v>
      </c>
      <c r="L1339" s="181">
        <v>0</v>
      </c>
      <c r="M1339" s="181">
        <v>1107175.592096</v>
      </c>
      <c r="N1339" s="181">
        <v>33757.351839999996</v>
      </c>
      <c r="O1339" s="181">
        <v>19172.864879999997</v>
      </c>
      <c r="P1339" s="181">
        <v>22.529799999999998</v>
      </c>
      <c r="Q1339" s="181">
        <v>0</v>
      </c>
      <c r="R1339" s="181">
        <v>0</v>
      </c>
      <c r="S1339" s="181">
        <v>0</v>
      </c>
      <c r="T1339" s="181">
        <v>44.704000000000001</v>
      </c>
      <c r="U1339" s="181">
        <v>0</v>
      </c>
      <c r="V1339" s="181">
        <v>0</v>
      </c>
    </row>
    <row r="1340" spans="1:22">
      <c r="A1340" s="2" t="s">
        <v>2698</v>
      </c>
      <c r="B1340" s="2" t="s">
        <v>2699</v>
      </c>
      <c r="C1340" s="181">
        <v>17.11384</v>
      </c>
      <c r="D1340" s="181">
        <v>2180.6407999999997</v>
      </c>
      <c r="E1340" s="181">
        <v>76.199999999999989</v>
      </c>
      <c r="F1340" s="181">
        <v>0</v>
      </c>
      <c r="G1340" s="181">
        <v>0</v>
      </c>
      <c r="H1340" s="181">
        <v>0</v>
      </c>
      <c r="I1340" s="181">
        <v>6.35</v>
      </c>
      <c r="J1340" s="181">
        <v>0</v>
      </c>
      <c r="K1340" s="181">
        <v>0</v>
      </c>
      <c r="L1340" s="181">
        <v>0</v>
      </c>
      <c r="M1340" s="181">
        <v>1107175.592096</v>
      </c>
      <c r="N1340" s="181">
        <v>33757.351839999996</v>
      </c>
      <c r="O1340" s="181">
        <v>19172.864879999997</v>
      </c>
      <c r="P1340" s="181">
        <v>22.529799999999998</v>
      </c>
      <c r="Q1340" s="181">
        <v>0</v>
      </c>
      <c r="R1340" s="181">
        <v>0</v>
      </c>
      <c r="S1340" s="181">
        <v>0</v>
      </c>
      <c r="T1340" s="181">
        <v>48.26</v>
      </c>
      <c r="U1340" s="181">
        <v>0</v>
      </c>
      <c r="V1340" s="181">
        <v>0</v>
      </c>
    </row>
    <row r="1341" spans="1:22">
      <c r="A1341" s="2" t="s">
        <v>2700</v>
      </c>
      <c r="B1341" s="2" t="s">
        <v>2701</v>
      </c>
      <c r="C1341" s="181">
        <v>17.11384</v>
      </c>
      <c r="D1341" s="181">
        <v>2180.6407999999997</v>
      </c>
      <c r="E1341" s="181">
        <v>76.199999999999989</v>
      </c>
      <c r="F1341" s="181">
        <v>0</v>
      </c>
      <c r="G1341" s="181">
        <v>0</v>
      </c>
      <c r="H1341" s="181">
        <v>0</v>
      </c>
      <c r="I1341" s="181">
        <v>6.35</v>
      </c>
      <c r="J1341" s="181">
        <v>0</v>
      </c>
      <c r="K1341" s="181">
        <v>0</v>
      </c>
      <c r="L1341" s="181">
        <v>0</v>
      </c>
      <c r="M1341" s="181">
        <v>1107175.592096</v>
      </c>
      <c r="N1341" s="181">
        <v>33757.351839999996</v>
      </c>
      <c r="O1341" s="181">
        <v>19172.864879999997</v>
      </c>
      <c r="P1341" s="181">
        <v>22.529799999999998</v>
      </c>
      <c r="Q1341" s="181">
        <v>0</v>
      </c>
      <c r="R1341" s="181">
        <v>0</v>
      </c>
      <c r="S1341" s="181">
        <v>0</v>
      </c>
      <c r="T1341" s="181">
        <v>51.815999999999995</v>
      </c>
      <c r="U1341" s="181">
        <v>0</v>
      </c>
      <c r="V1341" s="181">
        <v>0</v>
      </c>
    </row>
    <row r="1342" spans="1:22">
      <c r="A1342" s="2" t="s">
        <v>2702</v>
      </c>
      <c r="B1342" s="2" t="s">
        <v>2703</v>
      </c>
      <c r="C1342" s="181">
        <v>30.656096000000002</v>
      </c>
      <c r="D1342" s="181">
        <v>3896.7664</v>
      </c>
      <c r="E1342" s="181">
        <v>76.199999999999989</v>
      </c>
      <c r="F1342" s="181">
        <v>0</v>
      </c>
      <c r="G1342" s="181">
        <v>0</v>
      </c>
      <c r="H1342" s="181">
        <v>0</v>
      </c>
      <c r="I1342" s="181">
        <v>12.7</v>
      </c>
      <c r="J1342" s="181">
        <v>0</v>
      </c>
      <c r="K1342" s="181">
        <v>0</v>
      </c>
      <c r="L1342" s="181">
        <v>0</v>
      </c>
      <c r="M1342" s="181">
        <v>1935476.12904</v>
      </c>
      <c r="N1342" s="181">
        <v>64565.032159999995</v>
      </c>
      <c r="O1342" s="181">
        <v>35723.79952</v>
      </c>
      <c r="P1342" s="181">
        <v>22.2758</v>
      </c>
      <c r="Q1342" s="181">
        <v>0</v>
      </c>
      <c r="R1342" s="181">
        <v>0</v>
      </c>
      <c r="S1342" s="181">
        <v>0</v>
      </c>
      <c r="T1342" s="181">
        <v>39.369999999999997</v>
      </c>
      <c r="U1342" s="181">
        <v>0</v>
      </c>
      <c r="V1342" s="181">
        <v>0</v>
      </c>
    </row>
    <row r="1343" spans="1:22">
      <c r="A1343" s="2" t="s">
        <v>2704</v>
      </c>
      <c r="B1343" s="2" t="s">
        <v>2705</v>
      </c>
      <c r="C1343" s="181">
        <v>30.656096000000002</v>
      </c>
      <c r="D1343" s="181">
        <v>3896.7664</v>
      </c>
      <c r="E1343" s="181">
        <v>76.199999999999989</v>
      </c>
      <c r="F1343" s="181">
        <v>0</v>
      </c>
      <c r="G1343" s="181">
        <v>0</v>
      </c>
      <c r="H1343" s="181">
        <v>0</v>
      </c>
      <c r="I1343" s="181">
        <v>12.7</v>
      </c>
      <c r="J1343" s="181">
        <v>0</v>
      </c>
      <c r="K1343" s="181">
        <v>0</v>
      </c>
      <c r="L1343" s="181">
        <v>0</v>
      </c>
      <c r="M1343" s="181">
        <v>1935476.12904</v>
      </c>
      <c r="N1343" s="181">
        <v>64565.032159999995</v>
      </c>
      <c r="O1343" s="181">
        <v>35723.79952</v>
      </c>
      <c r="P1343" s="181">
        <v>22.2758</v>
      </c>
      <c r="Q1343" s="181">
        <v>0</v>
      </c>
      <c r="R1343" s="181">
        <v>0</v>
      </c>
      <c r="S1343" s="181">
        <v>0</v>
      </c>
      <c r="T1343" s="181">
        <v>42.925999999999995</v>
      </c>
      <c r="U1343" s="181">
        <v>0</v>
      </c>
      <c r="V1343" s="181">
        <v>0</v>
      </c>
    </row>
    <row r="1344" spans="1:22">
      <c r="A1344" s="2" t="s">
        <v>2706</v>
      </c>
      <c r="B1344" s="2" t="s">
        <v>2707</v>
      </c>
      <c r="C1344" s="181">
        <v>30.656096000000002</v>
      </c>
      <c r="D1344" s="181">
        <v>3896.7664</v>
      </c>
      <c r="E1344" s="181">
        <v>76.199999999999989</v>
      </c>
      <c r="F1344" s="181">
        <v>0</v>
      </c>
      <c r="G1344" s="181">
        <v>0</v>
      </c>
      <c r="H1344" s="181">
        <v>0</v>
      </c>
      <c r="I1344" s="181">
        <v>12.7</v>
      </c>
      <c r="J1344" s="181">
        <v>0</v>
      </c>
      <c r="K1344" s="181">
        <v>0</v>
      </c>
      <c r="L1344" s="181">
        <v>0</v>
      </c>
      <c r="M1344" s="181">
        <v>1935476.12904</v>
      </c>
      <c r="N1344" s="181">
        <v>64565.032159999995</v>
      </c>
      <c r="O1344" s="181">
        <v>35723.79952</v>
      </c>
      <c r="P1344" s="181">
        <v>22.2758</v>
      </c>
      <c r="Q1344" s="181">
        <v>0</v>
      </c>
      <c r="R1344" s="181">
        <v>0</v>
      </c>
      <c r="S1344" s="181">
        <v>0</v>
      </c>
      <c r="T1344" s="181">
        <v>46.735999999999997</v>
      </c>
      <c r="U1344" s="181">
        <v>0</v>
      </c>
      <c r="V1344" s="181">
        <v>0</v>
      </c>
    </row>
    <row r="1345" spans="1:22">
      <c r="A1345" s="2" t="s">
        <v>2708</v>
      </c>
      <c r="B1345" s="2" t="s">
        <v>2709</v>
      </c>
      <c r="C1345" s="181">
        <v>27.084511999999997</v>
      </c>
      <c r="D1345" s="181">
        <v>3445.1543999999999</v>
      </c>
      <c r="E1345" s="181">
        <v>76.199999999999989</v>
      </c>
      <c r="F1345" s="181">
        <v>0</v>
      </c>
      <c r="G1345" s="181">
        <v>0</v>
      </c>
      <c r="H1345" s="181">
        <v>0</v>
      </c>
      <c r="I1345" s="181">
        <v>11.112499999999999</v>
      </c>
      <c r="J1345" s="181">
        <v>0</v>
      </c>
      <c r="K1345" s="181">
        <v>0</v>
      </c>
      <c r="L1345" s="181">
        <v>0</v>
      </c>
      <c r="M1345" s="181">
        <v>1739847.3590079998</v>
      </c>
      <c r="N1345" s="181">
        <v>57190.853360000001</v>
      </c>
      <c r="O1345" s="181">
        <v>31790.904159999995</v>
      </c>
      <c r="P1345" s="181">
        <v>22.478999999999999</v>
      </c>
      <c r="Q1345" s="181">
        <v>0</v>
      </c>
      <c r="R1345" s="181">
        <v>0</v>
      </c>
      <c r="S1345" s="181">
        <v>0</v>
      </c>
      <c r="T1345" s="181">
        <v>39.116</v>
      </c>
      <c r="U1345" s="181">
        <v>0</v>
      </c>
      <c r="V1345" s="181">
        <v>0</v>
      </c>
    </row>
    <row r="1346" spans="1:22">
      <c r="A1346" s="2" t="s">
        <v>2710</v>
      </c>
      <c r="B1346" s="2" t="s">
        <v>2711</v>
      </c>
      <c r="C1346" s="181">
        <v>27.084511999999997</v>
      </c>
      <c r="D1346" s="181">
        <v>3445.1543999999999</v>
      </c>
      <c r="E1346" s="181">
        <v>76.199999999999989</v>
      </c>
      <c r="F1346" s="181">
        <v>0</v>
      </c>
      <c r="G1346" s="181">
        <v>0</v>
      </c>
      <c r="H1346" s="181">
        <v>0</v>
      </c>
      <c r="I1346" s="181">
        <v>11.112499999999999</v>
      </c>
      <c r="J1346" s="181">
        <v>0</v>
      </c>
      <c r="K1346" s="181">
        <v>0</v>
      </c>
      <c r="L1346" s="181">
        <v>0</v>
      </c>
      <c r="M1346" s="181">
        <v>1739847.3590079998</v>
      </c>
      <c r="N1346" s="181">
        <v>57190.853360000001</v>
      </c>
      <c r="O1346" s="181">
        <v>31790.904159999995</v>
      </c>
      <c r="P1346" s="181">
        <v>22.478999999999999</v>
      </c>
      <c r="Q1346" s="181">
        <v>0</v>
      </c>
      <c r="R1346" s="181">
        <v>0</v>
      </c>
      <c r="S1346" s="181">
        <v>0</v>
      </c>
      <c r="T1346" s="181">
        <v>42.417999999999999</v>
      </c>
      <c r="U1346" s="181">
        <v>0</v>
      </c>
      <c r="V1346" s="181">
        <v>0</v>
      </c>
    </row>
    <row r="1347" spans="1:22">
      <c r="A1347" s="2" t="s">
        <v>2712</v>
      </c>
      <c r="B1347" s="2" t="s">
        <v>2713</v>
      </c>
      <c r="C1347" s="181">
        <v>27.084511999999997</v>
      </c>
      <c r="D1347" s="181">
        <v>3445.1543999999999</v>
      </c>
      <c r="E1347" s="181">
        <v>76.199999999999989</v>
      </c>
      <c r="F1347" s="181">
        <v>0</v>
      </c>
      <c r="G1347" s="181">
        <v>0</v>
      </c>
      <c r="H1347" s="181">
        <v>0</v>
      </c>
      <c r="I1347" s="181">
        <v>11.112499999999999</v>
      </c>
      <c r="J1347" s="181">
        <v>0</v>
      </c>
      <c r="K1347" s="181">
        <v>0</v>
      </c>
      <c r="L1347" s="181">
        <v>0</v>
      </c>
      <c r="M1347" s="181">
        <v>1739847.3590079998</v>
      </c>
      <c r="N1347" s="181">
        <v>57190.853360000001</v>
      </c>
      <c r="O1347" s="181">
        <v>31790.904159999995</v>
      </c>
      <c r="P1347" s="181">
        <v>22.478999999999999</v>
      </c>
      <c r="Q1347" s="181">
        <v>0</v>
      </c>
      <c r="R1347" s="181">
        <v>0</v>
      </c>
      <c r="S1347" s="181">
        <v>0</v>
      </c>
      <c r="T1347" s="181">
        <v>46.228000000000002</v>
      </c>
      <c r="U1347" s="181">
        <v>0</v>
      </c>
      <c r="V1347" s="181">
        <v>0</v>
      </c>
    </row>
    <row r="1348" spans="1:22">
      <c r="A1348" s="2" t="s">
        <v>2714</v>
      </c>
      <c r="B1348" s="2" t="s">
        <v>2715</v>
      </c>
      <c r="C1348" s="181">
        <v>23.512927999999999</v>
      </c>
      <c r="D1348" s="181">
        <v>2987.0907999999999</v>
      </c>
      <c r="E1348" s="181">
        <v>76.199999999999989</v>
      </c>
      <c r="F1348" s="181">
        <v>0</v>
      </c>
      <c r="G1348" s="181">
        <v>0</v>
      </c>
      <c r="H1348" s="181">
        <v>0</v>
      </c>
      <c r="I1348" s="181">
        <v>9.5249999999999986</v>
      </c>
      <c r="J1348" s="181">
        <v>0</v>
      </c>
      <c r="K1348" s="181">
        <v>0</v>
      </c>
      <c r="L1348" s="181">
        <v>0</v>
      </c>
      <c r="M1348" s="181">
        <v>1535893.9604639998</v>
      </c>
      <c r="N1348" s="181">
        <v>49816.674559999999</v>
      </c>
      <c r="O1348" s="181">
        <v>27694.138159999995</v>
      </c>
      <c r="P1348" s="181">
        <v>22.6568</v>
      </c>
      <c r="Q1348" s="181">
        <v>0</v>
      </c>
      <c r="R1348" s="181">
        <v>0</v>
      </c>
      <c r="S1348" s="181">
        <v>0</v>
      </c>
      <c r="T1348" s="181">
        <v>38.607999999999997</v>
      </c>
      <c r="U1348" s="181">
        <v>0</v>
      </c>
      <c r="V1348" s="181">
        <v>0</v>
      </c>
    </row>
    <row r="1349" spans="1:22">
      <c r="A1349" s="2" t="s">
        <v>2716</v>
      </c>
      <c r="B1349" s="2" t="s">
        <v>2717</v>
      </c>
      <c r="C1349" s="181">
        <v>23.512927999999999</v>
      </c>
      <c r="D1349" s="181">
        <v>2987.0907999999999</v>
      </c>
      <c r="E1349" s="181">
        <v>76.199999999999989</v>
      </c>
      <c r="F1349" s="181">
        <v>0</v>
      </c>
      <c r="G1349" s="181">
        <v>0</v>
      </c>
      <c r="H1349" s="181">
        <v>0</v>
      </c>
      <c r="I1349" s="181">
        <v>9.5249999999999986</v>
      </c>
      <c r="J1349" s="181">
        <v>0</v>
      </c>
      <c r="K1349" s="181">
        <v>0</v>
      </c>
      <c r="L1349" s="181">
        <v>0</v>
      </c>
      <c r="M1349" s="181">
        <v>1535893.9604639998</v>
      </c>
      <c r="N1349" s="181">
        <v>49816.674559999999</v>
      </c>
      <c r="O1349" s="181">
        <v>27694.138159999995</v>
      </c>
      <c r="P1349" s="181">
        <v>22.6568</v>
      </c>
      <c r="Q1349" s="181">
        <v>0</v>
      </c>
      <c r="R1349" s="181">
        <v>0</v>
      </c>
      <c r="S1349" s="181">
        <v>0</v>
      </c>
      <c r="T1349" s="181">
        <v>42.163999999999994</v>
      </c>
      <c r="U1349" s="181">
        <v>0</v>
      </c>
      <c r="V1349" s="181">
        <v>0</v>
      </c>
    </row>
    <row r="1350" spans="1:22">
      <c r="A1350" s="2" t="s">
        <v>2718</v>
      </c>
      <c r="B1350" s="2" t="s">
        <v>2719</v>
      </c>
      <c r="C1350" s="181">
        <v>23.512927999999999</v>
      </c>
      <c r="D1350" s="181">
        <v>2987.0907999999999</v>
      </c>
      <c r="E1350" s="181">
        <v>76.199999999999989</v>
      </c>
      <c r="F1350" s="181">
        <v>0</v>
      </c>
      <c r="G1350" s="181">
        <v>0</v>
      </c>
      <c r="H1350" s="181">
        <v>0</v>
      </c>
      <c r="I1350" s="181">
        <v>9.5249999999999986</v>
      </c>
      <c r="J1350" s="181">
        <v>0</v>
      </c>
      <c r="K1350" s="181">
        <v>0</v>
      </c>
      <c r="L1350" s="181">
        <v>0</v>
      </c>
      <c r="M1350" s="181">
        <v>1535893.9604639998</v>
      </c>
      <c r="N1350" s="181">
        <v>49816.674559999999</v>
      </c>
      <c r="O1350" s="181">
        <v>27694.138159999995</v>
      </c>
      <c r="P1350" s="181">
        <v>22.6568</v>
      </c>
      <c r="Q1350" s="181">
        <v>0</v>
      </c>
      <c r="R1350" s="181">
        <v>0</v>
      </c>
      <c r="S1350" s="181">
        <v>0</v>
      </c>
      <c r="T1350" s="181">
        <v>45.973999999999997</v>
      </c>
      <c r="U1350" s="181">
        <v>0</v>
      </c>
      <c r="V1350" s="181">
        <v>0</v>
      </c>
    </row>
    <row r="1351" spans="1:22">
      <c r="A1351" s="2" t="s">
        <v>2720</v>
      </c>
      <c r="B1351" s="2" t="s">
        <v>2721</v>
      </c>
      <c r="C1351" s="181">
        <v>19.792528000000001</v>
      </c>
      <c r="D1351" s="181">
        <v>2522.5756000000001</v>
      </c>
      <c r="E1351" s="181">
        <v>76.199999999999989</v>
      </c>
      <c r="F1351" s="181">
        <v>0</v>
      </c>
      <c r="G1351" s="181">
        <v>0</v>
      </c>
      <c r="H1351" s="181">
        <v>0</v>
      </c>
      <c r="I1351" s="181">
        <v>7.9375</v>
      </c>
      <c r="J1351" s="181">
        <v>0</v>
      </c>
      <c r="K1351" s="181">
        <v>0</v>
      </c>
      <c r="L1351" s="181">
        <v>0</v>
      </c>
      <c r="M1351" s="181">
        <v>1315291.3048959998</v>
      </c>
      <c r="N1351" s="181">
        <v>41950.883839999995</v>
      </c>
      <c r="O1351" s="181">
        <v>23597.372159999995</v>
      </c>
      <c r="P1351" s="181">
        <v>22.86</v>
      </c>
      <c r="Q1351" s="181">
        <v>0</v>
      </c>
      <c r="R1351" s="181">
        <v>0</v>
      </c>
      <c r="S1351" s="181">
        <v>0</v>
      </c>
      <c r="T1351" s="181">
        <v>38.353999999999999</v>
      </c>
      <c r="U1351" s="181">
        <v>0</v>
      </c>
      <c r="V1351" s="181">
        <v>0</v>
      </c>
    </row>
    <row r="1352" spans="1:22">
      <c r="A1352" s="2" t="s">
        <v>2722</v>
      </c>
      <c r="B1352" s="2" t="s">
        <v>2723</v>
      </c>
      <c r="C1352" s="181">
        <v>19.792528000000001</v>
      </c>
      <c r="D1352" s="181">
        <v>2522.5756000000001</v>
      </c>
      <c r="E1352" s="181">
        <v>76.199999999999989</v>
      </c>
      <c r="F1352" s="181">
        <v>0</v>
      </c>
      <c r="G1352" s="181">
        <v>0</v>
      </c>
      <c r="H1352" s="181">
        <v>0</v>
      </c>
      <c r="I1352" s="181">
        <v>7.9375</v>
      </c>
      <c r="J1352" s="181">
        <v>0</v>
      </c>
      <c r="K1352" s="181">
        <v>0</v>
      </c>
      <c r="L1352" s="181">
        <v>0</v>
      </c>
      <c r="M1352" s="181">
        <v>1315291.3048959998</v>
      </c>
      <c r="N1352" s="181">
        <v>41950.883839999995</v>
      </c>
      <c r="O1352" s="181">
        <v>23597.372159999995</v>
      </c>
      <c r="P1352" s="181">
        <v>22.86</v>
      </c>
      <c r="Q1352" s="181">
        <v>0</v>
      </c>
      <c r="R1352" s="181">
        <v>0</v>
      </c>
      <c r="S1352" s="181">
        <v>0</v>
      </c>
      <c r="T1352" s="181">
        <v>41.91</v>
      </c>
      <c r="U1352" s="181">
        <v>0</v>
      </c>
      <c r="V1352" s="181">
        <v>0</v>
      </c>
    </row>
    <row r="1353" spans="1:22">
      <c r="A1353" s="2" t="s">
        <v>2724</v>
      </c>
      <c r="B1353" s="2" t="s">
        <v>2725</v>
      </c>
      <c r="C1353" s="181">
        <v>19.792528000000001</v>
      </c>
      <c r="D1353" s="181">
        <v>2522.5756000000001</v>
      </c>
      <c r="E1353" s="181">
        <v>76.199999999999989</v>
      </c>
      <c r="F1353" s="181">
        <v>0</v>
      </c>
      <c r="G1353" s="181">
        <v>0</v>
      </c>
      <c r="H1353" s="181">
        <v>0</v>
      </c>
      <c r="I1353" s="181">
        <v>7.9375</v>
      </c>
      <c r="J1353" s="181">
        <v>0</v>
      </c>
      <c r="K1353" s="181">
        <v>0</v>
      </c>
      <c r="L1353" s="181">
        <v>0</v>
      </c>
      <c r="M1353" s="181">
        <v>1315291.3048959998</v>
      </c>
      <c r="N1353" s="181">
        <v>41950.883839999995</v>
      </c>
      <c r="O1353" s="181">
        <v>23597.372159999995</v>
      </c>
      <c r="P1353" s="181">
        <v>22.86</v>
      </c>
      <c r="Q1353" s="181">
        <v>0</v>
      </c>
      <c r="R1353" s="181">
        <v>0</v>
      </c>
      <c r="S1353" s="181">
        <v>0</v>
      </c>
      <c r="T1353" s="181">
        <v>45.466000000000001</v>
      </c>
      <c r="U1353" s="181">
        <v>0</v>
      </c>
      <c r="V1353" s="181">
        <v>0</v>
      </c>
    </row>
    <row r="1354" spans="1:22">
      <c r="A1354" s="2" t="s">
        <v>2726</v>
      </c>
      <c r="B1354" s="2" t="s">
        <v>2727</v>
      </c>
      <c r="C1354" s="181">
        <v>16.072127999999999</v>
      </c>
      <c r="D1354" s="181">
        <v>2038.7056</v>
      </c>
      <c r="E1354" s="181">
        <v>76.199999999999989</v>
      </c>
      <c r="F1354" s="181">
        <v>0</v>
      </c>
      <c r="G1354" s="181">
        <v>0</v>
      </c>
      <c r="H1354" s="181">
        <v>0</v>
      </c>
      <c r="I1354" s="181">
        <v>6.35</v>
      </c>
      <c r="J1354" s="181">
        <v>0</v>
      </c>
      <c r="K1354" s="181">
        <v>0</v>
      </c>
      <c r="L1354" s="181">
        <v>0</v>
      </c>
      <c r="M1354" s="181">
        <v>1086364.0208159999</v>
      </c>
      <c r="N1354" s="181">
        <v>34085.093119999998</v>
      </c>
      <c r="O1354" s="181">
        <v>19172.864879999997</v>
      </c>
      <c r="P1354" s="181">
        <v>23.063199999999998</v>
      </c>
      <c r="Q1354" s="181">
        <v>0</v>
      </c>
      <c r="R1354" s="181">
        <v>0</v>
      </c>
      <c r="S1354" s="181">
        <v>0</v>
      </c>
      <c r="T1354" s="181">
        <v>38.099999999999994</v>
      </c>
      <c r="U1354" s="181">
        <v>0</v>
      </c>
      <c r="V1354" s="181">
        <v>0</v>
      </c>
    </row>
    <row r="1355" spans="1:22">
      <c r="A1355" s="2" t="s">
        <v>2728</v>
      </c>
      <c r="B1355" s="2" t="s">
        <v>2729</v>
      </c>
      <c r="C1355" s="181">
        <v>16.072127999999999</v>
      </c>
      <c r="D1355" s="181">
        <v>2038.7056</v>
      </c>
      <c r="E1355" s="181">
        <v>76.199999999999989</v>
      </c>
      <c r="F1355" s="181">
        <v>0</v>
      </c>
      <c r="G1355" s="181">
        <v>0</v>
      </c>
      <c r="H1355" s="181">
        <v>0</v>
      </c>
      <c r="I1355" s="181">
        <v>6.35</v>
      </c>
      <c r="J1355" s="181">
        <v>0</v>
      </c>
      <c r="K1355" s="181">
        <v>0</v>
      </c>
      <c r="L1355" s="181">
        <v>0</v>
      </c>
      <c r="M1355" s="181">
        <v>1086364.0208159999</v>
      </c>
      <c r="N1355" s="181">
        <v>34085.093119999998</v>
      </c>
      <c r="O1355" s="181">
        <v>19172.864879999997</v>
      </c>
      <c r="P1355" s="181">
        <v>23.063199999999998</v>
      </c>
      <c r="Q1355" s="181">
        <v>0</v>
      </c>
      <c r="R1355" s="181">
        <v>0</v>
      </c>
      <c r="S1355" s="181">
        <v>0</v>
      </c>
      <c r="T1355" s="181">
        <v>41.401999999999994</v>
      </c>
      <c r="U1355" s="181">
        <v>0</v>
      </c>
      <c r="V1355" s="181">
        <v>0</v>
      </c>
    </row>
    <row r="1356" spans="1:22">
      <c r="A1356" s="2" t="s">
        <v>2730</v>
      </c>
      <c r="B1356" s="2" t="s">
        <v>2731</v>
      </c>
      <c r="C1356" s="181">
        <v>16.072127999999999</v>
      </c>
      <c r="D1356" s="181">
        <v>2038.7056</v>
      </c>
      <c r="E1356" s="181">
        <v>76.199999999999989</v>
      </c>
      <c r="F1356" s="181">
        <v>0</v>
      </c>
      <c r="G1356" s="181">
        <v>0</v>
      </c>
      <c r="H1356" s="181">
        <v>0</v>
      </c>
      <c r="I1356" s="181">
        <v>6.35</v>
      </c>
      <c r="J1356" s="181">
        <v>0</v>
      </c>
      <c r="K1356" s="181">
        <v>0</v>
      </c>
      <c r="L1356" s="181">
        <v>0</v>
      </c>
      <c r="M1356" s="181">
        <v>1086364.0208159999</v>
      </c>
      <c r="N1356" s="181">
        <v>34085.093119999998</v>
      </c>
      <c r="O1356" s="181">
        <v>19172.864879999997</v>
      </c>
      <c r="P1356" s="181">
        <v>23.063199999999998</v>
      </c>
      <c r="Q1356" s="181">
        <v>0</v>
      </c>
      <c r="R1356" s="181">
        <v>0</v>
      </c>
      <c r="S1356" s="181">
        <v>0</v>
      </c>
      <c r="T1356" s="181">
        <v>45.211999999999996</v>
      </c>
      <c r="U1356" s="181">
        <v>0</v>
      </c>
      <c r="V1356" s="181">
        <v>0</v>
      </c>
    </row>
    <row r="1357" spans="1:22">
      <c r="A1357" s="2" t="s">
        <v>2732</v>
      </c>
      <c r="B1357" s="2" t="s">
        <v>2733</v>
      </c>
      <c r="C1357" s="181">
        <v>27.977408</v>
      </c>
      <c r="D1357" s="181">
        <v>3567.7348000000002</v>
      </c>
      <c r="E1357" s="181">
        <v>63.5</v>
      </c>
      <c r="F1357" s="181">
        <v>0</v>
      </c>
      <c r="G1357" s="181">
        <v>0</v>
      </c>
      <c r="H1357" s="181">
        <v>0</v>
      </c>
      <c r="I1357" s="181">
        <v>12.7</v>
      </c>
      <c r="J1357" s="181">
        <v>0</v>
      </c>
      <c r="K1357" s="181">
        <v>0</v>
      </c>
      <c r="L1357" s="181">
        <v>0</v>
      </c>
      <c r="M1357" s="181">
        <v>1132149.4776319999</v>
      </c>
      <c r="N1357" s="181">
        <v>45556.037919999995</v>
      </c>
      <c r="O1357" s="181">
        <v>24744.466639999999</v>
      </c>
      <c r="P1357" s="181">
        <v>17.805400000000002</v>
      </c>
      <c r="Q1357" s="181">
        <v>0</v>
      </c>
      <c r="R1357" s="181">
        <v>0</v>
      </c>
      <c r="S1357" s="181">
        <v>0</v>
      </c>
      <c r="T1357" s="181">
        <v>41.148000000000003</v>
      </c>
      <c r="U1357" s="181">
        <v>0</v>
      </c>
      <c r="V1357" s="181">
        <v>0</v>
      </c>
    </row>
    <row r="1358" spans="1:22">
      <c r="A1358" s="2" t="s">
        <v>2734</v>
      </c>
      <c r="B1358" s="2" t="s">
        <v>2735</v>
      </c>
      <c r="C1358" s="181">
        <v>27.977408</v>
      </c>
      <c r="D1358" s="181">
        <v>3567.7348000000002</v>
      </c>
      <c r="E1358" s="181">
        <v>63.5</v>
      </c>
      <c r="F1358" s="181">
        <v>0</v>
      </c>
      <c r="G1358" s="181">
        <v>0</v>
      </c>
      <c r="H1358" s="181">
        <v>0</v>
      </c>
      <c r="I1358" s="181">
        <v>12.7</v>
      </c>
      <c r="J1358" s="181">
        <v>0</v>
      </c>
      <c r="K1358" s="181">
        <v>0</v>
      </c>
      <c r="L1358" s="181">
        <v>0</v>
      </c>
      <c r="M1358" s="181">
        <v>1132149.4776319999</v>
      </c>
      <c r="N1358" s="181">
        <v>45556.037919999995</v>
      </c>
      <c r="O1358" s="181">
        <v>24744.466639999999</v>
      </c>
      <c r="P1358" s="181">
        <v>17.805400000000002</v>
      </c>
      <c r="Q1358" s="181">
        <v>0</v>
      </c>
      <c r="R1358" s="181">
        <v>0</v>
      </c>
      <c r="S1358" s="181">
        <v>0</v>
      </c>
      <c r="T1358" s="181">
        <v>44.704000000000001</v>
      </c>
      <c r="U1358" s="181">
        <v>0</v>
      </c>
      <c r="V1358" s="181">
        <v>0</v>
      </c>
    </row>
    <row r="1359" spans="1:22">
      <c r="A1359" s="2" t="s">
        <v>2736</v>
      </c>
      <c r="B1359" s="2" t="s">
        <v>2737</v>
      </c>
      <c r="C1359" s="181">
        <v>27.977408</v>
      </c>
      <c r="D1359" s="181">
        <v>3567.7348000000002</v>
      </c>
      <c r="E1359" s="181">
        <v>63.5</v>
      </c>
      <c r="F1359" s="181">
        <v>0</v>
      </c>
      <c r="G1359" s="181">
        <v>0</v>
      </c>
      <c r="H1359" s="181">
        <v>0</v>
      </c>
      <c r="I1359" s="181">
        <v>12.7</v>
      </c>
      <c r="J1359" s="181">
        <v>0</v>
      </c>
      <c r="K1359" s="181">
        <v>0</v>
      </c>
      <c r="L1359" s="181">
        <v>0</v>
      </c>
      <c r="M1359" s="181">
        <v>1132149.4776319999</v>
      </c>
      <c r="N1359" s="181">
        <v>45556.037919999995</v>
      </c>
      <c r="O1359" s="181">
        <v>24744.466639999999</v>
      </c>
      <c r="P1359" s="181">
        <v>17.805400000000002</v>
      </c>
      <c r="Q1359" s="181">
        <v>0</v>
      </c>
      <c r="R1359" s="181">
        <v>0</v>
      </c>
      <c r="S1359" s="181">
        <v>0</v>
      </c>
      <c r="T1359" s="181">
        <v>48.513999999999996</v>
      </c>
      <c r="U1359" s="181">
        <v>0</v>
      </c>
      <c r="V1359" s="181">
        <v>0</v>
      </c>
    </row>
    <row r="1360" spans="1:22">
      <c r="A1360" s="2" t="s">
        <v>2738</v>
      </c>
      <c r="B1360" s="2" t="s">
        <v>2739</v>
      </c>
      <c r="C1360" s="181">
        <v>21.578319999999998</v>
      </c>
      <c r="D1360" s="181">
        <v>2741.93</v>
      </c>
      <c r="E1360" s="181">
        <v>63.5</v>
      </c>
      <c r="F1360" s="181">
        <v>0</v>
      </c>
      <c r="G1360" s="181">
        <v>0</v>
      </c>
      <c r="H1360" s="181">
        <v>0</v>
      </c>
      <c r="I1360" s="181">
        <v>9.5249999999999986</v>
      </c>
      <c r="J1360" s="181">
        <v>0</v>
      </c>
      <c r="K1360" s="181">
        <v>0</v>
      </c>
      <c r="L1360" s="181">
        <v>0</v>
      </c>
      <c r="M1360" s="181">
        <v>903222.19355199987</v>
      </c>
      <c r="N1360" s="181">
        <v>34904.446319999995</v>
      </c>
      <c r="O1360" s="181">
        <v>19336.735519999998</v>
      </c>
      <c r="P1360" s="181">
        <v>18.186399999999999</v>
      </c>
      <c r="Q1360" s="181">
        <v>0</v>
      </c>
      <c r="R1360" s="181">
        <v>0</v>
      </c>
      <c r="S1360" s="181">
        <v>0</v>
      </c>
      <c r="T1360" s="181">
        <v>40.386000000000003</v>
      </c>
      <c r="U1360" s="181">
        <v>0</v>
      </c>
      <c r="V1360" s="181">
        <v>0</v>
      </c>
    </row>
    <row r="1361" spans="1:22">
      <c r="A1361" s="2" t="s">
        <v>2740</v>
      </c>
      <c r="B1361" s="2" t="s">
        <v>2741</v>
      </c>
      <c r="C1361" s="181">
        <v>21.578319999999998</v>
      </c>
      <c r="D1361" s="181">
        <v>2741.93</v>
      </c>
      <c r="E1361" s="181">
        <v>63.5</v>
      </c>
      <c r="F1361" s="181">
        <v>0</v>
      </c>
      <c r="G1361" s="181">
        <v>0</v>
      </c>
      <c r="H1361" s="181">
        <v>0</v>
      </c>
      <c r="I1361" s="181">
        <v>9.5249999999999986</v>
      </c>
      <c r="J1361" s="181">
        <v>0</v>
      </c>
      <c r="K1361" s="181">
        <v>0</v>
      </c>
      <c r="L1361" s="181">
        <v>0</v>
      </c>
      <c r="M1361" s="181">
        <v>903222.19355199987</v>
      </c>
      <c r="N1361" s="181">
        <v>34904.446319999995</v>
      </c>
      <c r="O1361" s="181">
        <v>19336.735519999998</v>
      </c>
      <c r="P1361" s="181">
        <v>18.186399999999999</v>
      </c>
      <c r="Q1361" s="181">
        <v>0</v>
      </c>
      <c r="R1361" s="181">
        <v>0</v>
      </c>
      <c r="S1361" s="181">
        <v>0</v>
      </c>
      <c r="T1361" s="181">
        <v>43.942</v>
      </c>
      <c r="U1361" s="181">
        <v>0</v>
      </c>
      <c r="V1361" s="181">
        <v>0</v>
      </c>
    </row>
    <row r="1362" spans="1:22">
      <c r="A1362" s="2" t="s">
        <v>2742</v>
      </c>
      <c r="B1362" s="2" t="s">
        <v>2743</v>
      </c>
      <c r="C1362" s="181">
        <v>21.578319999999998</v>
      </c>
      <c r="D1362" s="181">
        <v>2741.93</v>
      </c>
      <c r="E1362" s="181">
        <v>63.5</v>
      </c>
      <c r="F1362" s="181">
        <v>0</v>
      </c>
      <c r="G1362" s="181">
        <v>0</v>
      </c>
      <c r="H1362" s="181">
        <v>0</v>
      </c>
      <c r="I1362" s="181">
        <v>9.5249999999999986</v>
      </c>
      <c r="J1362" s="181">
        <v>0</v>
      </c>
      <c r="K1362" s="181">
        <v>0</v>
      </c>
      <c r="L1362" s="181">
        <v>0</v>
      </c>
      <c r="M1362" s="181">
        <v>903222.19355199987</v>
      </c>
      <c r="N1362" s="181">
        <v>34904.446319999995</v>
      </c>
      <c r="O1362" s="181">
        <v>19336.735519999998</v>
      </c>
      <c r="P1362" s="181">
        <v>18.186399999999999</v>
      </c>
      <c r="Q1362" s="181">
        <v>0</v>
      </c>
      <c r="R1362" s="181">
        <v>0</v>
      </c>
      <c r="S1362" s="181">
        <v>0</v>
      </c>
      <c r="T1362" s="181">
        <v>47.751999999999995</v>
      </c>
      <c r="U1362" s="181">
        <v>0</v>
      </c>
      <c r="V1362" s="181">
        <v>0</v>
      </c>
    </row>
    <row r="1363" spans="1:22">
      <c r="A1363" s="2" t="s">
        <v>2744</v>
      </c>
      <c r="B1363" s="2" t="s">
        <v>2745</v>
      </c>
      <c r="C1363" s="181">
        <v>18.155551999999997</v>
      </c>
      <c r="D1363" s="181">
        <v>2309.6727999999998</v>
      </c>
      <c r="E1363" s="181">
        <v>63.5</v>
      </c>
      <c r="F1363" s="181">
        <v>0</v>
      </c>
      <c r="G1363" s="181">
        <v>0</v>
      </c>
      <c r="H1363" s="181">
        <v>0</v>
      </c>
      <c r="I1363" s="181">
        <v>7.9375</v>
      </c>
      <c r="J1363" s="181">
        <v>0</v>
      </c>
      <c r="K1363" s="181">
        <v>0</v>
      </c>
      <c r="L1363" s="181">
        <v>0</v>
      </c>
      <c r="M1363" s="181">
        <v>778352.76587200002</v>
      </c>
      <c r="N1363" s="181">
        <v>29496.715199999999</v>
      </c>
      <c r="O1363" s="181">
        <v>16387.063999999998</v>
      </c>
      <c r="P1363" s="181">
        <v>18.364199999999997</v>
      </c>
      <c r="Q1363" s="181">
        <v>0</v>
      </c>
      <c r="R1363" s="181">
        <v>0</v>
      </c>
      <c r="S1363" s="181">
        <v>0</v>
      </c>
      <c r="T1363" s="181">
        <v>40.131999999999998</v>
      </c>
      <c r="U1363" s="181">
        <v>0</v>
      </c>
      <c r="V1363" s="181">
        <v>0</v>
      </c>
    </row>
    <row r="1364" spans="1:22">
      <c r="A1364" s="2" t="s">
        <v>2746</v>
      </c>
      <c r="B1364" s="2" t="s">
        <v>2747</v>
      </c>
      <c r="C1364" s="181">
        <v>18.155551999999997</v>
      </c>
      <c r="D1364" s="181">
        <v>2309.6727999999998</v>
      </c>
      <c r="E1364" s="181">
        <v>63.5</v>
      </c>
      <c r="F1364" s="181">
        <v>0</v>
      </c>
      <c r="G1364" s="181">
        <v>0</v>
      </c>
      <c r="H1364" s="181">
        <v>0</v>
      </c>
      <c r="I1364" s="181">
        <v>7.9375</v>
      </c>
      <c r="J1364" s="181">
        <v>0</v>
      </c>
      <c r="K1364" s="181">
        <v>0</v>
      </c>
      <c r="L1364" s="181">
        <v>0</v>
      </c>
      <c r="M1364" s="181">
        <v>778352.76587200002</v>
      </c>
      <c r="N1364" s="181">
        <v>29496.715199999999</v>
      </c>
      <c r="O1364" s="181">
        <v>16387.063999999998</v>
      </c>
      <c r="P1364" s="181">
        <v>18.364199999999997</v>
      </c>
      <c r="Q1364" s="181">
        <v>0</v>
      </c>
      <c r="R1364" s="181">
        <v>0</v>
      </c>
      <c r="S1364" s="181">
        <v>0</v>
      </c>
      <c r="T1364" s="181">
        <v>43.687999999999995</v>
      </c>
      <c r="U1364" s="181">
        <v>0</v>
      </c>
      <c r="V1364" s="181">
        <v>0</v>
      </c>
    </row>
    <row r="1365" spans="1:22">
      <c r="A1365" s="2" t="s">
        <v>2748</v>
      </c>
      <c r="B1365" s="2" t="s">
        <v>2749</v>
      </c>
      <c r="C1365" s="181">
        <v>18.155551999999997</v>
      </c>
      <c r="D1365" s="181">
        <v>2309.6727999999998</v>
      </c>
      <c r="E1365" s="181">
        <v>63.5</v>
      </c>
      <c r="F1365" s="181">
        <v>0</v>
      </c>
      <c r="G1365" s="181">
        <v>0</v>
      </c>
      <c r="H1365" s="181">
        <v>0</v>
      </c>
      <c r="I1365" s="181">
        <v>7.9375</v>
      </c>
      <c r="J1365" s="181">
        <v>0</v>
      </c>
      <c r="K1365" s="181">
        <v>0</v>
      </c>
      <c r="L1365" s="181">
        <v>0</v>
      </c>
      <c r="M1365" s="181">
        <v>778352.76587200002</v>
      </c>
      <c r="N1365" s="181">
        <v>29496.715199999999</v>
      </c>
      <c r="O1365" s="181">
        <v>16387.063999999998</v>
      </c>
      <c r="P1365" s="181">
        <v>18.364199999999997</v>
      </c>
      <c r="Q1365" s="181">
        <v>0</v>
      </c>
      <c r="R1365" s="181">
        <v>0</v>
      </c>
      <c r="S1365" s="181">
        <v>0</v>
      </c>
      <c r="T1365" s="181">
        <v>47.497999999999998</v>
      </c>
      <c r="U1365" s="181">
        <v>0</v>
      </c>
      <c r="V1365" s="181">
        <v>0</v>
      </c>
    </row>
    <row r="1366" spans="1:22">
      <c r="A1366" s="2" t="s">
        <v>2750</v>
      </c>
      <c r="B1366" s="2" t="s">
        <v>2751</v>
      </c>
      <c r="C1366" s="181">
        <v>14.703020800000001</v>
      </c>
      <c r="D1366" s="181">
        <v>1870.9639999999999</v>
      </c>
      <c r="E1366" s="181">
        <v>63.5</v>
      </c>
      <c r="F1366" s="181">
        <v>0</v>
      </c>
      <c r="G1366" s="181">
        <v>0</v>
      </c>
      <c r="H1366" s="181">
        <v>0</v>
      </c>
      <c r="I1366" s="181">
        <v>6.35</v>
      </c>
      <c r="J1366" s="181">
        <v>0</v>
      </c>
      <c r="K1366" s="181">
        <v>0</v>
      </c>
      <c r="L1366" s="181">
        <v>0</v>
      </c>
      <c r="M1366" s="181">
        <v>645158.70967999997</v>
      </c>
      <c r="N1366" s="181">
        <v>23925.113439999997</v>
      </c>
      <c r="O1366" s="181">
        <v>13421.005416</v>
      </c>
      <c r="P1366" s="181">
        <v>18.567399999999999</v>
      </c>
      <c r="Q1366" s="181">
        <v>0</v>
      </c>
      <c r="R1366" s="181">
        <v>0</v>
      </c>
      <c r="S1366" s="181">
        <v>0</v>
      </c>
      <c r="T1366" s="181">
        <v>39.878</v>
      </c>
      <c r="U1366" s="181">
        <v>0</v>
      </c>
      <c r="V1366" s="181">
        <v>0</v>
      </c>
    </row>
    <row r="1367" spans="1:22">
      <c r="A1367" s="2" t="s">
        <v>2752</v>
      </c>
      <c r="B1367" s="2" t="s">
        <v>2753</v>
      </c>
      <c r="C1367" s="181">
        <v>14.703020800000001</v>
      </c>
      <c r="D1367" s="181">
        <v>1870.9639999999999</v>
      </c>
      <c r="E1367" s="181">
        <v>63.5</v>
      </c>
      <c r="F1367" s="181">
        <v>0</v>
      </c>
      <c r="G1367" s="181">
        <v>0</v>
      </c>
      <c r="H1367" s="181">
        <v>0</v>
      </c>
      <c r="I1367" s="181">
        <v>6.35</v>
      </c>
      <c r="J1367" s="181">
        <v>0</v>
      </c>
      <c r="K1367" s="181">
        <v>0</v>
      </c>
      <c r="L1367" s="181">
        <v>0</v>
      </c>
      <c r="M1367" s="181">
        <v>645158.70967999997</v>
      </c>
      <c r="N1367" s="181">
        <v>23925.113439999997</v>
      </c>
      <c r="O1367" s="181">
        <v>13421.005416</v>
      </c>
      <c r="P1367" s="181">
        <v>18.567399999999999</v>
      </c>
      <c r="Q1367" s="181">
        <v>0</v>
      </c>
      <c r="R1367" s="181">
        <v>0</v>
      </c>
      <c r="S1367" s="181">
        <v>0</v>
      </c>
      <c r="T1367" s="181">
        <v>43.18</v>
      </c>
      <c r="U1367" s="181">
        <v>0</v>
      </c>
      <c r="V1367" s="181">
        <v>0</v>
      </c>
    </row>
    <row r="1368" spans="1:22">
      <c r="A1368" s="2" t="s">
        <v>2754</v>
      </c>
      <c r="B1368" s="2" t="s">
        <v>2755</v>
      </c>
      <c r="C1368" s="181">
        <v>14.703020800000001</v>
      </c>
      <c r="D1368" s="181">
        <v>1870.9639999999999</v>
      </c>
      <c r="E1368" s="181">
        <v>63.5</v>
      </c>
      <c r="F1368" s="181">
        <v>0</v>
      </c>
      <c r="G1368" s="181">
        <v>0</v>
      </c>
      <c r="H1368" s="181">
        <v>0</v>
      </c>
      <c r="I1368" s="181">
        <v>6.35</v>
      </c>
      <c r="J1368" s="181">
        <v>0</v>
      </c>
      <c r="K1368" s="181">
        <v>0</v>
      </c>
      <c r="L1368" s="181">
        <v>0</v>
      </c>
      <c r="M1368" s="181">
        <v>645158.70967999997</v>
      </c>
      <c r="N1368" s="181">
        <v>23925.113439999997</v>
      </c>
      <c r="O1368" s="181">
        <v>13421.005416</v>
      </c>
      <c r="P1368" s="181">
        <v>18.567399999999999</v>
      </c>
      <c r="Q1368" s="181">
        <v>0</v>
      </c>
      <c r="R1368" s="181">
        <v>0</v>
      </c>
      <c r="S1368" s="181">
        <v>0</v>
      </c>
      <c r="T1368" s="181">
        <v>46.99</v>
      </c>
      <c r="U1368" s="181">
        <v>0</v>
      </c>
      <c r="V1368" s="181">
        <v>0</v>
      </c>
    </row>
    <row r="1369" spans="1:22">
      <c r="A1369" s="2" t="s">
        <v>2756</v>
      </c>
      <c r="B1369" s="2" t="s">
        <v>2757</v>
      </c>
      <c r="C1369" s="181">
        <v>25.447535999999999</v>
      </c>
      <c r="D1369" s="181">
        <v>3232.2515999999996</v>
      </c>
      <c r="E1369" s="181">
        <v>63.5</v>
      </c>
      <c r="F1369" s="181">
        <v>0</v>
      </c>
      <c r="G1369" s="181">
        <v>0</v>
      </c>
      <c r="H1369" s="181">
        <v>0</v>
      </c>
      <c r="I1369" s="181">
        <v>12.7</v>
      </c>
      <c r="J1369" s="181">
        <v>0</v>
      </c>
      <c r="K1369" s="181">
        <v>0</v>
      </c>
      <c r="L1369" s="181">
        <v>0</v>
      </c>
      <c r="M1369" s="181">
        <v>1073877.0780479999</v>
      </c>
      <c r="N1369" s="181">
        <v>43917.33152</v>
      </c>
      <c r="O1369" s="181">
        <v>24088.984079999998</v>
      </c>
      <c r="P1369" s="181">
        <v>18.237199999999998</v>
      </c>
      <c r="Q1369" s="181">
        <v>0</v>
      </c>
      <c r="R1369" s="181">
        <v>0</v>
      </c>
      <c r="S1369" s="181">
        <v>0</v>
      </c>
      <c r="T1369" s="181">
        <v>34.29</v>
      </c>
      <c r="U1369" s="181">
        <v>0</v>
      </c>
      <c r="V1369" s="181">
        <v>0</v>
      </c>
    </row>
    <row r="1370" spans="1:22">
      <c r="A1370" s="2" t="s">
        <v>2758</v>
      </c>
      <c r="B1370" s="2" t="s">
        <v>2759</v>
      </c>
      <c r="C1370" s="181">
        <v>25.447535999999999</v>
      </c>
      <c r="D1370" s="181">
        <v>3232.2515999999996</v>
      </c>
      <c r="E1370" s="181">
        <v>63.5</v>
      </c>
      <c r="F1370" s="181">
        <v>0</v>
      </c>
      <c r="G1370" s="181">
        <v>0</v>
      </c>
      <c r="H1370" s="181">
        <v>0</v>
      </c>
      <c r="I1370" s="181">
        <v>12.7</v>
      </c>
      <c r="J1370" s="181">
        <v>0</v>
      </c>
      <c r="K1370" s="181">
        <v>0</v>
      </c>
      <c r="L1370" s="181">
        <v>0</v>
      </c>
      <c r="M1370" s="181">
        <v>1073877.0780479999</v>
      </c>
      <c r="N1370" s="181">
        <v>43917.33152</v>
      </c>
      <c r="O1370" s="181">
        <v>24088.984079999998</v>
      </c>
      <c r="P1370" s="181">
        <v>18.237199999999998</v>
      </c>
      <c r="Q1370" s="181">
        <v>0</v>
      </c>
      <c r="R1370" s="181">
        <v>0</v>
      </c>
      <c r="S1370" s="181">
        <v>0</v>
      </c>
      <c r="T1370" s="181">
        <v>37.845999999999997</v>
      </c>
      <c r="U1370" s="181">
        <v>0</v>
      </c>
      <c r="V1370" s="181">
        <v>0</v>
      </c>
    </row>
    <row r="1371" spans="1:22">
      <c r="A1371" s="2" t="s">
        <v>2760</v>
      </c>
      <c r="B1371" s="2" t="s">
        <v>2761</v>
      </c>
      <c r="C1371" s="181">
        <v>25.447535999999999</v>
      </c>
      <c r="D1371" s="181">
        <v>3232.2515999999996</v>
      </c>
      <c r="E1371" s="181">
        <v>63.5</v>
      </c>
      <c r="F1371" s="181">
        <v>0</v>
      </c>
      <c r="G1371" s="181">
        <v>0</v>
      </c>
      <c r="H1371" s="181">
        <v>0</v>
      </c>
      <c r="I1371" s="181">
        <v>12.7</v>
      </c>
      <c r="J1371" s="181">
        <v>0</v>
      </c>
      <c r="K1371" s="181">
        <v>0</v>
      </c>
      <c r="L1371" s="181">
        <v>0</v>
      </c>
      <c r="M1371" s="181">
        <v>1073877.0780479999</v>
      </c>
      <c r="N1371" s="181">
        <v>43917.33152</v>
      </c>
      <c r="O1371" s="181">
        <v>24088.984079999998</v>
      </c>
      <c r="P1371" s="181">
        <v>18.237199999999998</v>
      </c>
      <c r="Q1371" s="181">
        <v>0</v>
      </c>
      <c r="R1371" s="181">
        <v>0</v>
      </c>
      <c r="S1371" s="181">
        <v>0</v>
      </c>
      <c r="T1371" s="181">
        <v>41.655999999999992</v>
      </c>
      <c r="U1371" s="181">
        <v>0</v>
      </c>
      <c r="V1371" s="181">
        <v>0</v>
      </c>
    </row>
    <row r="1372" spans="1:22">
      <c r="A1372" s="2" t="s">
        <v>2762</v>
      </c>
      <c r="B1372" s="2" t="s">
        <v>2763</v>
      </c>
      <c r="C1372" s="181">
        <v>22.471215999999998</v>
      </c>
      <c r="D1372" s="181">
        <v>2864.5104000000001</v>
      </c>
      <c r="E1372" s="181">
        <v>63.5</v>
      </c>
      <c r="F1372" s="181">
        <v>0</v>
      </c>
      <c r="G1372" s="181">
        <v>0</v>
      </c>
      <c r="H1372" s="181">
        <v>0</v>
      </c>
      <c r="I1372" s="181">
        <v>11.112499999999999</v>
      </c>
      <c r="J1372" s="181">
        <v>0</v>
      </c>
      <c r="K1372" s="181">
        <v>0</v>
      </c>
      <c r="L1372" s="181">
        <v>0</v>
      </c>
      <c r="M1372" s="181">
        <v>969819.22164799995</v>
      </c>
      <c r="N1372" s="181">
        <v>39001.212319999991</v>
      </c>
      <c r="O1372" s="181">
        <v>21467.05384</v>
      </c>
      <c r="P1372" s="181">
        <v>18.389599999999998</v>
      </c>
      <c r="Q1372" s="181">
        <v>0</v>
      </c>
      <c r="R1372" s="181">
        <v>0</v>
      </c>
      <c r="S1372" s="181">
        <v>0</v>
      </c>
      <c r="T1372" s="181">
        <v>34.036000000000001</v>
      </c>
      <c r="U1372" s="181">
        <v>0</v>
      </c>
      <c r="V1372" s="181">
        <v>0</v>
      </c>
    </row>
    <row r="1373" spans="1:22">
      <c r="A1373" s="2" t="s">
        <v>2764</v>
      </c>
      <c r="B1373" s="2" t="s">
        <v>2765</v>
      </c>
      <c r="C1373" s="181">
        <v>22.471215999999998</v>
      </c>
      <c r="D1373" s="181">
        <v>2864.5104000000001</v>
      </c>
      <c r="E1373" s="181">
        <v>63.5</v>
      </c>
      <c r="F1373" s="181">
        <v>0</v>
      </c>
      <c r="G1373" s="181">
        <v>0</v>
      </c>
      <c r="H1373" s="181">
        <v>0</v>
      </c>
      <c r="I1373" s="181">
        <v>11.112499999999999</v>
      </c>
      <c r="J1373" s="181">
        <v>0</v>
      </c>
      <c r="K1373" s="181">
        <v>0</v>
      </c>
      <c r="L1373" s="181">
        <v>0</v>
      </c>
      <c r="M1373" s="181">
        <v>969819.22164799995</v>
      </c>
      <c r="N1373" s="181">
        <v>39001.212319999991</v>
      </c>
      <c r="O1373" s="181">
        <v>21467.05384</v>
      </c>
      <c r="P1373" s="181">
        <v>18.389599999999998</v>
      </c>
      <c r="Q1373" s="181">
        <v>0</v>
      </c>
      <c r="R1373" s="181">
        <v>0</v>
      </c>
      <c r="S1373" s="181">
        <v>0</v>
      </c>
      <c r="T1373" s="181">
        <v>37.591999999999999</v>
      </c>
      <c r="U1373" s="181">
        <v>0</v>
      </c>
      <c r="V1373" s="181">
        <v>0</v>
      </c>
    </row>
    <row r="1374" spans="1:22">
      <c r="A1374" s="2" t="s">
        <v>2766</v>
      </c>
      <c r="B1374" s="2" t="s">
        <v>2767</v>
      </c>
      <c r="C1374" s="181">
        <v>22.471215999999998</v>
      </c>
      <c r="D1374" s="181">
        <v>2864.5104000000001</v>
      </c>
      <c r="E1374" s="181">
        <v>63.5</v>
      </c>
      <c r="F1374" s="181">
        <v>0</v>
      </c>
      <c r="G1374" s="181">
        <v>0</v>
      </c>
      <c r="H1374" s="181">
        <v>0</v>
      </c>
      <c r="I1374" s="181">
        <v>11.112499999999999</v>
      </c>
      <c r="J1374" s="181">
        <v>0</v>
      </c>
      <c r="K1374" s="181">
        <v>0</v>
      </c>
      <c r="L1374" s="181">
        <v>0</v>
      </c>
      <c r="M1374" s="181">
        <v>969819.22164799995</v>
      </c>
      <c r="N1374" s="181">
        <v>39001.212319999991</v>
      </c>
      <c r="O1374" s="181">
        <v>21467.05384</v>
      </c>
      <c r="P1374" s="181">
        <v>18.389599999999998</v>
      </c>
      <c r="Q1374" s="181">
        <v>0</v>
      </c>
      <c r="R1374" s="181">
        <v>0</v>
      </c>
      <c r="S1374" s="181">
        <v>0</v>
      </c>
      <c r="T1374" s="181">
        <v>41.401999999999994</v>
      </c>
      <c r="U1374" s="181">
        <v>0</v>
      </c>
      <c r="V1374" s="181">
        <v>0</v>
      </c>
    </row>
    <row r="1375" spans="1:22">
      <c r="A1375" s="2" t="s">
        <v>2768</v>
      </c>
      <c r="B1375" s="2" t="s">
        <v>2769</v>
      </c>
      <c r="C1375" s="181">
        <v>19.494895999999997</v>
      </c>
      <c r="D1375" s="181">
        <v>2490.3175999999999</v>
      </c>
      <c r="E1375" s="181">
        <v>63.5</v>
      </c>
      <c r="F1375" s="181">
        <v>0</v>
      </c>
      <c r="G1375" s="181">
        <v>0</v>
      </c>
      <c r="H1375" s="181">
        <v>0</v>
      </c>
      <c r="I1375" s="181">
        <v>9.5249999999999986</v>
      </c>
      <c r="J1375" s="181">
        <v>0</v>
      </c>
      <c r="K1375" s="181">
        <v>0</v>
      </c>
      <c r="L1375" s="181">
        <v>0</v>
      </c>
      <c r="M1375" s="181">
        <v>857436.73673599993</v>
      </c>
      <c r="N1375" s="181">
        <v>33921.222479999997</v>
      </c>
      <c r="O1375" s="181">
        <v>18845.123599999995</v>
      </c>
      <c r="P1375" s="181">
        <v>18.567399999999999</v>
      </c>
      <c r="Q1375" s="181">
        <v>0</v>
      </c>
      <c r="R1375" s="181">
        <v>0</v>
      </c>
      <c r="S1375" s="181">
        <v>0</v>
      </c>
      <c r="T1375" s="181">
        <v>33.527999999999999</v>
      </c>
      <c r="U1375" s="181">
        <v>0</v>
      </c>
      <c r="V1375" s="181">
        <v>0</v>
      </c>
    </row>
    <row r="1376" spans="1:22">
      <c r="A1376" s="2" t="s">
        <v>2770</v>
      </c>
      <c r="B1376" s="2" t="s">
        <v>2771</v>
      </c>
      <c r="C1376" s="181">
        <v>19.494895999999997</v>
      </c>
      <c r="D1376" s="181">
        <v>2490.3175999999999</v>
      </c>
      <c r="E1376" s="181">
        <v>63.5</v>
      </c>
      <c r="F1376" s="181">
        <v>0</v>
      </c>
      <c r="G1376" s="181">
        <v>0</v>
      </c>
      <c r="H1376" s="181">
        <v>0</v>
      </c>
      <c r="I1376" s="181">
        <v>9.5249999999999986</v>
      </c>
      <c r="J1376" s="181">
        <v>0</v>
      </c>
      <c r="K1376" s="181">
        <v>0</v>
      </c>
      <c r="L1376" s="181">
        <v>0</v>
      </c>
      <c r="M1376" s="181">
        <v>857436.73673599993</v>
      </c>
      <c r="N1376" s="181">
        <v>33921.222479999997</v>
      </c>
      <c r="O1376" s="181">
        <v>18845.123599999995</v>
      </c>
      <c r="P1376" s="181">
        <v>18.567399999999999</v>
      </c>
      <c r="Q1376" s="181">
        <v>0</v>
      </c>
      <c r="R1376" s="181">
        <v>0</v>
      </c>
      <c r="S1376" s="181">
        <v>0</v>
      </c>
      <c r="T1376" s="181">
        <v>37.083999999999996</v>
      </c>
      <c r="U1376" s="181">
        <v>0</v>
      </c>
      <c r="V1376" s="181">
        <v>0</v>
      </c>
    </row>
    <row r="1377" spans="1:22">
      <c r="A1377" s="2" t="s">
        <v>2772</v>
      </c>
      <c r="B1377" s="2" t="s">
        <v>2773</v>
      </c>
      <c r="C1377" s="181">
        <v>19.494895999999997</v>
      </c>
      <c r="D1377" s="181">
        <v>2490.3175999999999</v>
      </c>
      <c r="E1377" s="181">
        <v>63.5</v>
      </c>
      <c r="F1377" s="181">
        <v>0</v>
      </c>
      <c r="G1377" s="181">
        <v>0</v>
      </c>
      <c r="H1377" s="181">
        <v>0</v>
      </c>
      <c r="I1377" s="181">
        <v>9.5249999999999986</v>
      </c>
      <c r="J1377" s="181">
        <v>0</v>
      </c>
      <c r="K1377" s="181">
        <v>0</v>
      </c>
      <c r="L1377" s="181">
        <v>0</v>
      </c>
      <c r="M1377" s="181">
        <v>857436.73673599993</v>
      </c>
      <c r="N1377" s="181">
        <v>33921.222479999997</v>
      </c>
      <c r="O1377" s="181">
        <v>18845.123599999995</v>
      </c>
      <c r="P1377" s="181">
        <v>18.567399999999999</v>
      </c>
      <c r="Q1377" s="181">
        <v>0</v>
      </c>
      <c r="R1377" s="181">
        <v>0</v>
      </c>
      <c r="S1377" s="181">
        <v>0</v>
      </c>
      <c r="T1377" s="181">
        <v>40.893999999999998</v>
      </c>
      <c r="U1377" s="181">
        <v>0</v>
      </c>
      <c r="V1377" s="181">
        <v>0</v>
      </c>
    </row>
    <row r="1378" spans="1:22">
      <c r="A1378" s="2" t="s">
        <v>2774</v>
      </c>
      <c r="B1378" s="2" t="s">
        <v>2775</v>
      </c>
      <c r="C1378" s="181">
        <v>16.518575999999999</v>
      </c>
      <c r="D1378" s="181">
        <v>2096.77</v>
      </c>
      <c r="E1378" s="181">
        <v>63.5</v>
      </c>
      <c r="F1378" s="181">
        <v>0</v>
      </c>
      <c r="G1378" s="181">
        <v>0</v>
      </c>
      <c r="H1378" s="181">
        <v>0</v>
      </c>
      <c r="I1378" s="181">
        <v>7.9375</v>
      </c>
      <c r="J1378" s="181">
        <v>0</v>
      </c>
      <c r="K1378" s="181">
        <v>0</v>
      </c>
      <c r="L1378" s="181">
        <v>0</v>
      </c>
      <c r="M1378" s="181">
        <v>740891.93756799994</v>
      </c>
      <c r="N1378" s="181">
        <v>28677.361999999997</v>
      </c>
      <c r="O1378" s="181">
        <v>15961.000335999997</v>
      </c>
      <c r="P1378" s="181">
        <v>18.770599999999998</v>
      </c>
      <c r="Q1378" s="181">
        <v>0</v>
      </c>
      <c r="R1378" s="181">
        <v>0</v>
      </c>
      <c r="S1378" s="181">
        <v>0</v>
      </c>
      <c r="T1378" s="181">
        <v>33.274000000000001</v>
      </c>
      <c r="U1378" s="181">
        <v>0</v>
      </c>
      <c r="V1378" s="181">
        <v>0</v>
      </c>
    </row>
    <row r="1379" spans="1:22">
      <c r="A1379" s="2" t="s">
        <v>2776</v>
      </c>
      <c r="B1379" s="2" t="s">
        <v>2777</v>
      </c>
      <c r="C1379" s="181">
        <v>16.518575999999999</v>
      </c>
      <c r="D1379" s="181">
        <v>2096.77</v>
      </c>
      <c r="E1379" s="181">
        <v>63.5</v>
      </c>
      <c r="F1379" s="181">
        <v>0</v>
      </c>
      <c r="G1379" s="181">
        <v>0</v>
      </c>
      <c r="H1379" s="181">
        <v>0</v>
      </c>
      <c r="I1379" s="181">
        <v>7.9375</v>
      </c>
      <c r="J1379" s="181">
        <v>0</v>
      </c>
      <c r="K1379" s="181">
        <v>0</v>
      </c>
      <c r="L1379" s="181">
        <v>0</v>
      </c>
      <c r="M1379" s="181">
        <v>740891.93756799994</v>
      </c>
      <c r="N1379" s="181">
        <v>28677.361999999997</v>
      </c>
      <c r="O1379" s="181">
        <v>15961.000335999997</v>
      </c>
      <c r="P1379" s="181">
        <v>18.770599999999998</v>
      </c>
      <c r="Q1379" s="181">
        <v>0</v>
      </c>
      <c r="R1379" s="181">
        <v>0</v>
      </c>
      <c r="S1379" s="181">
        <v>0</v>
      </c>
      <c r="T1379" s="181">
        <v>36.83</v>
      </c>
      <c r="U1379" s="181">
        <v>0</v>
      </c>
      <c r="V1379" s="181">
        <v>0</v>
      </c>
    </row>
    <row r="1380" spans="1:22">
      <c r="A1380" s="2" t="s">
        <v>2778</v>
      </c>
      <c r="B1380" s="2" t="s">
        <v>2779</v>
      </c>
      <c r="C1380" s="181">
        <v>16.518575999999999</v>
      </c>
      <c r="D1380" s="181">
        <v>2096.77</v>
      </c>
      <c r="E1380" s="181">
        <v>63.5</v>
      </c>
      <c r="F1380" s="181">
        <v>0</v>
      </c>
      <c r="G1380" s="181">
        <v>0</v>
      </c>
      <c r="H1380" s="181">
        <v>0</v>
      </c>
      <c r="I1380" s="181">
        <v>7.9375</v>
      </c>
      <c r="J1380" s="181">
        <v>0</v>
      </c>
      <c r="K1380" s="181">
        <v>0</v>
      </c>
      <c r="L1380" s="181">
        <v>0</v>
      </c>
      <c r="M1380" s="181">
        <v>740891.93756799994</v>
      </c>
      <c r="N1380" s="181">
        <v>28677.361999999997</v>
      </c>
      <c r="O1380" s="181">
        <v>15961.000335999997</v>
      </c>
      <c r="P1380" s="181">
        <v>18.770599999999998</v>
      </c>
      <c r="Q1380" s="181">
        <v>0</v>
      </c>
      <c r="R1380" s="181">
        <v>0</v>
      </c>
      <c r="S1380" s="181">
        <v>0</v>
      </c>
      <c r="T1380" s="181">
        <v>40.64</v>
      </c>
      <c r="U1380" s="181">
        <v>0</v>
      </c>
      <c r="V1380" s="181">
        <v>0</v>
      </c>
    </row>
    <row r="1381" spans="1:22">
      <c r="A1381" s="2" t="s">
        <v>2780</v>
      </c>
      <c r="B1381" s="2" t="s">
        <v>2781</v>
      </c>
      <c r="C1381" s="181">
        <v>13.3487952</v>
      </c>
      <c r="D1381" s="181">
        <v>1703.2224000000001</v>
      </c>
      <c r="E1381" s="181">
        <v>63.5</v>
      </c>
      <c r="F1381" s="181">
        <v>0</v>
      </c>
      <c r="G1381" s="181">
        <v>0</v>
      </c>
      <c r="H1381" s="181">
        <v>0</v>
      </c>
      <c r="I1381" s="181">
        <v>6.35</v>
      </c>
      <c r="J1381" s="181">
        <v>0</v>
      </c>
      <c r="K1381" s="181">
        <v>0</v>
      </c>
      <c r="L1381" s="181">
        <v>0</v>
      </c>
      <c r="M1381" s="181">
        <v>611860.19563199987</v>
      </c>
      <c r="N1381" s="181">
        <v>23105.760239999996</v>
      </c>
      <c r="O1381" s="181">
        <v>13011.328815999999</v>
      </c>
      <c r="P1381" s="181">
        <v>18.948399999999999</v>
      </c>
      <c r="Q1381" s="181">
        <v>0</v>
      </c>
      <c r="R1381" s="181">
        <v>0</v>
      </c>
      <c r="S1381" s="181">
        <v>0</v>
      </c>
      <c r="T1381" s="181">
        <v>33.019999999999996</v>
      </c>
      <c r="U1381" s="181">
        <v>0</v>
      </c>
      <c r="V1381" s="181">
        <v>0</v>
      </c>
    </row>
    <row r="1382" spans="1:22">
      <c r="A1382" s="2" t="s">
        <v>2782</v>
      </c>
      <c r="B1382" s="2" t="s">
        <v>2783</v>
      </c>
      <c r="C1382" s="181">
        <v>13.3487952</v>
      </c>
      <c r="D1382" s="181">
        <v>1703.2224000000001</v>
      </c>
      <c r="E1382" s="181">
        <v>63.5</v>
      </c>
      <c r="F1382" s="181">
        <v>0</v>
      </c>
      <c r="G1382" s="181">
        <v>0</v>
      </c>
      <c r="H1382" s="181">
        <v>0</v>
      </c>
      <c r="I1382" s="181">
        <v>6.35</v>
      </c>
      <c r="J1382" s="181">
        <v>0</v>
      </c>
      <c r="K1382" s="181">
        <v>0</v>
      </c>
      <c r="L1382" s="181">
        <v>0</v>
      </c>
      <c r="M1382" s="181">
        <v>611860.19563199987</v>
      </c>
      <c r="N1382" s="181">
        <v>23105.760239999996</v>
      </c>
      <c r="O1382" s="181">
        <v>13011.328815999999</v>
      </c>
      <c r="P1382" s="181">
        <v>18.948399999999999</v>
      </c>
      <c r="Q1382" s="181">
        <v>0</v>
      </c>
      <c r="R1382" s="181">
        <v>0</v>
      </c>
      <c r="S1382" s="181">
        <v>0</v>
      </c>
      <c r="T1382" s="181">
        <v>36.575999999999993</v>
      </c>
      <c r="U1382" s="181">
        <v>0</v>
      </c>
      <c r="V1382" s="181">
        <v>0</v>
      </c>
    </row>
    <row r="1383" spans="1:22">
      <c r="A1383" s="2" t="s">
        <v>2784</v>
      </c>
      <c r="B1383" s="2" t="s">
        <v>2785</v>
      </c>
      <c r="C1383" s="181">
        <v>13.3487952</v>
      </c>
      <c r="D1383" s="181">
        <v>1703.2224000000001</v>
      </c>
      <c r="E1383" s="181">
        <v>63.5</v>
      </c>
      <c r="F1383" s="181">
        <v>0</v>
      </c>
      <c r="G1383" s="181">
        <v>0</v>
      </c>
      <c r="H1383" s="181">
        <v>0</v>
      </c>
      <c r="I1383" s="181">
        <v>6.35</v>
      </c>
      <c r="J1383" s="181">
        <v>0</v>
      </c>
      <c r="K1383" s="181">
        <v>0</v>
      </c>
      <c r="L1383" s="181">
        <v>0</v>
      </c>
      <c r="M1383" s="181">
        <v>611860.19563199987</v>
      </c>
      <c r="N1383" s="181">
        <v>23105.760239999996</v>
      </c>
      <c r="O1383" s="181">
        <v>13011.328815999999</v>
      </c>
      <c r="P1383" s="181">
        <v>18.948399999999999</v>
      </c>
      <c r="Q1383" s="181">
        <v>0</v>
      </c>
      <c r="R1383" s="181">
        <v>0</v>
      </c>
      <c r="S1383" s="181">
        <v>0</v>
      </c>
      <c r="T1383" s="181">
        <v>40.131999999999998</v>
      </c>
      <c r="U1383" s="181">
        <v>0</v>
      </c>
      <c r="V1383" s="181">
        <v>0</v>
      </c>
    </row>
    <row r="1384" spans="1:22">
      <c r="A1384" s="2" t="s">
        <v>2786</v>
      </c>
      <c r="B1384" s="2" t="s">
        <v>2787</v>
      </c>
      <c r="C1384" s="181">
        <v>10.1492512</v>
      </c>
      <c r="D1384" s="181">
        <v>1290.32</v>
      </c>
      <c r="E1384" s="181">
        <v>63.5</v>
      </c>
      <c r="F1384" s="181">
        <v>0</v>
      </c>
      <c r="G1384" s="181">
        <v>0</v>
      </c>
      <c r="H1384" s="181">
        <v>0</v>
      </c>
      <c r="I1384" s="181">
        <v>4.7624999999999993</v>
      </c>
      <c r="J1384" s="181">
        <v>0</v>
      </c>
      <c r="K1384" s="181">
        <v>0</v>
      </c>
      <c r="L1384" s="181">
        <v>0</v>
      </c>
      <c r="M1384" s="181">
        <v>474503.8251839999</v>
      </c>
      <c r="N1384" s="181">
        <v>17534.158479999998</v>
      </c>
      <c r="O1384" s="181">
        <v>9930.5607839999993</v>
      </c>
      <c r="P1384" s="181">
        <v>19.126200000000001</v>
      </c>
      <c r="Q1384" s="181">
        <v>0</v>
      </c>
      <c r="R1384" s="181">
        <v>0</v>
      </c>
      <c r="S1384" s="181">
        <v>0</v>
      </c>
      <c r="T1384" s="181">
        <v>32.765999999999998</v>
      </c>
      <c r="U1384" s="181">
        <v>0</v>
      </c>
      <c r="V1384" s="181">
        <v>0</v>
      </c>
    </row>
    <row r="1385" spans="1:22">
      <c r="A1385" s="2" t="s">
        <v>2788</v>
      </c>
      <c r="B1385" s="2" t="s">
        <v>2789</v>
      </c>
      <c r="C1385" s="181">
        <v>10.1492512</v>
      </c>
      <c r="D1385" s="181">
        <v>1290.32</v>
      </c>
      <c r="E1385" s="181">
        <v>63.5</v>
      </c>
      <c r="F1385" s="181">
        <v>0</v>
      </c>
      <c r="G1385" s="181">
        <v>0</v>
      </c>
      <c r="H1385" s="181">
        <v>0</v>
      </c>
      <c r="I1385" s="181">
        <v>4.7624999999999993</v>
      </c>
      <c r="J1385" s="181">
        <v>0</v>
      </c>
      <c r="K1385" s="181">
        <v>0</v>
      </c>
      <c r="L1385" s="181">
        <v>0</v>
      </c>
      <c r="M1385" s="181">
        <v>474503.8251839999</v>
      </c>
      <c r="N1385" s="181">
        <v>17534.158479999998</v>
      </c>
      <c r="O1385" s="181">
        <v>9930.5607839999993</v>
      </c>
      <c r="P1385" s="181">
        <v>19.126200000000001</v>
      </c>
      <c r="Q1385" s="181">
        <v>0</v>
      </c>
      <c r="R1385" s="181">
        <v>0</v>
      </c>
      <c r="S1385" s="181">
        <v>0</v>
      </c>
      <c r="T1385" s="181">
        <v>36.067999999999998</v>
      </c>
      <c r="U1385" s="181">
        <v>0</v>
      </c>
      <c r="V1385" s="181">
        <v>0</v>
      </c>
    </row>
    <row r="1386" spans="1:22">
      <c r="A1386" s="2" t="s">
        <v>2790</v>
      </c>
      <c r="B1386" s="2" t="s">
        <v>2791</v>
      </c>
      <c r="C1386" s="181">
        <v>10.1492512</v>
      </c>
      <c r="D1386" s="181">
        <v>1290.32</v>
      </c>
      <c r="E1386" s="181">
        <v>63.5</v>
      </c>
      <c r="F1386" s="181">
        <v>0</v>
      </c>
      <c r="G1386" s="181">
        <v>0</v>
      </c>
      <c r="H1386" s="181">
        <v>0</v>
      </c>
      <c r="I1386" s="181">
        <v>4.7624999999999993</v>
      </c>
      <c r="J1386" s="181">
        <v>0</v>
      </c>
      <c r="K1386" s="181">
        <v>0</v>
      </c>
      <c r="L1386" s="181">
        <v>0</v>
      </c>
      <c r="M1386" s="181">
        <v>474503.8251839999</v>
      </c>
      <c r="N1386" s="181">
        <v>17534.158479999998</v>
      </c>
      <c r="O1386" s="181">
        <v>9930.5607839999993</v>
      </c>
      <c r="P1386" s="181">
        <v>19.126200000000001</v>
      </c>
      <c r="Q1386" s="181">
        <v>0</v>
      </c>
      <c r="R1386" s="181">
        <v>0</v>
      </c>
      <c r="S1386" s="181">
        <v>0</v>
      </c>
      <c r="T1386" s="181">
        <v>39.878</v>
      </c>
      <c r="U1386" s="181">
        <v>0</v>
      </c>
      <c r="V1386" s="181">
        <v>0</v>
      </c>
    </row>
    <row r="1387" spans="1:22">
      <c r="A1387" s="2" t="s">
        <v>2792</v>
      </c>
      <c r="B1387" s="2" t="s">
        <v>2793</v>
      </c>
      <c r="C1387" s="181">
        <v>22.917663999999998</v>
      </c>
      <c r="D1387" s="181">
        <v>2922.5747999999999</v>
      </c>
      <c r="E1387" s="181">
        <v>50.8</v>
      </c>
      <c r="F1387" s="181">
        <v>0</v>
      </c>
      <c r="G1387" s="181">
        <v>0</v>
      </c>
      <c r="H1387" s="181">
        <v>0</v>
      </c>
      <c r="I1387" s="181">
        <v>12.7</v>
      </c>
      <c r="J1387" s="181">
        <v>0</v>
      </c>
      <c r="K1387" s="181">
        <v>0</v>
      </c>
      <c r="L1387" s="181">
        <v>0</v>
      </c>
      <c r="M1387" s="181">
        <v>553587.79604799999</v>
      </c>
      <c r="N1387" s="181">
        <v>29005.103279999999</v>
      </c>
      <c r="O1387" s="181">
        <v>15403.840159999998</v>
      </c>
      <c r="P1387" s="181">
        <v>13.792199999999999</v>
      </c>
      <c r="Q1387" s="181">
        <v>0</v>
      </c>
      <c r="R1387" s="181">
        <v>0</v>
      </c>
      <c r="S1387" s="181">
        <v>0</v>
      </c>
      <c r="T1387" s="181">
        <v>36.067999999999998</v>
      </c>
      <c r="U1387" s="181">
        <v>0</v>
      </c>
      <c r="V1387" s="181">
        <v>0</v>
      </c>
    </row>
    <row r="1388" spans="1:22">
      <c r="A1388" s="2" t="s">
        <v>2794</v>
      </c>
      <c r="B1388" s="2" t="s">
        <v>2795</v>
      </c>
      <c r="C1388" s="181">
        <v>22.917663999999998</v>
      </c>
      <c r="D1388" s="181">
        <v>2922.5747999999999</v>
      </c>
      <c r="E1388" s="181">
        <v>50.8</v>
      </c>
      <c r="F1388" s="181">
        <v>0</v>
      </c>
      <c r="G1388" s="181">
        <v>0</v>
      </c>
      <c r="H1388" s="181">
        <v>0</v>
      </c>
      <c r="I1388" s="181">
        <v>12.7</v>
      </c>
      <c r="J1388" s="181">
        <v>0</v>
      </c>
      <c r="K1388" s="181">
        <v>0</v>
      </c>
      <c r="L1388" s="181">
        <v>0</v>
      </c>
      <c r="M1388" s="181">
        <v>553587.79604799999</v>
      </c>
      <c r="N1388" s="181">
        <v>29005.103279999999</v>
      </c>
      <c r="O1388" s="181">
        <v>15403.840159999998</v>
      </c>
      <c r="P1388" s="181">
        <v>13.792199999999999</v>
      </c>
      <c r="Q1388" s="181">
        <v>0</v>
      </c>
      <c r="R1388" s="181">
        <v>0</v>
      </c>
      <c r="S1388" s="181">
        <v>0</v>
      </c>
      <c r="T1388" s="181">
        <v>39.624000000000002</v>
      </c>
      <c r="U1388" s="181">
        <v>0</v>
      </c>
      <c r="V1388" s="181">
        <v>0</v>
      </c>
    </row>
    <row r="1389" spans="1:22">
      <c r="A1389" s="2" t="s">
        <v>2796</v>
      </c>
      <c r="B1389" s="2" t="s">
        <v>2797</v>
      </c>
      <c r="C1389" s="181">
        <v>22.917663999999998</v>
      </c>
      <c r="D1389" s="181">
        <v>2922.5747999999999</v>
      </c>
      <c r="E1389" s="181">
        <v>50.8</v>
      </c>
      <c r="F1389" s="181">
        <v>0</v>
      </c>
      <c r="G1389" s="181">
        <v>0</v>
      </c>
      <c r="H1389" s="181">
        <v>0</v>
      </c>
      <c r="I1389" s="181">
        <v>12.7</v>
      </c>
      <c r="J1389" s="181">
        <v>0</v>
      </c>
      <c r="K1389" s="181">
        <v>0</v>
      </c>
      <c r="L1389" s="181">
        <v>0</v>
      </c>
      <c r="M1389" s="181">
        <v>553587.79604799999</v>
      </c>
      <c r="N1389" s="181">
        <v>29005.103279999999</v>
      </c>
      <c r="O1389" s="181">
        <v>15403.840159999998</v>
      </c>
      <c r="P1389" s="181">
        <v>13.792199999999999</v>
      </c>
      <c r="Q1389" s="181">
        <v>0</v>
      </c>
      <c r="R1389" s="181">
        <v>0</v>
      </c>
      <c r="S1389" s="181">
        <v>0</v>
      </c>
      <c r="T1389" s="181">
        <v>43.687999999999995</v>
      </c>
      <c r="U1389" s="181">
        <v>0</v>
      </c>
      <c r="V1389" s="181">
        <v>0</v>
      </c>
    </row>
    <row r="1390" spans="1:22">
      <c r="A1390" s="2" t="s">
        <v>2798</v>
      </c>
      <c r="B1390" s="2" t="s">
        <v>2799</v>
      </c>
      <c r="C1390" s="181">
        <v>17.709104</v>
      </c>
      <c r="D1390" s="181">
        <v>2258.06</v>
      </c>
      <c r="E1390" s="181">
        <v>50.8</v>
      </c>
      <c r="F1390" s="181">
        <v>0</v>
      </c>
      <c r="G1390" s="181">
        <v>0</v>
      </c>
      <c r="H1390" s="181">
        <v>0</v>
      </c>
      <c r="I1390" s="181">
        <v>9.5249999999999986</v>
      </c>
      <c r="J1390" s="181">
        <v>0</v>
      </c>
      <c r="K1390" s="181">
        <v>0</v>
      </c>
      <c r="L1390" s="181">
        <v>0</v>
      </c>
      <c r="M1390" s="181">
        <v>449529.939648</v>
      </c>
      <c r="N1390" s="181">
        <v>22286.407039999998</v>
      </c>
      <c r="O1390" s="181">
        <v>12060.879103999998</v>
      </c>
      <c r="P1390" s="181">
        <v>14.097000000000001</v>
      </c>
      <c r="Q1390" s="181">
        <v>0</v>
      </c>
      <c r="R1390" s="181">
        <v>0</v>
      </c>
      <c r="S1390" s="181">
        <v>0</v>
      </c>
      <c r="T1390" s="181">
        <v>35.305999999999997</v>
      </c>
      <c r="U1390" s="181">
        <v>0</v>
      </c>
      <c r="V1390" s="181">
        <v>0</v>
      </c>
    </row>
    <row r="1391" spans="1:22">
      <c r="A1391" s="2" t="s">
        <v>2800</v>
      </c>
      <c r="B1391" s="2" t="s">
        <v>2801</v>
      </c>
      <c r="C1391" s="181">
        <v>17.709104</v>
      </c>
      <c r="D1391" s="181">
        <v>2258.06</v>
      </c>
      <c r="E1391" s="181">
        <v>50.8</v>
      </c>
      <c r="F1391" s="181">
        <v>0</v>
      </c>
      <c r="G1391" s="181">
        <v>0</v>
      </c>
      <c r="H1391" s="181">
        <v>0</v>
      </c>
      <c r="I1391" s="181">
        <v>9.5249999999999986</v>
      </c>
      <c r="J1391" s="181">
        <v>0</v>
      </c>
      <c r="K1391" s="181">
        <v>0</v>
      </c>
      <c r="L1391" s="181">
        <v>0</v>
      </c>
      <c r="M1391" s="181">
        <v>449529.939648</v>
      </c>
      <c r="N1391" s="181">
        <v>22286.407039999998</v>
      </c>
      <c r="O1391" s="181">
        <v>12060.879103999998</v>
      </c>
      <c r="P1391" s="181">
        <v>14.097000000000001</v>
      </c>
      <c r="Q1391" s="181">
        <v>0</v>
      </c>
      <c r="R1391" s="181">
        <v>0</v>
      </c>
      <c r="S1391" s="181">
        <v>0</v>
      </c>
      <c r="T1391" s="181">
        <v>39.116</v>
      </c>
      <c r="U1391" s="181">
        <v>0</v>
      </c>
      <c r="V1391" s="181">
        <v>0</v>
      </c>
    </row>
    <row r="1392" spans="1:22">
      <c r="A1392" s="2" t="s">
        <v>2802</v>
      </c>
      <c r="B1392" s="2" t="s">
        <v>2803</v>
      </c>
      <c r="C1392" s="181">
        <v>17.709104</v>
      </c>
      <c r="D1392" s="181">
        <v>2258.06</v>
      </c>
      <c r="E1392" s="181">
        <v>50.8</v>
      </c>
      <c r="F1392" s="181">
        <v>0</v>
      </c>
      <c r="G1392" s="181">
        <v>0</v>
      </c>
      <c r="H1392" s="181">
        <v>0</v>
      </c>
      <c r="I1392" s="181">
        <v>9.5249999999999986</v>
      </c>
      <c r="J1392" s="181">
        <v>0</v>
      </c>
      <c r="K1392" s="181">
        <v>0</v>
      </c>
      <c r="L1392" s="181">
        <v>0</v>
      </c>
      <c r="M1392" s="181">
        <v>449529.939648</v>
      </c>
      <c r="N1392" s="181">
        <v>22286.407039999998</v>
      </c>
      <c r="O1392" s="181">
        <v>12060.879103999998</v>
      </c>
      <c r="P1392" s="181">
        <v>14.097000000000001</v>
      </c>
      <c r="Q1392" s="181">
        <v>0</v>
      </c>
      <c r="R1392" s="181">
        <v>0</v>
      </c>
      <c r="S1392" s="181">
        <v>0</v>
      </c>
      <c r="T1392" s="181">
        <v>42.925999999999995</v>
      </c>
      <c r="U1392" s="181">
        <v>0</v>
      </c>
      <c r="V1392" s="181">
        <v>0</v>
      </c>
    </row>
    <row r="1393" spans="1:22">
      <c r="A1393" s="2" t="s">
        <v>2804</v>
      </c>
      <c r="B1393" s="2" t="s">
        <v>2805</v>
      </c>
      <c r="C1393" s="181">
        <v>15.030415999999999</v>
      </c>
      <c r="D1393" s="181">
        <v>1909.6735999999999</v>
      </c>
      <c r="E1393" s="181">
        <v>50.8</v>
      </c>
      <c r="F1393" s="181">
        <v>0</v>
      </c>
      <c r="G1393" s="181">
        <v>0</v>
      </c>
      <c r="H1393" s="181">
        <v>0</v>
      </c>
      <c r="I1393" s="181">
        <v>7.9375</v>
      </c>
      <c r="J1393" s="181">
        <v>0</v>
      </c>
      <c r="K1393" s="181">
        <v>0</v>
      </c>
      <c r="L1393" s="181">
        <v>0</v>
      </c>
      <c r="M1393" s="181">
        <v>389176.38293600001</v>
      </c>
      <c r="N1393" s="181">
        <v>18681.252959999998</v>
      </c>
      <c r="O1393" s="181">
        <v>10291.076191999999</v>
      </c>
      <c r="P1393" s="181">
        <v>14.274800000000001</v>
      </c>
      <c r="Q1393" s="181">
        <v>0</v>
      </c>
      <c r="R1393" s="181">
        <v>0</v>
      </c>
      <c r="S1393" s="181">
        <v>0</v>
      </c>
      <c r="T1393" s="181">
        <v>35.051999999999992</v>
      </c>
      <c r="U1393" s="181">
        <v>0</v>
      </c>
      <c r="V1393" s="181">
        <v>0</v>
      </c>
    </row>
    <row r="1394" spans="1:22">
      <c r="A1394" s="2" t="s">
        <v>2806</v>
      </c>
      <c r="B1394" s="2" t="s">
        <v>2807</v>
      </c>
      <c r="C1394" s="181">
        <v>15.030415999999999</v>
      </c>
      <c r="D1394" s="181">
        <v>1909.6735999999999</v>
      </c>
      <c r="E1394" s="181">
        <v>50.8</v>
      </c>
      <c r="F1394" s="181">
        <v>0</v>
      </c>
      <c r="G1394" s="181">
        <v>0</v>
      </c>
      <c r="H1394" s="181">
        <v>0</v>
      </c>
      <c r="I1394" s="181">
        <v>7.9375</v>
      </c>
      <c r="J1394" s="181">
        <v>0</v>
      </c>
      <c r="K1394" s="181">
        <v>0</v>
      </c>
      <c r="L1394" s="181">
        <v>0</v>
      </c>
      <c r="M1394" s="181">
        <v>389176.38293600001</v>
      </c>
      <c r="N1394" s="181">
        <v>18681.252959999998</v>
      </c>
      <c r="O1394" s="181">
        <v>10291.076191999999</v>
      </c>
      <c r="P1394" s="181">
        <v>14.274800000000001</v>
      </c>
      <c r="Q1394" s="181">
        <v>0</v>
      </c>
      <c r="R1394" s="181">
        <v>0</v>
      </c>
      <c r="S1394" s="181">
        <v>0</v>
      </c>
      <c r="T1394" s="181">
        <v>38.607999999999997</v>
      </c>
      <c r="U1394" s="181">
        <v>0</v>
      </c>
      <c r="V1394" s="181">
        <v>0</v>
      </c>
    </row>
    <row r="1395" spans="1:22">
      <c r="A1395" s="2" t="s">
        <v>2808</v>
      </c>
      <c r="B1395" s="2" t="s">
        <v>2809</v>
      </c>
      <c r="C1395" s="181">
        <v>15.030415999999999</v>
      </c>
      <c r="D1395" s="181">
        <v>1909.6735999999999</v>
      </c>
      <c r="E1395" s="181">
        <v>50.8</v>
      </c>
      <c r="F1395" s="181">
        <v>0</v>
      </c>
      <c r="G1395" s="181">
        <v>0</v>
      </c>
      <c r="H1395" s="181">
        <v>0</v>
      </c>
      <c r="I1395" s="181">
        <v>7.9375</v>
      </c>
      <c r="J1395" s="181">
        <v>0</v>
      </c>
      <c r="K1395" s="181">
        <v>0</v>
      </c>
      <c r="L1395" s="181">
        <v>0</v>
      </c>
      <c r="M1395" s="181">
        <v>389176.38293600001</v>
      </c>
      <c r="N1395" s="181">
        <v>18681.252959999998</v>
      </c>
      <c r="O1395" s="181">
        <v>10291.076191999999</v>
      </c>
      <c r="P1395" s="181">
        <v>14.274800000000001</v>
      </c>
      <c r="Q1395" s="181">
        <v>0</v>
      </c>
      <c r="R1395" s="181">
        <v>0</v>
      </c>
      <c r="S1395" s="181">
        <v>0</v>
      </c>
      <c r="T1395" s="181">
        <v>42.417999999999999</v>
      </c>
      <c r="U1395" s="181">
        <v>0</v>
      </c>
      <c r="V1395" s="181">
        <v>0</v>
      </c>
    </row>
    <row r="1396" spans="1:22">
      <c r="A1396" s="2" t="s">
        <v>2810</v>
      </c>
      <c r="B1396" s="2" t="s">
        <v>2811</v>
      </c>
      <c r="C1396" s="181">
        <v>12.173148799999998</v>
      </c>
      <c r="D1396" s="181">
        <v>1548.3839999999998</v>
      </c>
      <c r="E1396" s="181">
        <v>50.8</v>
      </c>
      <c r="F1396" s="181">
        <v>0</v>
      </c>
      <c r="G1396" s="181">
        <v>0</v>
      </c>
      <c r="H1396" s="181">
        <v>0</v>
      </c>
      <c r="I1396" s="181">
        <v>6.35</v>
      </c>
      <c r="J1396" s="181">
        <v>0</v>
      </c>
      <c r="K1396" s="181">
        <v>0</v>
      </c>
      <c r="L1396" s="181">
        <v>0</v>
      </c>
      <c r="M1396" s="181">
        <v>324244.28054239997</v>
      </c>
      <c r="N1396" s="181">
        <v>15174.421263999999</v>
      </c>
      <c r="O1396" s="181">
        <v>8439.3379599999989</v>
      </c>
      <c r="P1396" s="181">
        <v>14.4526</v>
      </c>
      <c r="Q1396" s="181">
        <v>0</v>
      </c>
      <c r="R1396" s="181">
        <v>0</v>
      </c>
      <c r="S1396" s="181">
        <v>0</v>
      </c>
      <c r="T1396" s="181">
        <v>34.798000000000002</v>
      </c>
      <c r="U1396" s="181">
        <v>0</v>
      </c>
      <c r="V1396" s="181">
        <v>0</v>
      </c>
    </row>
    <row r="1397" spans="1:22">
      <c r="A1397" s="2" t="s">
        <v>2812</v>
      </c>
      <c r="B1397" s="2" t="s">
        <v>2813</v>
      </c>
      <c r="C1397" s="181">
        <v>12.173148799999998</v>
      </c>
      <c r="D1397" s="181">
        <v>1548.3839999999998</v>
      </c>
      <c r="E1397" s="181">
        <v>50.8</v>
      </c>
      <c r="F1397" s="181">
        <v>0</v>
      </c>
      <c r="G1397" s="181">
        <v>0</v>
      </c>
      <c r="H1397" s="181">
        <v>0</v>
      </c>
      <c r="I1397" s="181">
        <v>6.35</v>
      </c>
      <c r="J1397" s="181">
        <v>0</v>
      </c>
      <c r="K1397" s="181">
        <v>0</v>
      </c>
      <c r="L1397" s="181">
        <v>0</v>
      </c>
      <c r="M1397" s="181">
        <v>324244.28054239997</v>
      </c>
      <c r="N1397" s="181">
        <v>15174.421263999999</v>
      </c>
      <c r="O1397" s="181">
        <v>8439.3379599999989</v>
      </c>
      <c r="P1397" s="181">
        <v>14.4526</v>
      </c>
      <c r="Q1397" s="181">
        <v>0</v>
      </c>
      <c r="R1397" s="181">
        <v>0</v>
      </c>
      <c r="S1397" s="181">
        <v>0</v>
      </c>
      <c r="T1397" s="181">
        <v>38.353999999999999</v>
      </c>
      <c r="U1397" s="181">
        <v>0</v>
      </c>
      <c r="V1397" s="181">
        <v>0</v>
      </c>
    </row>
    <row r="1398" spans="1:22">
      <c r="A1398" s="2" t="s">
        <v>2814</v>
      </c>
      <c r="B1398" s="2" t="s">
        <v>2815</v>
      </c>
      <c r="C1398" s="181">
        <v>12.173148799999998</v>
      </c>
      <c r="D1398" s="181">
        <v>1548.3839999999998</v>
      </c>
      <c r="E1398" s="181">
        <v>50.8</v>
      </c>
      <c r="F1398" s="181">
        <v>0</v>
      </c>
      <c r="G1398" s="181">
        <v>0</v>
      </c>
      <c r="H1398" s="181">
        <v>0</v>
      </c>
      <c r="I1398" s="181">
        <v>6.35</v>
      </c>
      <c r="J1398" s="181">
        <v>0</v>
      </c>
      <c r="K1398" s="181">
        <v>0</v>
      </c>
      <c r="L1398" s="181">
        <v>0</v>
      </c>
      <c r="M1398" s="181">
        <v>324244.28054239997</v>
      </c>
      <c r="N1398" s="181">
        <v>15174.421263999999</v>
      </c>
      <c r="O1398" s="181">
        <v>8439.3379599999989</v>
      </c>
      <c r="P1398" s="181">
        <v>14.4526</v>
      </c>
      <c r="Q1398" s="181">
        <v>0</v>
      </c>
      <c r="R1398" s="181">
        <v>0</v>
      </c>
      <c r="S1398" s="181">
        <v>0</v>
      </c>
      <c r="T1398" s="181">
        <v>42.163999999999994</v>
      </c>
      <c r="U1398" s="181">
        <v>0</v>
      </c>
      <c r="V1398" s="181">
        <v>0</v>
      </c>
    </row>
    <row r="1399" spans="1:22">
      <c r="A1399" s="2" t="s">
        <v>2816</v>
      </c>
      <c r="B1399" s="2" t="s">
        <v>2817</v>
      </c>
      <c r="C1399" s="181">
        <v>9.2861183999999994</v>
      </c>
      <c r="D1399" s="181">
        <v>1180.6428000000001</v>
      </c>
      <c r="E1399" s="181">
        <v>50.8</v>
      </c>
      <c r="F1399" s="181">
        <v>0</v>
      </c>
      <c r="G1399" s="181">
        <v>0</v>
      </c>
      <c r="H1399" s="181">
        <v>0</v>
      </c>
      <c r="I1399" s="181">
        <v>4.7624999999999993</v>
      </c>
      <c r="J1399" s="181">
        <v>0</v>
      </c>
      <c r="K1399" s="181">
        <v>0</v>
      </c>
      <c r="L1399" s="181">
        <v>0</v>
      </c>
      <c r="M1399" s="181">
        <v>253901.16961599997</v>
      </c>
      <c r="N1399" s="181">
        <v>11520.105992000001</v>
      </c>
      <c r="O1399" s="181">
        <v>6489.2773440000001</v>
      </c>
      <c r="P1399" s="181">
        <v>14.655799999999997</v>
      </c>
      <c r="Q1399" s="181">
        <v>0</v>
      </c>
      <c r="R1399" s="181">
        <v>0</v>
      </c>
      <c r="S1399" s="181">
        <v>0</v>
      </c>
      <c r="T1399" s="181">
        <v>34.29</v>
      </c>
      <c r="U1399" s="181">
        <v>0</v>
      </c>
      <c r="V1399" s="181">
        <v>0</v>
      </c>
    </row>
    <row r="1400" spans="1:22">
      <c r="A1400" s="2" t="s">
        <v>2818</v>
      </c>
      <c r="B1400" s="2" t="s">
        <v>2819</v>
      </c>
      <c r="C1400" s="181">
        <v>9.2861183999999994</v>
      </c>
      <c r="D1400" s="181">
        <v>1180.6428000000001</v>
      </c>
      <c r="E1400" s="181">
        <v>50.8</v>
      </c>
      <c r="F1400" s="181">
        <v>0</v>
      </c>
      <c r="G1400" s="181">
        <v>0</v>
      </c>
      <c r="H1400" s="181">
        <v>0</v>
      </c>
      <c r="I1400" s="181">
        <v>4.7624999999999993</v>
      </c>
      <c r="J1400" s="181">
        <v>0</v>
      </c>
      <c r="K1400" s="181">
        <v>0</v>
      </c>
      <c r="L1400" s="181">
        <v>0</v>
      </c>
      <c r="M1400" s="181">
        <v>253901.16961599997</v>
      </c>
      <c r="N1400" s="181">
        <v>11520.105992000001</v>
      </c>
      <c r="O1400" s="181">
        <v>6489.2773440000001</v>
      </c>
      <c r="P1400" s="181">
        <v>14.655799999999997</v>
      </c>
      <c r="Q1400" s="181">
        <v>0</v>
      </c>
      <c r="R1400" s="181">
        <v>0</v>
      </c>
      <c r="S1400" s="181">
        <v>0</v>
      </c>
      <c r="T1400" s="181">
        <v>37.845999999999997</v>
      </c>
      <c r="U1400" s="181">
        <v>0</v>
      </c>
      <c r="V1400" s="181">
        <v>0</v>
      </c>
    </row>
    <row r="1401" spans="1:22">
      <c r="A1401" s="2" t="s">
        <v>2820</v>
      </c>
      <c r="B1401" s="2" t="s">
        <v>2821</v>
      </c>
      <c r="C1401" s="181">
        <v>9.2861183999999994</v>
      </c>
      <c r="D1401" s="181">
        <v>1180.6428000000001</v>
      </c>
      <c r="E1401" s="181">
        <v>50.8</v>
      </c>
      <c r="F1401" s="181">
        <v>0</v>
      </c>
      <c r="G1401" s="181">
        <v>0</v>
      </c>
      <c r="H1401" s="181">
        <v>0</v>
      </c>
      <c r="I1401" s="181">
        <v>4.7624999999999993</v>
      </c>
      <c r="J1401" s="181">
        <v>0</v>
      </c>
      <c r="K1401" s="181">
        <v>0</v>
      </c>
      <c r="L1401" s="181">
        <v>0</v>
      </c>
      <c r="M1401" s="181">
        <v>253901.16961599997</v>
      </c>
      <c r="N1401" s="181">
        <v>11520.105992000001</v>
      </c>
      <c r="O1401" s="181">
        <v>6489.2773440000001</v>
      </c>
      <c r="P1401" s="181">
        <v>14.655799999999997</v>
      </c>
      <c r="Q1401" s="181">
        <v>0</v>
      </c>
      <c r="R1401" s="181">
        <v>0</v>
      </c>
      <c r="S1401" s="181">
        <v>0</v>
      </c>
      <c r="T1401" s="181">
        <v>41.655999999999992</v>
      </c>
      <c r="U1401" s="181">
        <v>0</v>
      </c>
      <c r="V1401" s="181">
        <v>0</v>
      </c>
    </row>
    <row r="1402" spans="1:22">
      <c r="A1402" s="2" t="s">
        <v>2822</v>
      </c>
      <c r="B1402" s="2" t="s">
        <v>2823</v>
      </c>
      <c r="C1402" s="181">
        <v>15.774495999999999</v>
      </c>
      <c r="D1402" s="181">
        <v>2006.4475999999997</v>
      </c>
      <c r="E1402" s="181">
        <v>50.8</v>
      </c>
      <c r="F1402" s="181">
        <v>0</v>
      </c>
      <c r="G1402" s="181">
        <v>0</v>
      </c>
      <c r="H1402" s="181">
        <v>0</v>
      </c>
      <c r="I1402" s="181">
        <v>9.5249999999999986</v>
      </c>
      <c r="J1402" s="181">
        <v>0</v>
      </c>
      <c r="K1402" s="181">
        <v>0</v>
      </c>
      <c r="L1402" s="181">
        <v>0</v>
      </c>
      <c r="M1402" s="181">
        <v>428718.36836799997</v>
      </c>
      <c r="N1402" s="181">
        <v>21467.05384</v>
      </c>
      <c r="O1402" s="181">
        <v>11831.460207999999</v>
      </c>
      <c r="P1402" s="181">
        <v>14.579600000000001</v>
      </c>
      <c r="Q1402" s="181">
        <v>0</v>
      </c>
      <c r="R1402" s="181">
        <v>0</v>
      </c>
      <c r="S1402" s="181">
        <v>0</v>
      </c>
      <c r="T1402" s="181">
        <v>28.701999999999995</v>
      </c>
      <c r="U1402" s="181">
        <v>0</v>
      </c>
      <c r="V1402" s="181">
        <v>0</v>
      </c>
    </row>
    <row r="1403" spans="1:22">
      <c r="A1403" s="2" t="s">
        <v>2824</v>
      </c>
      <c r="B1403" s="2" t="s">
        <v>2825</v>
      </c>
      <c r="C1403" s="181">
        <v>15.774495999999999</v>
      </c>
      <c r="D1403" s="181">
        <v>2006.4475999999997</v>
      </c>
      <c r="E1403" s="181">
        <v>50.8</v>
      </c>
      <c r="F1403" s="181">
        <v>0</v>
      </c>
      <c r="G1403" s="181">
        <v>0</v>
      </c>
      <c r="H1403" s="181">
        <v>0</v>
      </c>
      <c r="I1403" s="181">
        <v>9.5249999999999986</v>
      </c>
      <c r="J1403" s="181">
        <v>0</v>
      </c>
      <c r="K1403" s="181">
        <v>0</v>
      </c>
      <c r="L1403" s="181">
        <v>0</v>
      </c>
      <c r="M1403" s="181">
        <v>428718.36836799997</v>
      </c>
      <c r="N1403" s="181">
        <v>21467.05384</v>
      </c>
      <c r="O1403" s="181">
        <v>11831.460207999999</v>
      </c>
      <c r="P1403" s="181">
        <v>14.579600000000001</v>
      </c>
      <c r="Q1403" s="181">
        <v>0</v>
      </c>
      <c r="R1403" s="181">
        <v>0</v>
      </c>
      <c r="S1403" s="181">
        <v>0</v>
      </c>
      <c r="T1403" s="181">
        <v>32.257999999999996</v>
      </c>
      <c r="U1403" s="181">
        <v>0</v>
      </c>
      <c r="V1403" s="181">
        <v>0</v>
      </c>
    </row>
    <row r="1404" spans="1:22">
      <c r="A1404" s="2" t="s">
        <v>2826</v>
      </c>
      <c r="B1404" s="2" t="s">
        <v>2827</v>
      </c>
      <c r="C1404" s="181">
        <v>15.774495999999999</v>
      </c>
      <c r="D1404" s="181">
        <v>2006.4475999999997</v>
      </c>
      <c r="E1404" s="181">
        <v>50.8</v>
      </c>
      <c r="F1404" s="181">
        <v>0</v>
      </c>
      <c r="G1404" s="181">
        <v>0</v>
      </c>
      <c r="H1404" s="181">
        <v>0</v>
      </c>
      <c r="I1404" s="181">
        <v>9.5249999999999986</v>
      </c>
      <c r="J1404" s="181">
        <v>0</v>
      </c>
      <c r="K1404" s="181">
        <v>0</v>
      </c>
      <c r="L1404" s="181">
        <v>0</v>
      </c>
      <c r="M1404" s="181">
        <v>428718.36836799997</v>
      </c>
      <c r="N1404" s="181">
        <v>21467.05384</v>
      </c>
      <c r="O1404" s="181">
        <v>11831.460207999999</v>
      </c>
      <c r="P1404" s="181">
        <v>14.579600000000001</v>
      </c>
      <c r="Q1404" s="181">
        <v>0</v>
      </c>
      <c r="R1404" s="181">
        <v>0</v>
      </c>
      <c r="S1404" s="181">
        <v>0</v>
      </c>
      <c r="T1404" s="181">
        <v>36.067999999999998</v>
      </c>
      <c r="U1404" s="181">
        <v>0</v>
      </c>
      <c r="V1404" s="181">
        <v>0</v>
      </c>
    </row>
    <row r="1405" spans="1:22">
      <c r="A1405" s="2" t="s">
        <v>2828</v>
      </c>
      <c r="B1405" s="2" t="s">
        <v>2829</v>
      </c>
      <c r="C1405" s="181">
        <v>13.3487952</v>
      </c>
      <c r="D1405" s="181">
        <v>1703.2224000000001</v>
      </c>
      <c r="E1405" s="181">
        <v>50.8</v>
      </c>
      <c r="F1405" s="181">
        <v>0</v>
      </c>
      <c r="G1405" s="181">
        <v>0</v>
      </c>
      <c r="H1405" s="181">
        <v>0</v>
      </c>
      <c r="I1405" s="181">
        <v>7.9375</v>
      </c>
      <c r="J1405" s="181">
        <v>0</v>
      </c>
      <c r="K1405" s="181">
        <v>0</v>
      </c>
      <c r="L1405" s="181">
        <v>0</v>
      </c>
      <c r="M1405" s="181">
        <v>370862.20020959998</v>
      </c>
      <c r="N1405" s="181">
        <v>18189.641039999999</v>
      </c>
      <c r="O1405" s="181">
        <v>10110.818487999999</v>
      </c>
      <c r="P1405" s="181">
        <v>14.757399999999999</v>
      </c>
      <c r="Q1405" s="181">
        <v>0</v>
      </c>
      <c r="R1405" s="181">
        <v>0</v>
      </c>
      <c r="S1405" s="181">
        <v>0</v>
      </c>
      <c r="T1405" s="181">
        <v>28.448</v>
      </c>
      <c r="U1405" s="181">
        <v>0</v>
      </c>
      <c r="V1405" s="181">
        <v>0</v>
      </c>
    </row>
    <row r="1406" spans="1:22">
      <c r="A1406" s="2" t="s">
        <v>2830</v>
      </c>
      <c r="B1406" s="2" t="s">
        <v>2831</v>
      </c>
      <c r="C1406" s="181">
        <v>13.3487952</v>
      </c>
      <c r="D1406" s="181">
        <v>1703.2224000000001</v>
      </c>
      <c r="E1406" s="181">
        <v>50.8</v>
      </c>
      <c r="F1406" s="181">
        <v>0</v>
      </c>
      <c r="G1406" s="181">
        <v>0</v>
      </c>
      <c r="H1406" s="181">
        <v>0</v>
      </c>
      <c r="I1406" s="181">
        <v>7.9375</v>
      </c>
      <c r="J1406" s="181">
        <v>0</v>
      </c>
      <c r="K1406" s="181">
        <v>0</v>
      </c>
      <c r="L1406" s="181">
        <v>0</v>
      </c>
      <c r="M1406" s="181">
        <v>370862.20020959998</v>
      </c>
      <c r="N1406" s="181">
        <v>18189.641039999999</v>
      </c>
      <c r="O1406" s="181">
        <v>10110.818487999999</v>
      </c>
      <c r="P1406" s="181">
        <v>14.757399999999999</v>
      </c>
      <c r="Q1406" s="181">
        <v>0</v>
      </c>
      <c r="R1406" s="181">
        <v>0</v>
      </c>
      <c r="S1406" s="181">
        <v>0</v>
      </c>
      <c r="T1406" s="181">
        <v>32.003999999999998</v>
      </c>
      <c r="U1406" s="181">
        <v>0</v>
      </c>
      <c r="V1406" s="181">
        <v>0</v>
      </c>
    </row>
    <row r="1407" spans="1:22">
      <c r="A1407" s="2" t="s">
        <v>2832</v>
      </c>
      <c r="B1407" s="2" t="s">
        <v>2833</v>
      </c>
      <c r="C1407" s="181">
        <v>13.3487952</v>
      </c>
      <c r="D1407" s="181">
        <v>1703.2224000000001</v>
      </c>
      <c r="E1407" s="181">
        <v>50.8</v>
      </c>
      <c r="F1407" s="181">
        <v>0</v>
      </c>
      <c r="G1407" s="181">
        <v>0</v>
      </c>
      <c r="H1407" s="181">
        <v>0</v>
      </c>
      <c r="I1407" s="181">
        <v>7.9375</v>
      </c>
      <c r="J1407" s="181">
        <v>0</v>
      </c>
      <c r="K1407" s="181">
        <v>0</v>
      </c>
      <c r="L1407" s="181">
        <v>0</v>
      </c>
      <c r="M1407" s="181">
        <v>370862.20020959998</v>
      </c>
      <c r="N1407" s="181">
        <v>18189.641039999999</v>
      </c>
      <c r="O1407" s="181">
        <v>10110.818487999999</v>
      </c>
      <c r="P1407" s="181">
        <v>14.757399999999999</v>
      </c>
      <c r="Q1407" s="181">
        <v>0</v>
      </c>
      <c r="R1407" s="181">
        <v>0</v>
      </c>
      <c r="S1407" s="181">
        <v>0</v>
      </c>
      <c r="T1407" s="181">
        <v>35.813999999999993</v>
      </c>
      <c r="U1407" s="181">
        <v>0</v>
      </c>
      <c r="V1407" s="181">
        <v>0</v>
      </c>
    </row>
    <row r="1408" spans="1:22">
      <c r="A1408" s="2" t="s">
        <v>2834</v>
      </c>
      <c r="B1408" s="2" t="s">
        <v>2835</v>
      </c>
      <c r="C1408" s="181">
        <v>10.863567999999999</v>
      </c>
      <c r="D1408" s="181">
        <v>1380.6424</v>
      </c>
      <c r="E1408" s="181">
        <v>50.8</v>
      </c>
      <c r="F1408" s="181">
        <v>0</v>
      </c>
      <c r="G1408" s="181">
        <v>0</v>
      </c>
      <c r="H1408" s="181">
        <v>0</v>
      </c>
      <c r="I1408" s="181">
        <v>6.35</v>
      </c>
      <c r="J1408" s="181">
        <v>0</v>
      </c>
      <c r="K1408" s="181">
        <v>0</v>
      </c>
      <c r="L1408" s="181">
        <v>0</v>
      </c>
      <c r="M1408" s="181">
        <v>309676.18064639997</v>
      </c>
      <c r="N1408" s="181">
        <v>14895.841176</v>
      </c>
      <c r="O1408" s="181">
        <v>8308.2414479999989</v>
      </c>
      <c r="P1408" s="181">
        <v>14.960599999999998</v>
      </c>
      <c r="Q1408" s="181">
        <v>0</v>
      </c>
      <c r="R1408" s="181">
        <v>0</v>
      </c>
      <c r="S1408" s="181">
        <v>0</v>
      </c>
      <c r="T1408" s="181">
        <v>27.94</v>
      </c>
      <c r="U1408" s="181">
        <v>0</v>
      </c>
      <c r="V1408" s="181">
        <v>0</v>
      </c>
    </row>
    <row r="1409" spans="1:22">
      <c r="A1409" s="2" t="s">
        <v>2836</v>
      </c>
      <c r="B1409" s="2" t="s">
        <v>2837</v>
      </c>
      <c r="C1409" s="181">
        <v>10.863567999999999</v>
      </c>
      <c r="D1409" s="181">
        <v>1380.6424</v>
      </c>
      <c r="E1409" s="181">
        <v>50.8</v>
      </c>
      <c r="F1409" s="181">
        <v>0</v>
      </c>
      <c r="G1409" s="181">
        <v>0</v>
      </c>
      <c r="H1409" s="181">
        <v>0</v>
      </c>
      <c r="I1409" s="181">
        <v>6.35</v>
      </c>
      <c r="J1409" s="181">
        <v>0</v>
      </c>
      <c r="K1409" s="181">
        <v>0</v>
      </c>
      <c r="L1409" s="181">
        <v>0</v>
      </c>
      <c r="M1409" s="181">
        <v>309676.18064639997</v>
      </c>
      <c r="N1409" s="181">
        <v>14895.841176</v>
      </c>
      <c r="O1409" s="181">
        <v>8308.2414479999989</v>
      </c>
      <c r="P1409" s="181">
        <v>14.960599999999998</v>
      </c>
      <c r="Q1409" s="181">
        <v>0</v>
      </c>
      <c r="R1409" s="181">
        <v>0</v>
      </c>
      <c r="S1409" s="181">
        <v>0</v>
      </c>
      <c r="T1409" s="181">
        <v>31.495999999999999</v>
      </c>
      <c r="U1409" s="181">
        <v>0</v>
      </c>
      <c r="V1409" s="181">
        <v>0</v>
      </c>
    </row>
    <row r="1410" spans="1:22">
      <c r="A1410" s="2" t="s">
        <v>2838</v>
      </c>
      <c r="B1410" s="2" t="s">
        <v>2839</v>
      </c>
      <c r="C1410" s="181">
        <v>10.863567999999999</v>
      </c>
      <c r="D1410" s="181">
        <v>1380.6424</v>
      </c>
      <c r="E1410" s="181">
        <v>50.8</v>
      </c>
      <c r="F1410" s="181">
        <v>0</v>
      </c>
      <c r="G1410" s="181">
        <v>0</v>
      </c>
      <c r="H1410" s="181">
        <v>0</v>
      </c>
      <c r="I1410" s="181">
        <v>6.35</v>
      </c>
      <c r="J1410" s="181">
        <v>0</v>
      </c>
      <c r="K1410" s="181">
        <v>0</v>
      </c>
      <c r="L1410" s="181">
        <v>0</v>
      </c>
      <c r="M1410" s="181">
        <v>309676.18064639997</v>
      </c>
      <c r="N1410" s="181">
        <v>14895.841176</v>
      </c>
      <c r="O1410" s="181">
        <v>8308.2414479999989</v>
      </c>
      <c r="P1410" s="181">
        <v>14.960599999999998</v>
      </c>
      <c r="Q1410" s="181">
        <v>0</v>
      </c>
      <c r="R1410" s="181">
        <v>0</v>
      </c>
      <c r="S1410" s="181">
        <v>0</v>
      </c>
      <c r="T1410" s="181">
        <v>35.305999999999997</v>
      </c>
      <c r="U1410" s="181">
        <v>0</v>
      </c>
      <c r="V1410" s="181">
        <v>0</v>
      </c>
    </row>
    <row r="1411" spans="1:22">
      <c r="A1411" s="2" t="s">
        <v>2840</v>
      </c>
      <c r="B1411" s="2" t="s">
        <v>2841</v>
      </c>
      <c r="C1411" s="181">
        <v>8.2890511999999994</v>
      </c>
      <c r="D1411" s="181">
        <v>1058.0623999999998</v>
      </c>
      <c r="E1411" s="181">
        <v>50.8</v>
      </c>
      <c r="F1411" s="181">
        <v>0</v>
      </c>
      <c r="G1411" s="181">
        <v>0</v>
      </c>
      <c r="H1411" s="181">
        <v>0</v>
      </c>
      <c r="I1411" s="181">
        <v>4.7624999999999993</v>
      </c>
      <c r="J1411" s="181">
        <v>0</v>
      </c>
      <c r="K1411" s="181">
        <v>0</v>
      </c>
      <c r="L1411" s="181">
        <v>0</v>
      </c>
      <c r="M1411" s="181">
        <v>242662.92112479996</v>
      </c>
      <c r="N1411" s="181">
        <v>11389.009479999999</v>
      </c>
      <c r="O1411" s="181">
        <v>6407.3420239999996</v>
      </c>
      <c r="P1411" s="181">
        <v>15.163799999999998</v>
      </c>
      <c r="Q1411" s="181">
        <v>0</v>
      </c>
      <c r="R1411" s="181">
        <v>0</v>
      </c>
      <c r="S1411" s="181">
        <v>0</v>
      </c>
      <c r="T1411" s="181">
        <v>27.686</v>
      </c>
      <c r="U1411" s="181">
        <v>0</v>
      </c>
      <c r="V1411" s="181">
        <v>0</v>
      </c>
    </row>
    <row r="1412" spans="1:22">
      <c r="A1412" s="2" t="s">
        <v>2842</v>
      </c>
      <c r="B1412" s="2" t="s">
        <v>2843</v>
      </c>
      <c r="C1412" s="181">
        <v>8.2890511999999994</v>
      </c>
      <c r="D1412" s="181">
        <v>1058.0623999999998</v>
      </c>
      <c r="E1412" s="181">
        <v>50.8</v>
      </c>
      <c r="F1412" s="181">
        <v>0</v>
      </c>
      <c r="G1412" s="181">
        <v>0</v>
      </c>
      <c r="H1412" s="181">
        <v>0</v>
      </c>
      <c r="I1412" s="181">
        <v>4.7624999999999993</v>
      </c>
      <c r="J1412" s="181">
        <v>0</v>
      </c>
      <c r="K1412" s="181">
        <v>0</v>
      </c>
      <c r="L1412" s="181">
        <v>0</v>
      </c>
      <c r="M1412" s="181">
        <v>242662.92112479996</v>
      </c>
      <c r="N1412" s="181">
        <v>11389.009479999999</v>
      </c>
      <c r="O1412" s="181">
        <v>6407.3420239999996</v>
      </c>
      <c r="P1412" s="181">
        <v>15.163799999999998</v>
      </c>
      <c r="Q1412" s="181">
        <v>0</v>
      </c>
      <c r="R1412" s="181">
        <v>0</v>
      </c>
      <c r="S1412" s="181">
        <v>0</v>
      </c>
      <c r="T1412" s="181">
        <v>31.241999999999997</v>
      </c>
      <c r="U1412" s="181">
        <v>0</v>
      </c>
      <c r="V1412" s="181">
        <v>0</v>
      </c>
    </row>
    <row r="1413" spans="1:22">
      <c r="A1413" s="2" t="s">
        <v>2844</v>
      </c>
      <c r="B1413" s="2" t="s">
        <v>2845</v>
      </c>
      <c r="C1413" s="181">
        <v>8.2890511999999994</v>
      </c>
      <c r="D1413" s="181">
        <v>1058.0623999999998</v>
      </c>
      <c r="E1413" s="181">
        <v>50.8</v>
      </c>
      <c r="F1413" s="181">
        <v>0</v>
      </c>
      <c r="G1413" s="181">
        <v>0</v>
      </c>
      <c r="H1413" s="181">
        <v>0</v>
      </c>
      <c r="I1413" s="181">
        <v>4.7624999999999993</v>
      </c>
      <c r="J1413" s="181">
        <v>0</v>
      </c>
      <c r="K1413" s="181">
        <v>0</v>
      </c>
      <c r="L1413" s="181">
        <v>0</v>
      </c>
      <c r="M1413" s="181">
        <v>242662.92112479996</v>
      </c>
      <c r="N1413" s="181">
        <v>11389.009479999999</v>
      </c>
      <c r="O1413" s="181">
        <v>6407.3420239999996</v>
      </c>
      <c r="P1413" s="181">
        <v>15.163799999999998</v>
      </c>
      <c r="Q1413" s="181">
        <v>0</v>
      </c>
      <c r="R1413" s="181">
        <v>0</v>
      </c>
      <c r="S1413" s="181">
        <v>0</v>
      </c>
      <c r="T1413" s="181">
        <v>35.051999999999992</v>
      </c>
      <c r="U1413" s="181">
        <v>0</v>
      </c>
      <c r="V1413" s="181">
        <v>0</v>
      </c>
    </row>
    <row r="1414" spans="1:22">
      <c r="A1414" s="2" t="s">
        <v>2846</v>
      </c>
      <c r="B1414" s="2" t="s">
        <v>2847</v>
      </c>
      <c r="C1414" s="181">
        <v>188.99632</v>
      </c>
      <c r="D1414" s="181">
        <v>22580.6</v>
      </c>
      <c r="E1414" s="181">
        <v>0</v>
      </c>
      <c r="F1414" s="181">
        <v>0</v>
      </c>
      <c r="G1414" s="181">
        <v>0</v>
      </c>
      <c r="H1414" s="181">
        <v>0</v>
      </c>
      <c r="I1414" s="181">
        <v>0</v>
      </c>
      <c r="J1414" s="181">
        <v>0</v>
      </c>
      <c r="K1414" s="181">
        <v>0</v>
      </c>
      <c r="L1414" s="181">
        <v>0</v>
      </c>
      <c r="M1414" s="181">
        <v>782515080.1279999</v>
      </c>
      <c r="N1414" s="181">
        <v>3769024.7199999997</v>
      </c>
      <c r="O1414" s="181">
        <v>3080768.0319999997</v>
      </c>
      <c r="P1414" s="181">
        <v>186.18199999999999</v>
      </c>
      <c r="Q1414" s="181">
        <v>354212943.18559998</v>
      </c>
      <c r="R1414" s="181">
        <v>2654704.3679999998</v>
      </c>
      <c r="S1414" s="181">
        <v>2326963.088</v>
      </c>
      <c r="T1414" s="181">
        <v>125.22199999999998</v>
      </c>
      <c r="U1414" s="181">
        <v>786677394.38399994</v>
      </c>
      <c r="V1414" s="181">
        <v>0</v>
      </c>
    </row>
    <row r="1415" spans="1:22">
      <c r="A1415" s="2" t="s">
        <v>2848</v>
      </c>
      <c r="B1415" s="2" t="s">
        <v>2849</v>
      </c>
      <c r="C1415" s="181">
        <v>153.28047999999998</v>
      </c>
      <c r="D1415" s="181">
        <v>18258.027999999998</v>
      </c>
      <c r="E1415" s="181">
        <v>0</v>
      </c>
      <c r="F1415" s="181">
        <v>0</v>
      </c>
      <c r="G1415" s="181">
        <v>0</v>
      </c>
      <c r="H1415" s="181">
        <v>0</v>
      </c>
      <c r="I1415" s="181">
        <v>0</v>
      </c>
      <c r="J1415" s="181">
        <v>0</v>
      </c>
      <c r="K1415" s="181">
        <v>0</v>
      </c>
      <c r="L1415" s="181">
        <v>0</v>
      </c>
      <c r="M1415" s="181">
        <v>645158709.67999995</v>
      </c>
      <c r="N1415" s="181">
        <v>3080768.0319999997</v>
      </c>
      <c r="O1415" s="181">
        <v>2539994.92</v>
      </c>
      <c r="P1415" s="181">
        <v>187.70599999999999</v>
      </c>
      <c r="Q1415" s="181">
        <v>293443155.04799998</v>
      </c>
      <c r="R1415" s="181">
        <v>2163092.4479999999</v>
      </c>
      <c r="S1415" s="181">
        <v>1917286.4879999999</v>
      </c>
      <c r="T1415" s="181">
        <v>126.746</v>
      </c>
      <c r="U1415" s="181">
        <v>640996395.42399991</v>
      </c>
      <c r="V1415" s="181">
        <v>0</v>
      </c>
    </row>
    <row r="1416" spans="1:22">
      <c r="A1416" s="2" t="s">
        <v>2850</v>
      </c>
      <c r="B1416" s="2" t="s">
        <v>2851</v>
      </c>
      <c r="C1416" s="181">
        <v>116.671744</v>
      </c>
      <c r="D1416" s="181">
        <v>13870.939999999999</v>
      </c>
      <c r="E1416" s="181">
        <v>0</v>
      </c>
      <c r="F1416" s="181">
        <v>0</v>
      </c>
      <c r="G1416" s="181">
        <v>0</v>
      </c>
      <c r="H1416" s="181">
        <v>0</v>
      </c>
      <c r="I1416" s="181">
        <v>0</v>
      </c>
      <c r="J1416" s="181">
        <v>0</v>
      </c>
      <c r="K1416" s="181">
        <v>0</v>
      </c>
      <c r="L1416" s="181">
        <v>0</v>
      </c>
      <c r="M1416" s="181">
        <v>499477710.71999997</v>
      </c>
      <c r="N1416" s="181">
        <v>2359737.216</v>
      </c>
      <c r="O1416" s="181">
        <v>1966447.6799999997</v>
      </c>
      <c r="P1416" s="181">
        <v>189.23</v>
      </c>
      <c r="Q1416" s="181">
        <v>227678589.80319998</v>
      </c>
      <c r="R1416" s="181">
        <v>1671480.5279999999</v>
      </c>
      <c r="S1416" s="181">
        <v>1492861.5303999998</v>
      </c>
      <c r="T1416" s="181">
        <v>128.01599999999999</v>
      </c>
      <c r="U1416" s="181">
        <v>491153082.20799994</v>
      </c>
      <c r="V1416" s="181">
        <v>0</v>
      </c>
    </row>
    <row r="1417" spans="1:22">
      <c r="A1417" s="2" t="s">
        <v>2852</v>
      </c>
      <c r="B1417" s="2" t="s">
        <v>2853</v>
      </c>
      <c r="C1417" s="181">
        <v>97.920927999999989</v>
      </c>
      <c r="D1417" s="181">
        <v>11677.396000000001</v>
      </c>
      <c r="E1417" s="181">
        <v>0</v>
      </c>
      <c r="F1417" s="181">
        <v>0</v>
      </c>
      <c r="G1417" s="181">
        <v>0</v>
      </c>
      <c r="H1417" s="181">
        <v>0</v>
      </c>
      <c r="I1417" s="181">
        <v>0</v>
      </c>
      <c r="J1417" s="181">
        <v>0</v>
      </c>
      <c r="K1417" s="181">
        <v>0</v>
      </c>
      <c r="L1417" s="181">
        <v>0</v>
      </c>
      <c r="M1417" s="181">
        <v>420393739.85599995</v>
      </c>
      <c r="N1417" s="181">
        <v>1999221.8079999997</v>
      </c>
      <c r="O1417" s="181">
        <v>1655093.4639999999</v>
      </c>
      <c r="P1417" s="181">
        <v>189.99199999999999</v>
      </c>
      <c r="Q1417" s="181">
        <v>193131381.47839999</v>
      </c>
      <c r="R1417" s="181">
        <v>1406010.0911999999</v>
      </c>
      <c r="S1417" s="181">
        <v>1266720.0471999999</v>
      </c>
      <c r="T1417" s="181">
        <v>128.77799999999999</v>
      </c>
      <c r="U1417" s="181">
        <v>414982731.32319999</v>
      </c>
      <c r="V1417" s="181">
        <v>0</v>
      </c>
    </row>
    <row r="1418" spans="1:22">
      <c r="A1418" s="2" t="s">
        <v>2854</v>
      </c>
      <c r="B1418" s="2" t="s">
        <v>2855</v>
      </c>
      <c r="C1418" s="181">
        <v>163.69759999999999</v>
      </c>
      <c r="D1418" s="181">
        <v>19548.347999999998</v>
      </c>
      <c r="E1418" s="181">
        <v>0</v>
      </c>
      <c r="F1418" s="181">
        <v>0</v>
      </c>
      <c r="G1418" s="181">
        <v>0</v>
      </c>
      <c r="H1418" s="181">
        <v>0</v>
      </c>
      <c r="I1418" s="181">
        <v>0</v>
      </c>
      <c r="J1418" s="181">
        <v>0</v>
      </c>
      <c r="K1418" s="181">
        <v>0</v>
      </c>
      <c r="L1418" s="181">
        <v>0</v>
      </c>
      <c r="M1418" s="181">
        <v>599373252.86399996</v>
      </c>
      <c r="N1418" s="181">
        <v>3031606.84</v>
      </c>
      <c r="O1418" s="181">
        <v>2359737.216</v>
      </c>
      <c r="P1418" s="181">
        <v>175.00599999999997</v>
      </c>
      <c r="Q1418" s="181">
        <v>140686221.85279998</v>
      </c>
      <c r="R1418" s="181">
        <v>1579712.9696</v>
      </c>
      <c r="S1418" s="181">
        <v>1386345.6143999998</v>
      </c>
      <c r="T1418" s="181">
        <v>84.835999999999999</v>
      </c>
      <c r="U1418" s="181">
        <v>381267985.84959996</v>
      </c>
      <c r="V1418" s="181">
        <v>0</v>
      </c>
    </row>
    <row r="1419" spans="1:22">
      <c r="A1419" s="2" t="s">
        <v>2856</v>
      </c>
      <c r="B1419" s="2" t="s">
        <v>2857</v>
      </c>
      <c r="C1419" s="181">
        <v>133.339136</v>
      </c>
      <c r="D1419" s="181">
        <v>15870.936</v>
      </c>
      <c r="E1419" s="181">
        <v>0</v>
      </c>
      <c r="F1419" s="181">
        <v>0</v>
      </c>
      <c r="G1419" s="181">
        <v>0</v>
      </c>
      <c r="H1419" s="181">
        <v>0</v>
      </c>
      <c r="I1419" s="181">
        <v>0</v>
      </c>
      <c r="J1419" s="181">
        <v>0</v>
      </c>
      <c r="K1419" s="181">
        <v>0</v>
      </c>
      <c r="L1419" s="181">
        <v>0</v>
      </c>
      <c r="M1419" s="181">
        <v>495315396.46399993</v>
      </c>
      <c r="N1419" s="181">
        <v>2490833.7279999997</v>
      </c>
      <c r="O1419" s="181">
        <v>1950060.6159999999</v>
      </c>
      <c r="P1419" s="181">
        <v>176.78399999999999</v>
      </c>
      <c r="Q1419" s="181">
        <v>117793493.44479999</v>
      </c>
      <c r="R1419" s="181">
        <v>1302771.588</v>
      </c>
      <c r="S1419" s="181">
        <v>1160204.1311999999</v>
      </c>
      <c r="T1419" s="181">
        <v>86.105999999999995</v>
      </c>
      <c r="U1419" s="181">
        <v>315087189.17919999</v>
      </c>
      <c r="V1419" s="181">
        <v>0</v>
      </c>
    </row>
    <row r="1420" spans="1:22">
      <c r="A1420" s="2" t="s">
        <v>2858</v>
      </c>
      <c r="B1420" s="2" t="s">
        <v>2859</v>
      </c>
      <c r="C1420" s="181">
        <v>101.492512</v>
      </c>
      <c r="D1420" s="181">
        <v>12064.491999999998</v>
      </c>
      <c r="E1420" s="181">
        <v>0</v>
      </c>
      <c r="F1420" s="181">
        <v>0</v>
      </c>
      <c r="G1420" s="181">
        <v>0</v>
      </c>
      <c r="H1420" s="181">
        <v>0</v>
      </c>
      <c r="I1420" s="181">
        <v>0</v>
      </c>
      <c r="J1420" s="181">
        <v>0</v>
      </c>
      <c r="K1420" s="181">
        <v>0</v>
      </c>
      <c r="L1420" s="181">
        <v>0</v>
      </c>
      <c r="M1420" s="181">
        <v>385430300.10559994</v>
      </c>
      <c r="N1420" s="181">
        <v>1917286.4879999999</v>
      </c>
      <c r="O1420" s="181">
        <v>1517442.1263999997</v>
      </c>
      <c r="P1420" s="181">
        <v>178.56199999999998</v>
      </c>
      <c r="Q1420" s="181">
        <v>92403376.483199984</v>
      </c>
      <c r="R1420" s="181">
        <v>1007804.4359999999</v>
      </c>
      <c r="S1420" s="181">
        <v>911120.75839999993</v>
      </c>
      <c r="T1420" s="181">
        <v>87.375999999999991</v>
      </c>
      <c r="U1420" s="181">
        <v>243911615.40159997</v>
      </c>
      <c r="V1420" s="181">
        <v>0</v>
      </c>
    </row>
    <row r="1421" spans="1:22">
      <c r="A1421" s="2" t="s">
        <v>2860</v>
      </c>
      <c r="B1421" s="2" t="s">
        <v>2861</v>
      </c>
      <c r="C1421" s="181">
        <v>85.271567999999988</v>
      </c>
      <c r="D1421" s="181">
        <v>10129.011999999999</v>
      </c>
      <c r="E1421" s="181">
        <v>0</v>
      </c>
      <c r="F1421" s="181">
        <v>0</v>
      </c>
      <c r="G1421" s="181">
        <v>0</v>
      </c>
      <c r="H1421" s="181">
        <v>0</v>
      </c>
      <c r="I1421" s="181">
        <v>0</v>
      </c>
      <c r="J1421" s="181">
        <v>0</v>
      </c>
      <c r="K1421" s="181">
        <v>0</v>
      </c>
      <c r="L1421" s="181">
        <v>0</v>
      </c>
      <c r="M1421" s="181">
        <v>327157900.52159995</v>
      </c>
      <c r="N1421" s="181">
        <v>1615764.5103999998</v>
      </c>
      <c r="O1421" s="181">
        <v>1288023.2303999998</v>
      </c>
      <c r="P1421" s="181">
        <v>179.578</v>
      </c>
      <c r="Q1421" s="181">
        <v>78667739.438399985</v>
      </c>
      <c r="R1421" s="181">
        <v>852127.32799999998</v>
      </c>
      <c r="S1421" s="181">
        <v>776746.8335999999</v>
      </c>
      <c r="T1421" s="181">
        <v>88.138000000000005</v>
      </c>
      <c r="U1421" s="181">
        <v>206450787.09759998</v>
      </c>
      <c r="V1421" s="181">
        <v>0</v>
      </c>
    </row>
    <row r="1422" spans="1:22">
      <c r="A1422" s="2" t="s">
        <v>2862</v>
      </c>
      <c r="B1422" s="2" t="s">
        <v>2863</v>
      </c>
      <c r="C1422" s="181">
        <v>112.95134400000001</v>
      </c>
      <c r="D1422" s="181">
        <v>13483.843999999999</v>
      </c>
      <c r="E1422" s="181">
        <v>0</v>
      </c>
      <c r="F1422" s="181">
        <v>0</v>
      </c>
      <c r="G1422" s="181">
        <v>0</v>
      </c>
      <c r="H1422" s="181">
        <v>0</v>
      </c>
      <c r="I1422" s="181">
        <v>0</v>
      </c>
      <c r="J1422" s="181">
        <v>0</v>
      </c>
      <c r="K1422" s="181">
        <v>0</v>
      </c>
      <c r="L1422" s="181">
        <v>0</v>
      </c>
      <c r="M1422" s="181">
        <v>348801934.65279996</v>
      </c>
      <c r="N1422" s="181">
        <v>1884512.3599999999</v>
      </c>
      <c r="O1422" s="181">
        <v>1373235.9631999999</v>
      </c>
      <c r="P1422" s="181">
        <v>160.78199999999998</v>
      </c>
      <c r="Q1422" s="181">
        <v>24432784.682719998</v>
      </c>
      <c r="R1422" s="181">
        <v>557160.17599999998</v>
      </c>
      <c r="S1422" s="181">
        <v>480140.97519999999</v>
      </c>
      <c r="T1422" s="181">
        <v>42.671999999999997</v>
      </c>
      <c r="U1422" s="181">
        <v>81165127.991999999</v>
      </c>
      <c r="V1422" s="181">
        <v>0</v>
      </c>
    </row>
    <row r="1423" spans="1:22">
      <c r="A1423" s="2" t="s">
        <v>2864</v>
      </c>
      <c r="B1423" s="2" t="s">
        <v>2865</v>
      </c>
      <c r="C1423" s="181">
        <v>86.313279999999992</v>
      </c>
      <c r="D1423" s="181">
        <v>10322.56</v>
      </c>
      <c r="E1423" s="181">
        <v>0</v>
      </c>
      <c r="F1423" s="181">
        <v>0</v>
      </c>
      <c r="G1423" s="181">
        <v>0</v>
      </c>
      <c r="H1423" s="181">
        <v>0</v>
      </c>
      <c r="I1423" s="181">
        <v>0</v>
      </c>
      <c r="J1423" s="181">
        <v>0</v>
      </c>
      <c r="K1423" s="181">
        <v>0</v>
      </c>
      <c r="L1423" s="181">
        <v>0</v>
      </c>
      <c r="M1423" s="181">
        <v>273464046.61919999</v>
      </c>
      <c r="N1423" s="181">
        <v>1463364.8151999998</v>
      </c>
      <c r="O1423" s="181">
        <v>1076630.1047999999</v>
      </c>
      <c r="P1423" s="181">
        <v>163.06799999999998</v>
      </c>
      <c r="Q1423" s="181">
        <v>19812615.85856</v>
      </c>
      <c r="R1423" s="181">
        <v>439173.31519999995</v>
      </c>
      <c r="S1423" s="181">
        <v>390012.12319999997</v>
      </c>
      <c r="T1423" s="181">
        <v>43.942</v>
      </c>
      <c r="U1423" s="181">
        <v>64932102.393599994</v>
      </c>
      <c r="V1423" s="181">
        <v>0</v>
      </c>
    </row>
    <row r="1424" spans="1:22">
      <c r="A1424" s="2" t="s">
        <v>2866</v>
      </c>
      <c r="B1424" s="2" t="s">
        <v>2867</v>
      </c>
      <c r="C1424" s="181">
        <v>72.622207999999986</v>
      </c>
      <c r="D1424" s="181">
        <v>8645.1440000000002</v>
      </c>
      <c r="E1424" s="181">
        <v>0</v>
      </c>
      <c r="F1424" s="181">
        <v>0</v>
      </c>
      <c r="G1424" s="181">
        <v>0</v>
      </c>
      <c r="H1424" s="181">
        <v>0</v>
      </c>
      <c r="I1424" s="181">
        <v>0</v>
      </c>
      <c r="J1424" s="181">
        <v>0</v>
      </c>
      <c r="K1424" s="181">
        <v>0</v>
      </c>
      <c r="L1424" s="181">
        <v>0</v>
      </c>
      <c r="M1424" s="181">
        <v>233089598.33599997</v>
      </c>
      <c r="N1424" s="181">
        <v>1238862.0383999997</v>
      </c>
      <c r="O1424" s="181">
        <v>917675.58399999992</v>
      </c>
      <c r="P1424" s="181">
        <v>164.084</v>
      </c>
      <c r="Q1424" s="181">
        <v>17148734.734719999</v>
      </c>
      <c r="R1424" s="181">
        <v>375263.76559999993</v>
      </c>
      <c r="S1424" s="181">
        <v>337573.5184</v>
      </c>
      <c r="T1424" s="181">
        <v>44.449999999999996</v>
      </c>
      <c r="U1424" s="181">
        <v>55775011.030399993</v>
      </c>
      <c r="V1424" s="181">
        <v>0</v>
      </c>
    </row>
    <row r="1425" spans="1:22">
      <c r="A1425" s="2" t="s">
        <v>2868</v>
      </c>
      <c r="B1425" s="2" t="s">
        <v>2869</v>
      </c>
      <c r="C1425" s="181">
        <v>177.09103999999999</v>
      </c>
      <c r="D1425" s="181">
        <v>21032.216</v>
      </c>
      <c r="E1425" s="181">
        <v>0</v>
      </c>
      <c r="F1425" s="181">
        <v>0</v>
      </c>
      <c r="G1425" s="181">
        <v>0</v>
      </c>
      <c r="H1425" s="181">
        <v>0</v>
      </c>
      <c r="I1425" s="181">
        <v>0</v>
      </c>
      <c r="J1425" s="181">
        <v>0</v>
      </c>
      <c r="K1425" s="181">
        <v>0</v>
      </c>
      <c r="L1425" s="181">
        <v>0</v>
      </c>
      <c r="M1425" s="181">
        <v>603535567.11999989</v>
      </c>
      <c r="N1425" s="181">
        <v>3211864.5439999998</v>
      </c>
      <c r="O1425" s="181">
        <v>2638317.3039999995</v>
      </c>
      <c r="P1425" s="181">
        <v>169.41799999999998</v>
      </c>
      <c r="Q1425" s="181">
        <v>322995586.26559997</v>
      </c>
      <c r="R1425" s="181">
        <v>2425285.4719999996</v>
      </c>
      <c r="S1425" s="181">
        <v>2113931.2559999996</v>
      </c>
      <c r="T1425" s="181">
        <v>123.69799999999999</v>
      </c>
      <c r="U1425" s="181">
        <v>678457223.72799993</v>
      </c>
      <c r="V1425" s="181">
        <v>0</v>
      </c>
    </row>
    <row r="1426" spans="1:22">
      <c r="A1426" s="2" t="s">
        <v>2870</v>
      </c>
      <c r="B1426" s="2" t="s">
        <v>2871</v>
      </c>
      <c r="C1426" s="181">
        <v>143.45862400000001</v>
      </c>
      <c r="D1426" s="181">
        <v>17096.739999999998</v>
      </c>
      <c r="E1426" s="181">
        <v>0</v>
      </c>
      <c r="F1426" s="181">
        <v>0</v>
      </c>
      <c r="G1426" s="181">
        <v>0</v>
      </c>
      <c r="H1426" s="181">
        <v>0</v>
      </c>
      <c r="I1426" s="181">
        <v>0</v>
      </c>
      <c r="J1426" s="181">
        <v>0</v>
      </c>
      <c r="K1426" s="181">
        <v>0</v>
      </c>
      <c r="L1426" s="181">
        <v>0</v>
      </c>
      <c r="M1426" s="181">
        <v>499477710.71999997</v>
      </c>
      <c r="N1426" s="181">
        <v>2638317.3039999995</v>
      </c>
      <c r="O1426" s="181">
        <v>2179479.5119999996</v>
      </c>
      <c r="P1426" s="181">
        <v>170.94200000000001</v>
      </c>
      <c r="Q1426" s="181">
        <v>267636806.66079998</v>
      </c>
      <c r="R1426" s="181">
        <v>1999221.8079999997</v>
      </c>
      <c r="S1426" s="181">
        <v>1753415.8479999998</v>
      </c>
      <c r="T1426" s="181">
        <v>125.22199999999998</v>
      </c>
      <c r="U1426" s="181">
        <v>553587796.04799998</v>
      </c>
      <c r="V1426" s="181">
        <v>0</v>
      </c>
    </row>
    <row r="1427" spans="1:22">
      <c r="A1427" s="2" t="s">
        <v>2872</v>
      </c>
      <c r="B1427" s="2" t="s">
        <v>2873</v>
      </c>
      <c r="C1427" s="181">
        <v>109.082128</v>
      </c>
      <c r="D1427" s="181">
        <v>12967.716</v>
      </c>
      <c r="E1427" s="181">
        <v>0</v>
      </c>
      <c r="F1427" s="181">
        <v>0</v>
      </c>
      <c r="G1427" s="181">
        <v>0</v>
      </c>
      <c r="H1427" s="181">
        <v>0</v>
      </c>
      <c r="I1427" s="181">
        <v>0</v>
      </c>
      <c r="J1427" s="181">
        <v>0</v>
      </c>
      <c r="K1427" s="181">
        <v>0</v>
      </c>
      <c r="L1427" s="181">
        <v>0</v>
      </c>
      <c r="M1427" s="181">
        <v>386678994.38239998</v>
      </c>
      <c r="N1427" s="181">
        <v>2015608.8719999997</v>
      </c>
      <c r="O1427" s="181">
        <v>1687867.5919999999</v>
      </c>
      <c r="P1427" s="181">
        <v>172.46599999999998</v>
      </c>
      <c r="Q1427" s="181">
        <v>207699481.37439999</v>
      </c>
      <c r="R1427" s="181">
        <v>1533829.1903999997</v>
      </c>
      <c r="S1427" s="181">
        <v>1363403.7248</v>
      </c>
      <c r="T1427" s="181">
        <v>126.492</v>
      </c>
      <c r="U1427" s="181">
        <v>424556054.11199993</v>
      </c>
      <c r="V1427" s="181">
        <v>0</v>
      </c>
    </row>
    <row r="1428" spans="1:22">
      <c r="A1428" s="2" t="s">
        <v>2874</v>
      </c>
      <c r="B1428" s="2" t="s">
        <v>2875</v>
      </c>
      <c r="C1428" s="181">
        <v>138.54769599999997</v>
      </c>
      <c r="D1428" s="181">
        <v>16580.611999999997</v>
      </c>
      <c r="E1428" s="181">
        <v>0</v>
      </c>
      <c r="F1428" s="181">
        <v>0</v>
      </c>
      <c r="G1428" s="181">
        <v>0</v>
      </c>
      <c r="H1428" s="181">
        <v>0</v>
      </c>
      <c r="I1428" s="181">
        <v>0</v>
      </c>
      <c r="J1428" s="181">
        <v>0</v>
      </c>
      <c r="K1428" s="181">
        <v>0</v>
      </c>
      <c r="L1428" s="181">
        <v>0</v>
      </c>
      <c r="M1428" s="181">
        <v>384181605.82879996</v>
      </c>
      <c r="N1428" s="181">
        <v>2212253.6399999997</v>
      </c>
      <c r="O1428" s="181">
        <v>1687867.5919999999</v>
      </c>
      <c r="P1428" s="181">
        <v>152.39999999999998</v>
      </c>
      <c r="Q1428" s="181">
        <v>65764565.244799994</v>
      </c>
      <c r="R1428" s="181">
        <v>999610.90399999986</v>
      </c>
      <c r="S1428" s="181">
        <v>863598.27279999992</v>
      </c>
      <c r="T1428" s="181">
        <v>62.991999999999997</v>
      </c>
      <c r="U1428" s="181">
        <v>192298918.62719998</v>
      </c>
      <c r="V1428" s="181">
        <v>0</v>
      </c>
    </row>
    <row r="1429" spans="1:22">
      <c r="A1429" s="2" t="s">
        <v>2876</v>
      </c>
      <c r="B1429" s="2" t="s">
        <v>2877</v>
      </c>
      <c r="C1429" s="181">
        <v>112.95134400000001</v>
      </c>
      <c r="D1429" s="181">
        <v>13483.843999999999</v>
      </c>
      <c r="E1429" s="181">
        <v>0</v>
      </c>
      <c r="F1429" s="181">
        <v>0</v>
      </c>
      <c r="G1429" s="181">
        <v>0</v>
      </c>
      <c r="H1429" s="181">
        <v>0</v>
      </c>
      <c r="I1429" s="181">
        <v>0</v>
      </c>
      <c r="J1429" s="181">
        <v>0</v>
      </c>
      <c r="K1429" s="181">
        <v>0</v>
      </c>
      <c r="L1429" s="181">
        <v>0</v>
      </c>
      <c r="M1429" s="181">
        <v>320498197.71199995</v>
      </c>
      <c r="N1429" s="181">
        <v>1835351.1679999998</v>
      </c>
      <c r="O1429" s="181">
        <v>1402732.6783999999</v>
      </c>
      <c r="P1429" s="181">
        <v>154.178</v>
      </c>
      <c r="Q1429" s="181">
        <v>55775011.030399993</v>
      </c>
      <c r="R1429" s="181">
        <v>830824.14480000001</v>
      </c>
      <c r="S1429" s="181">
        <v>730863.05439999991</v>
      </c>
      <c r="T1429" s="181">
        <v>64.261999999999986</v>
      </c>
      <c r="U1429" s="181">
        <v>161081561.70719999</v>
      </c>
      <c r="V1429" s="181">
        <v>0</v>
      </c>
    </row>
    <row r="1430" spans="1:22">
      <c r="A1430" s="2" t="s">
        <v>2878</v>
      </c>
      <c r="B1430" s="2" t="s">
        <v>2879</v>
      </c>
      <c r="C1430" s="181">
        <v>86.313279999999992</v>
      </c>
      <c r="D1430" s="181">
        <v>10322.56</v>
      </c>
      <c r="E1430" s="181">
        <v>0</v>
      </c>
      <c r="F1430" s="181">
        <v>0</v>
      </c>
      <c r="G1430" s="181">
        <v>0</v>
      </c>
      <c r="H1430" s="181">
        <v>0</v>
      </c>
      <c r="I1430" s="181">
        <v>0</v>
      </c>
      <c r="J1430" s="181">
        <v>0</v>
      </c>
      <c r="K1430" s="181">
        <v>0</v>
      </c>
      <c r="L1430" s="181">
        <v>0</v>
      </c>
      <c r="M1430" s="181">
        <v>250571318.21119997</v>
      </c>
      <c r="N1430" s="181">
        <v>1415842.3296000001</v>
      </c>
      <c r="O1430" s="181">
        <v>1096294.5815999999</v>
      </c>
      <c r="P1430" s="181">
        <v>156.21</v>
      </c>
      <c r="Q1430" s="181">
        <v>44120531.113599993</v>
      </c>
      <c r="R1430" s="181">
        <v>647289.02799999993</v>
      </c>
      <c r="S1430" s="181">
        <v>581740.772</v>
      </c>
      <c r="T1430" s="181">
        <v>65.531999999999996</v>
      </c>
      <c r="U1430" s="181">
        <v>125701890.53119999</v>
      </c>
      <c r="V1430" s="181">
        <v>0</v>
      </c>
    </row>
    <row r="1431" spans="1:22">
      <c r="A1431" s="2" t="s">
        <v>2880</v>
      </c>
      <c r="B1431" s="2" t="s">
        <v>2881</v>
      </c>
      <c r="C1431" s="181">
        <v>72.622207999999986</v>
      </c>
      <c r="D1431" s="181">
        <v>8645.1440000000002</v>
      </c>
      <c r="E1431" s="181">
        <v>0</v>
      </c>
      <c r="F1431" s="181">
        <v>0</v>
      </c>
      <c r="G1431" s="181">
        <v>0</v>
      </c>
      <c r="H1431" s="181">
        <v>0</v>
      </c>
      <c r="I1431" s="181">
        <v>0</v>
      </c>
      <c r="J1431" s="181">
        <v>0</v>
      </c>
      <c r="K1431" s="181">
        <v>0</v>
      </c>
      <c r="L1431" s="181">
        <v>0</v>
      </c>
      <c r="M1431" s="181">
        <v>213526721.33279997</v>
      </c>
      <c r="N1431" s="181">
        <v>1197894.3783999998</v>
      </c>
      <c r="O1431" s="181">
        <v>934062.64799999993</v>
      </c>
      <c r="P1431" s="181">
        <v>156.97199999999998</v>
      </c>
      <c r="Q1431" s="181">
        <v>38001929.157279998</v>
      </c>
      <c r="R1431" s="181">
        <v>548966.64399999997</v>
      </c>
      <c r="S1431" s="181">
        <v>498166.74559999991</v>
      </c>
      <c r="T1431" s="181">
        <v>66.293999999999997</v>
      </c>
      <c r="U1431" s="181">
        <v>106971476.3792</v>
      </c>
      <c r="V1431" s="181">
        <v>0</v>
      </c>
    </row>
    <row r="1432" spans="1:22">
      <c r="A1432" s="2" t="s">
        <v>2882</v>
      </c>
      <c r="B1432" s="2" t="s">
        <v>2883</v>
      </c>
      <c r="C1432" s="181">
        <v>58.633503999999995</v>
      </c>
      <c r="D1432" s="181">
        <v>6967.7280000000001</v>
      </c>
      <c r="E1432" s="181">
        <v>0</v>
      </c>
      <c r="F1432" s="181">
        <v>0</v>
      </c>
      <c r="G1432" s="181">
        <v>0</v>
      </c>
      <c r="H1432" s="181">
        <v>0</v>
      </c>
      <c r="I1432" s="181">
        <v>0</v>
      </c>
      <c r="J1432" s="181">
        <v>0</v>
      </c>
      <c r="K1432" s="181">
        <v>0</v>
      </c>
      <c r="L1432" s="181">
        <v>0</v>
      </c>
      <c r="M1432" s="181">
        <v>174400967.32639998</v>
      </c>
      <c r="N1432" s="181">
        <v>973391.60159999994</v>
      </c>
      <c r="O1432" s="181">
        <v>761998.47599999991</v>
      </c>
      <c r="P1432" s="181">
        <v>157.98799999999997</v>
      </c>
      <c r="Q1432" s="181">
        <v>31258980.062559996</v>
      </c>
      <c r="R1432" s="181">
        <v>447366.84719999996</v>
      </c>
      <c r="S1432" s="181">
        <v>409676.6</v>
      </c>
      <c r="T1432" s="181">
        <v>66.801999999999992</v>
      </c>
      <c r="U1432" s="181">
        <v>87408599.375999987</v>
      </c>
      <c r="V1432" s="181">
        <v>0</v>
      </c>
    </row>
    <row r="1433" spans="1:22">
      <c r="A1433" s="2" t="s">
        <v>2884</v>
      </c>
      <c r="B1433" s="2" t="s">
        <v>2885</v>
      </c>
      <c r="C1433" s="181">
        <v>188.99632</v>
      </c>
      <c r="D1433" s="181">
        <v>22580.6</v>
      </c>
      <c r="E1433" s="181">
        <v>0</v>
      </c>
      <c r="F1433" s="181">
        <v>0</v>
      </c>
      <c r="G1433" s="181">
        <v>0</v>
      </c>
      <c r="H1433" s="181">
        <v>0</v>
      </c>
      <c r="I1433" s="181">
        <v>0</v>
      </c>
      <c r="J1433" s="181">
        <v>0</v>
      </c>
      <c r="K1433" s="181">
        <v>0</v>
      </c>
      <c r="L1433" s="181">
        <v>0</v>
      </c>
      <c r="M1433" s="181">
        <v>570237053.07199991</v>
      </c>
      <c r="N1433" s="181">
        <v>3277412.8</v>
      </c>
      <c r="O1433" s="181">
        <v>2802187.9439999997</v>
      </c>
      <c r="P1433" s="181">
        <v>158.75</v>
      </c>
      <c r="Q1433" s="181">
        <v>570237053.07199991</v>
      </c>
      <c r="R1433" s="181">
        <v>3277412.8</v>
      </c>
      <c r="S1433" s="181">
        <v>2802187.9439999997</v>
      </c>
      <c r="T1433" s="181">
        <v>158.75</v>
      </c>
      <c r="U1433" s="181">
        <v>903222193.55199993</v>
      </c>
      <c r="V1433" s="181">
        <v>0</v>
      </c>
    </row>
    <row r="1434" spans="1:22">
      <c r="A1434" s="2" t="s">
        <v>2886</v>
      </c>
      <c r="B1434" s="2" t="s">
        <v>2887</v>
      </c>
      <c r="C1434" s="181">
        <v>153.28047999999998</v>
      </c>
      <c r="D1434" s="181">
        <v>18258.027999999998</v>
      </c>
      <c r="E1434" s="181">
        <v>0</v>
      </c>
      <c r="F1434" s="181">
        <v>0</v>
      </c>
      <c r="G1434" s="181">
        <v>0</v>
      </c>
      <c r="H1434" s="181">
        <v>0</v>
      </c>
      <c r="I1434" s="181">
        <v>0</v>
      </c>
      <c r="J1434" s="181">
        <v>0</v>
      </c>
      <c r="K1434" s="181">
        <v>0</v>
      </c>
      <c r="L1434" s="181">
        <v>0</v>
      </c>
      <c r="M1434" s="181">
        <v>470341510.92799997</v>
      </c>
      <c r="N1434" s="181">
        <v>2687478.4959999998</v>
      </c>
      <c r="O1434" s="181">
        <v>2310576.0239999997</v>
      </c>
      <c r="P1434" s="181">
        <v>160.27399999999997</v>
      </c>
      <c r="Q1434" s="181">
        <v>470341510.92799997</v>
      </c>
      <c r="R1434" s="181">
        <v>2687478.4959999998</v>
      </c>
      <c r="S1434" s="181">
        <v>2310576.0239999997</v>
      </c>
      <c r="T1434" s="181">
        <v>160.27399999999997</v>
      </c>
      <c r="U1434" s="181">
        <v>736729623.31199992</v>
      </c>
      <c r="V1434" s="181">
        <v>0</v>
      </c>
    </row>
    <row r="1435" spans="1:22">
      <c r="A1435" s="2" t="s">
        <v>2888</v>
      </c>
      <c r="B1435" s="2" t="s">
        <v>2889</v>
      </c>
      <c r="C1435" s="181">
        <v>116.671744</v>
      </c>
      <c r="D1435" s="181">
        <v>13870.939999999999</v>
      </c>
      <c r="E1435" s="181">
        <v>0</v>
      </c>
      <c r="F1435" s="181">
        <v>0</v>
      </c>
      <c r="G1435" s="181">
        <v>0</v>
      </c>
      <c r="H1435" s="181">
        <v>0</v>
      </c>
      <c r="I1435" s="181">
        <v>0</v>
      </c>
      <c r="J1435" s="181">
        <v>0</v>
      </c>
      <c r="K1435" s="181">
        <v>0</v>
      </c>
      <c r="L1435" s="181">
        <v>0</v>
      </c>
      <c r="M1435" s="181">
        <v>363370034.54879999</v>
      </c>
      <c r="N1435" s="181">
        <v>2064770.0639999998</v>
      </c>
      <c r="O1435" s="181">
        <v>1786189.9759999998</v>
      </c>
      <c r="P1435" s="181">
        <v>161.798</v>
      </c>
      <c r="Q1435" s="181">
        <v>363370034.54879999</v>
      </c>
      <c r="R1435" s="181">
        <v>2064770.0639999998</v>
      </c>
      <c r="S1435" s="181">
        <v>1786189.9759999998</v>
      </c>
      <c r="T1435" s="181">
        <v>161.798</v>
      </c>
      <c r="U1435" s="181">
        <v>561912424.55999994</v>
      </c>
      <c r="V1435" s="181">
        <v>0</v>
      </c>
    </row>
    <row r="1436" spans="1:22">
      <c r="A1436" s="2" t="s">
        <v>2890</v>
      </c>
      <c r="B1436" s="2" t="s">
        <v>2891</v>
      </c>
      <c r="C1436" s="181">
        <v>97.920927999999989</v>
      </c>
      <c r="D1436" s="181">
        <v>11677.396000000001</v>
      </c>
      <c r="E1436" s="181">
        <v>0</v>
      </c>
      <c r="F1436" s="181">
        <v>0</v>
      </c>
      <c r="G1436" s="181">
        <v>0</v>
      </c>
      <c r="H1436" s="181">
        <v>0</v>
      </c>
      <c r="I1436" s="181">
        <v>0</v>
      </c>
      <c r="J1436" s="181">
        <v>0</v>
      </c>
      <c r="K1436" s="181">
        <v>0</v>
      </c>
      <c r="L1436" s="181">
        <v>0</v>
      </c>
      <c r="M1436" s="181">
        <v>307595023.51839995</v>
      </c>
      <c r="N1436" s="181">
        <v>1737028.7839999998</v>
      </c>
      <c r="O1436" s="181">
        <v>1512526.0071999999</v>
      </c>
      <c r="P1436" s="181">
        <v>162.30599999999998</v>
      </c>
      <c r="Q1436" s="181">
        <v>307595023.51839995</v>
      </c>
      <c r="R1436" s="181">
        <v>1737028.7839999998</v>
      </c>
      <c r="S1436" s="181">
        <v>1512526.0071999999</v>
      </c>
      <c r="T1436" s="181">
        <v>162.30599999999998</v>
      </c>
      <c r="U1436" s="181">
        <v>474503825.18399996</v>
      </c>
      <c r="V1436" s="181">
        <v>0</v>
      </c>
    </row>
    <row r="1437" spans="1:22">
      <c r="A1437" s="2" t="s">
        <v>2892</v>
      </c>
      <c r="B1437" s="2" t="s">
        <v>2893</v>
      </c>
      <c r="C1437" s="181">
        <v>163.69759999999999</v>
      </c>
      <c r="D1437" s="181">
        <v>19548.347999999998</v>
      </c>
      <c r="E1437" s="181">
        <v>0</v>
      </c>
      <c r="F1437" s="181">
        <v>0</v>
      </c>
      <c r="G1437" s="181">
        <v>0</v>
      </c>
      <c r="H1437" s="181">
        <v>0</v>
      </c>
      <c r="I1437" s="181">
        <v>0</v>
      </c>
      <c r="J1437" s="181">
        <v>0</v>
      </c>
      <c r="K1437" s="181">
        <v>0</v>
      </c>
      <c r="L1437" s="181">
        <v>0</v>
      </c>
      <c r="M1437" s="181">
        <v>453692253.90399998</v>
      </c>
      <c r="N1437" s="181">
        <v>2703865.5599999996</v>
      </c>
      <c r="O1437" s="181">
        <v>2228640.7039999999</v>
      </c>
      <c r="P1437" s="181">
        <v>152.39999999999998</v>
      </c>
      <c r="Q1437" s="181">
        <v>291361997.91999996</v>
      </c>
      <c r="R1437" s="181">
        <v>2212253.6399999997</v>
      </c>
      <c r="S1437" s="181">
        <v>1917286.4879999999</v>
      </c>
      <c r="T1437" s="181">
        <v>121.91999999999999</v>
      </c>
      <c r="U1437" s="181">
        <v>570237053.07199991</v>
      </c>
      <c r="V1437" s="181">
        <v>0</v>
      </c>
    </row>
    <row r="1438" spans="1:22">
      <c r="A1438" s="2" t="s">
        <v>2894</v>
      </c>
      <c r="B1438" s="2" t="s">
        <v>2895</v>
      </c>
      <c r="C1438" s="181">
        <v>133.339136</v>
      </c>
      <c r="D1438" s="181">
        <v>15870.936</v>
      </c>
      <c r="E1438" s="181">
        <v>0</v>
      </c>
      <c r="F1438" s="181">
        <v>0</v>
      </c>
      <c r="G1438" s="181">
        <v>0</v>
      </c>
      <c r="H1438" s="181">
        <v>0</v>
      </c>
      <c r="I1438" s="181">
        <v>0</v>
      </c>
      <c r="J1438" s="181">
        <v>0</v>
      </c>
      <c r="K1438" s="181">
        <v>0</v>
      </c>
      <c r="L1438" s="181">
        <v>0</v>
      </c>
      <c r="M1438" s="181">
        <v>376273208.74239999</v>
      </c>
      <c r="N1438" s="181">
        <v>2212253.6399999997</v>
      </c>
      <c r="O1438" s="181">
        <v>1851738.2319999998</v>
      </c>
      <c r="P1438" s="181">
        <v>153.92399999999998</v>
      </c>
      <c r="Q1438" s="181">
        <v>241830458.27359998</v>
      </c>
      <c r="R1438" s="181">
        <v>1818964.1039999998</v>
      </c>
      <c r="S1438" s="181">
        <v>1586267.7951999998</v>
      </c>
      <c r="T1438" s="181">
        <v>123.444</v>
      </c>
      <c r="U1438" s="181">
        <v>466179196.67199993</v>
      </c>
      <c r="V1438" s="181">
        <v>0</v>
      </c>
    </row>
    <row r="1439" spans="1:22">
      <c r="A1439" s="2" t="s">
        <v>2896</v>
      </c>
      <c r="B1439" s="2" t="s">
        <v>2897</v>
      </c>
      <c r="C1439" s="181">
        <v>101.492512</v>
      </c>
      <c r="D1439" s="181">
        <v>12064.491999999998</v>
      </c>
      <c r="E1439" s="181">
        <v>0</v>
      </c>
      <c r="F1439" s="181">
        <v>0</v>
      </c>
      <c r="G1439" s="181">
        <v>0</v>
      </c>
      <c r="H1439" s="181">
        <v>0</v>
      </c>
      <c r="I1439" s="181">
        <v>0</v>
      </c>
      <c r="J1439" s="181">
        <v>0</v>
      </c>
      <c r="K1439" s="181">
        <v>0</v>
      </c>
      <c r="L1439" s="181">
        <v>0</v>
      </c>
      <c r="M1439" s="181">
        <v>292194460.77119994</v>
      </c>
      <c r="N1439" s="181">
        <v>1704254.656</v>
      </c>
      <c r="O1439" s="181">
        <v>1437145.5127999999</v>
      </c>
      <c r="P1439" s="181">
        <v>155.44800000000001</v>
      </c>
      <c r="Q1439" s="181">
        <v>188136604.3712</v>
      </c>
      <c r="R1439" s="181">
        <v>1401093.9719999998</v>
      </c>
      <c r="S1439" s="181">
        <v>1233945.9191999999</v>
      </c>
      <c r="T1439" s="181">
        <v>124.714</v>
      </c>
      <c r="U1439" s="181">
        <v>358791488.86719996</v>
      </c>
      <c r="V1439" s="181">
        <v>0</v>
      </c>
    </row>
    <row r="1440" spans="1:22">
      <c r="A1440" s="2" t="s">
        <v>2898</v>
      </c>
      <c r="B1440" s="2" t="s">
        <v>2899</v>
      </c>
      <c r="C1440" s="181">
        <v>85.271567999999988</v>
      </c>
      <c r="D1440" s="181">
        <v>10129.011999999999</v>
      </c>
      <c r="E1440" s="181">
        <v>0</v>
      </c>
      <c r="F1440" s="181">
        <v>0</v>
      </c>
      <c r="G1440" s="181">
        <v>0</v>
      </c>
      <c r="H1440" s="181">
        <v>0</v>
      </c>
      <c r="I1440" s="181">
        <v>0</v>
      </c>
      <c r="J1440" s="181">
        <v>0</v>
      </c>
      <c r="K1440" s="181">
        <v>0</v>
      </c>
      <c r="L1440" s="181">
        <v>0</v>
      </c>
      <c r="M1440" s="181">
        <v>247657698.23199996</v>
      </c>
      <c r="N1440" s="181">
        <v>1437145.5127999999</v>
      </c>
      <c r="O1440" s="181">
        <v>1219197.5615999999</v>
      </c>
      <c r="P1440" s="181">
        <v>156.21</v>
      </c>
      <c r="Q1440" s="181">
        <v>159832867.43039998</v>
      </c>
      <c r="R1440" s="181">
        <v>1183146.0207999998</v>
      </c>
      <c r="S1440" s="181">
        <v>1048772.0959999999</v>
      </c>
      <c r="T1440" s="181">
        <v>125.476</v>
      </c>
      <c r="U1440" s="181">
        <v>302600246.41119999</v>
      </c>
      <c r="V1440" s="181">
        <v>0</v>
      </c>
    </row>
    <row r="1441" spans="1:22">
      <c r="A1441" s="2" t="s">
        <v>2900</v>
      </c>
      <c r="B1441" s="2" t="s">
        <v>2901</v>
      </c>
      <c r="C1441" s="181">
        <v>138.54769599999997</v>
      </c>
      <c r="D1441" s="181">
        <v>16580.611999999997</v>
      </c>
      <c r="E1441" s="181">
        <v>0</v>
      </c>
      <c r="F1441" s="181">
        <v>0</v>
      </c>
      <c r="G1441" s="181">
        <v>0</v>
      </c>
      <c r="H1441" s="181">
        <v>0</v>
      </c>
      <c r="I1441" s="181">
        <v>0</v>
      </c>
      <c r="J1441" s="181">
        <v>0</v>
      </c>
      <c r="K1441" s="181">
        <v>0</v>
      </c>
      <c r="L1441" s="181">
        <v>0</v>
      </c>
      <c r="M1441" s="181">
        <v>339228611.86399996</v>
      </c>
      <c r="N1441" s="181">
        <v>2113931.2559999996</v>
      </c>
      <c r="O1441" s="181">
        <v>1671480.5279999999</v>
      </c>
      <c r="P1441" s="181">
        <v>143.25599999999997</v>
      </c>
      <c r="Q1441" s="181">
        <v>114047410.61439998</v>
      </c>
      <c r="R1441" s="181">
        <v>1297855.4687999999</v>
      </c>
      <c r="S1441" s="181">
        <v>1124152.5903999999</v>
      </c>
      <c r="T1441" s="181">
        <v>83.057999999999993</v>
      </c>
      <c r="U1441" s="181">
        <v>283453600.83359998</v>
      </c>
      <c r="V1441" s="181">
        <v>0</v>
      </c>
    </row>
    <row r="1442" spans="1:22">
      <c r="A1442" s="2" t="s">
        <v>2902</v>
      </c>
      <c r="B1442" s="2" t="s">
        <v>2903</v>
      </c>
      <c r="C1442" s="181">
        <v>112.95134400000001</v>
      </c>
      <c r="D1442" s="181">
        <v>13483.843999999999</v>
      </c>
      <c r="E1442" s="181">
        <v>0</v>
      </c>
      <c r="F1442" s="181">
        <v>0</v>
      </c>
      <c r="G1442" s="181">
        <v>0</v>
      </c>
      <c r="H1442" s="181">
        <v>0</v>
      </c>
      <c r="I1442" s="181">
        <v>0</v>
      </c>
      <c r="J1442" s="181">
        <v>0</v>
      </c>
      <c r="K1442" s="181">
        <v>0</v>
      </c>
      <c r="L1442" s="181">
        <v>0</v>
      </c>
      <c r="M1442" s="181">
        <v>282621137.9824</v>
      </c>
      <c r="N1442" s="181">
        <v>1737028.7839999998</v>
      </c>
      <c r="O1442" s="181">
        <v>1391261.7335999999</v>
      </c>
      <c r="P1442" s="181">
        <v>144.78</v>
      </c>
      <c r="Q1442" s="181">
        <v>95733227.887999997</v>
      </c>
      <c r="R1442" s="181">
        <v>1073352.6919999998</v>
      </c>
      <c r="S1442" s="181">
        <v>943894.88639999996</v>
      </c>
      <c r="T1442" s="181">
        <v>84.327999999999989</v>
      </c>
      <c r="U1442" s="181">
        <v>234338292.61279997</v>
      </c>
      <c r="V1442" s="181">
        <v>0</v>
      </c>
    </row>
    <row r="1443" spans="1:22">
      <c r="A1443" s="2" t="s">
        <v>2904</v>
      </c>
      <c r="B1443" s="2" t="s">
        <v>2905</v>
      </c>
      <c r="C1443" s="181">
        <v>86.313279999999992</v>
      </c>
      <c r="D1443" s="181">
        <v>10322.56</v>
      </c>
      <c r="E1443" s="181">
        <v>0</v>
      </c>
      <c r="F1443" s="181">
        <v>0</v>
      </c>
      <c r="G1443" s="181">
        <v>0</v>
      </c>
      <c r="H1443" s="181">
        <v>0</v>
      </c>
      <c r="I1443" s="181">
        <v>0</v>
      </c>
      <c r="J1443" s="181">
        <v>0</v>
      </c>
      <c r="K1443" s="181">
        <v>0</v>
      </c>
      <c r="L1443" s="181">
        <v>0</v>
      </c>
      <c r="M1443" s="181">
        <v>221018886.99359998</v>
      </c>
      <c r="N1443" s="181">
        <v>1345377.9543999997</v>
      </c>
      <c r="O1443" s="181">
        <v>1086462.3431999998</v>
      </c>
      <c r="P1443" s="181">
        <v>146.55799999999999</v>
      </c>
      <c r="Q1443" s="181">
        <v>75337888.033599988</v>
      </c>
      <c r="R1443" s="181">
        <v>832462.85119999992</v>
      </c>
      <c r="S1443" s="181">
        <v>742333.99919999985</v>
      </c>
      <c r="T1443" s="181">
        <v>85.597999999999999</v>
      </c>
      <c r="U1443" s="181">
        <v>181476901.56159997</v>
      </c>
      <c r="V1443" s="181">
        <v>0</v>
      </c>
    </row>
    <row r="1444" spans="1:22">
      <c r="A1444" s="2" t="s">
        <v>2906</v>
      </c>
      <c r="B1444" s="2" t="s">
        <v>2907</v>
      </c>
      <c r="C1444" s="181">
        <v>72.622207999999986</v>
      </c>
      <c r="D1444" s="181">
        <v>8645.1440000000002</v>
      </c>
      <c r="E1444" s="181">
        <v>0</v>
      </c>
      <c r="F1444" s="181">
        <v>0</v>
      </c>
      <c r="G1444" s="181">
        <v>0</v>
      </c>
      <c r="H1444" s="181">
        <v>0</v>
      </c>
      <c r="I1444" s="181">
        <v>0</v>
      </c>
      <c r="J1444" s="181">
        <v>0</v>
      </c>
      <c r="K1444" s="181">
        <v>0</v>
      </c>
      <c r="L1444" s="181">
        <v>0</v>
      </c>
      <c r="M1444" s="181">
        <v>187720372.94559997</v>
      </c>
      <c r="N1444" s="181">
        <v>1137262.2416000001</v>
      </c>
      <c r="O1444" s="181">
        <v>924230.4095999999</v>
      </c>
      <c r="P1444" s="181">
        <v>147.32</v>
      </c>
      <c r="Q1444" s="181">
        <v>64515870.967999995</v>
      </c>
      <c r="R1444" s="181">
        <v>704643.75199999998</v>
      </c>
      <c r="S1444" s="181">
        <v>634179.37679999997</v>
      </c>
      <c r="T1444" s="181">
        <v>86.36</v>
      </c>
      <c r="U1444" s="181">
        <v>153589396.04639998</v>
      </c>
      <c r="V1444" s="181">
        <v>0</v>
      </c>
    </row>
    <row r="1445" spans="1:22">
      <c r="A1445" s="2" t="s">
        <v>2908</v>
      </c>
      <c r="B1445" s="2" t="s">
        <v>2909</v>
      </c>
      <c r="C1445" s="181">
        <v>92.712367999999998</v>
      </c>
      <c r="D1445" s="181">
        <v>11096.751999999999</v>
      </c>
      <c r="E1445" s="181">
        <v>0</v>
      </c>
      <c r="F1445" s="181">
        <v>0</v>
      </c>
      <c r="G1445" s="181">
        <v>0</v>
      </c>
      <c r="H1445" s="181">
        <v>0</v>
      </c>
      <c r="I1445" s="181">
        <v>0</v>
      </c>
      <c r="J1445" s="181">
        <v>0</v>
      </c>
      <c r="K1445" s="181">
        <v>0</v>
      </c>
      <c r="L1445" s="181">
        <v>0</v>
      </c>
      <c r="M1445" s="181">
        <v>189385298.64799997</v>
      </c>
      <c r="N1445" s="181">
        <v>1266720.0471999999</v>
      </c>
      <c r="O1445" s="181">
        <v>932423.9415999999</v>
      </c>
      <c r="P1445" s="181">
        <v>130.81</v>
      </c>
      <c r="Q1445" s="181">
        <v>19562877.003199998</v>
      </c>
      <c r="R1445" s="181">
        <v>449005.55359999993</v>
      </c>
      <c r="S1445" s="181">
        <v>385096.00399999996</v>
      </c>
      <c r="T1445" s="181">
        <v>41.91</v>
      </c>
      <c r="U1445" s="181">
        <v>62434713.839999996</v>
      </c>
      <c r="V1445" s="181">
        <v>0</v>
      </c>
    </row>
    <row r="1446" spans="1:22">
      <c r="A1446" s="2" t="s">
        <v>2910</v>
      </c>
      <c r="B1446" s="2" t="s">
        <v>2911</v>
      </c>
      <c r="C1446" s="181">
        <v>71.134047999999993</v>
      </c>
      <c r="D1446" s="181">
        <v>8516.1119999999992</v>
      </c>
      <c r="E1446" s="181">
        <v>0</v>
      </c>
      <c r="F1446" s="181">
        <v>0</v>
      </c>
      <c r="G1446" s="181">
        <v>0</v>
      </c>
      <c r="H1446" s="181">
        <v>0</v>
      </c>
      <c r="I1446" s="181">
        <v>0</v>
      </c>
      <c r="J1446" s="181">
        <v>0</v>
      </c>
      <c r="K1446" s="181">
        <v>0</v>
      </c>
      <c r="L1446" s="181">
        <v>0</v>
      </c>
      <c r="M1446" s="181">
        <v>149843313.21599999</v>
      </c>
      <c r="N1446" s="181">
        <v>986501.2527999999</v>
      </c>
      <c r="O1446" s="181">
        <v>737417.87999999989</v>
      </c>
      <c r="P1446" s="181">
        <v>132.84200000000001</v>
      </c>
      <c r="Q1446" s="181">
        <v>15941663.600479998</v>
      </c>
      <c r="R1446" s="181">
        <v>355599.28879999998</v>
      </c>
      <c r="S1446" s="181">
        <v>312992.92239999998</v>
      </c>
      <c r="T1446" s="181">
        <v>43.433999999999997</v>
      </c>
      <c r="U1446" s="181">
        <v>49947771.071999997</v>
      </c>
      <c r="V1446" s="181">
        <v>0</v>
      </c>
    </row>
    <row r="1447" spans="1:22">
      <c r="A1447" s="2" t="s">
        <v>2912</v>
      </c>
      <c r="B1447" s="2" t="s">
        <v>2913</v>
      </c>
      <c r="C1447" s="181">
        <v>59.972847999999992</v>
      </c>
      <c r="D1447" s="181">
        <v>7161.2759999999998</v>
      </c>
      <c r="E1447" s="181">
        <v>0</v>
      </c>
      <c r="F1447" s="181">
        <v>0</v>
      </c>
      <c r="G1447" s="181">
        <v>0</v>
      </c>
      <c r="H1447" s="181">
        <v>0</v>
      </c>
      <c r="I1447" s="181">
        <v>0</v>
      </c>
      <c r="J1447" s="181">
        <v>0</v>
      </c>
      <c r="K1447" s="181">
        <v>0</v>
      </c>
      <c r="L1447" s="181">
        <v>0</v>
      </c>
      <c r="M1447" s="181">
        <v>128199279.08479999</v>
      </c>
      <c r="N1447" s="181">
        <v>837378.97039999999</v>
      </c>
      <c r="O1447" s="181">
        <v>630901.96399999992</v>
      </c>
      <c r="P1447" s="181">
        <v>133.85799999999998</v>
      </c>
      <c r="Q1447" s="181">
        <v>13818883.329919999</v>
      </c>
      <c r="R1447" s="181">
        <v>303160.68399999995</v>
      </c>
      <c r="S1447" s="181">
        <v>272025.26240000001</v>
      </c>
      <c r="T1447" s="181">
        <v>43.942</v>
      </c>
      <c r="U1447" s="181">
        <v>42871836.836799994</v>
      </c>
      <c r="V1447" s="181">
        <v>0</v>
      </c>
    </row>
    <row r="1448" spans="1:22">
      <c r="A1448" s="2" t="s">
        <v>2914</v>
      </c>
      <c r="B1448" s="2" t="s">
        <v>2915</v>
      </c>
      <c r="C1448" s="181">
        <v>163.69759999999999</v>
      </c>
      <c r="D1448" s="181">
        <v>19548.347999999998</v>
      </c>
      <c r="E1448" s="181">
        <v>0</v>
      </c>
      <c r="F1448" s="181">
        <v>0</v>
      </c>
      <c r="G1448" s="181">
        <v>0</v>
      </c>
      <c r="H1448" s="181">
        <v>0</v>
      </c>
      <c r="I1448" s="181">
        <v>0</v>
      </c>
      <c r="J1448" s="181">
        <v>0</v>
      </c>
      <c r="K1448" s="181">
        <v>0</v>
      </c>
      <c r="L1448" s="181">
        <v>0</v>
      </c>
      <c r="M1448" s="181">
        <v>373359588.76319999</v>
      </c>
      <c r="N1448" s="181">
        <v>2474446.6639999999</v>
      </c>
      <c r="O1448" s="181">
        <v>2097544.1919999998</v>
      </c>
      <c r="P1448" s="181">
        <v>138.17600000000002</v>
      </c>
      <c r="Q1448" s="181">
        <v>373359588.76319999</v>
      </c>
      <c r="R1448" s="181">
        <v>2474446.6639999999</v>
      </c>
      <c r="S1448" s="181">
        <v>2097544.1919999998</v>
      </c>
      <c r="T1448" s="181">
        <v>138.17600000000002</v>
      </c>
      <c r="U1448" s="181">
        <v>595210938.60799992</v>
      </c>
      <c r="V1448" s="181">
        <v>0</v>
      </c>
    </row>
    <row r="1449" spans="1:22">
      <c r="A1449" s="2" t="s">
        <v>2916</v>
      </c>
      <c r="B1449" s="2" t="s">
        <v>2917</v>
      </c>
      <c r="C1449" s="181">
        <v>133.339136</v>
      </c>
      <c r="D1449" s="181">
        <v>15870.936</v>
      </c>
      <c r="E1449" s="181">
        <v>0</v>
      </c>
      <c r="F1449" s="181">
        <v>0</v>
      </c>
      <c r="G1449" s="181">
        <v>0</v>
      </c>
      <c r="H1449" s="181">
        <v>0</v>
      </c>
      <c r="I1449" s="181">
        <v>0</v>
      </c>
      <c r="J1449" s="181">
        <v>0</v>
      </c>
      <c r="K1449" s="181">
        <v>0</v>
      </c>
      <c r="L1449" s="181">
        <v>0</v>
      </c>
      <c r="M1449" s="181">
        <v>309259949.22079998</v>
      </c>
      <c r="N1449" s="181">
        <v>2031995.9359999998</v>
      </c>
      <c r="O1449" s="181">
        <v>1737028.7839999998</v>
      </c>
      <c r="P1449" s="181">
        <v>139.446</v>
      </c>
      <c r="Q1449" s="181">
        <v>309259949.22079998</v>
      </c>
      <c r="R1449" s="181">
        <v>2031995.9359999998</v>
      </c>
      <c r="S1449" s="181">
        <v>1737028.7839999998</v>
      </c>
      <c r="T1449" s="181">
        <v>139.446</v>
      </c>
      <c r="U1449" s="181">
        <v>486990767.95199996</v>
      </c>
      <c r="V1449" s="181">
        <v>0</v>
      </c>
    </row>
    <row r="1450" spans="1:22">
      <c r="A1450" s="2" t="s">
        <v>2918</v>
      </c>
      <c r="B1450" s="2" t="s">
        <v>2919</v>
      </c>
      <c r="C1450" s="181">
        <v>101.492512</v>
      </c>
      <c r="D1450" s="181">
        <v>12064.491999999998</v>
      </c>
      <c r="E1450" s="181">
        <v>0</v>
      </c>
      <c r="F1450" s="181">
        <v>0</v>
      </c>
      <c r="G1450" s="181">
        <v>0</v>
      </c>
      <c r="H1450" s="181">
        <v>0</v>
      </c>
      <c r="I1450" s="181">
        <v>0</v>
      </c>
      <c r="J1450" s="181">
        <v>0</v>
      </c>
      <c r="K1450" s="181">
        <v>0</v>
      </c>
      <c r="L1450" s="181">
        <v>0</v>
      </c>
      <c r="M1450" s="181">
        <v>240165532.57119998</v>
      </c>
      <c r="N1450" s="181">
        <v>1563325.9055999999</v>
      </c>
      <c r="O1450" s="181">
        <v>1351932.7799999998</v>
      </c>
      <c r="P1450" s="181">
        <v>140.97</v>
      </c>
      <c r="Q1450" s="181">
        <v>240165532.57119998</v>
      </c>
      <c r="R1450" s="181">
        <v>1563325.9055999999</v>
      </c>
      <c r="S1450" s="181">
        <v>1351932.7799999998</v>
      </c>
      <c r="T1450" s="181">
        <v>140.97</v>
      </c>
      <c r="U1450" s="181">
        <v>374608283.03999996</v>
      </c>
      <c r="V1450" s="181">
        <v>0</v>
      </c>
    </row>
    <row r="1451" spans="1:22">
      <c r="A1451" s="2" t="s">
        <v>2920</v>
      </c>
      <c r="B1451" s="2" t="s">
        <v>2921</v>
      </c>
      <c r="C1451" s="181">
        <v>85.271567999999988</v>
      </c>
      <c r="D1451" s="181">
        <v>10129.011999999999</v>
      </c>
      <c r="E1451" s="181">
        <v>0</v>
      </c>
      <c r="F1451" s="181">
        <v>0</v>
      </c>
      <c r="G1451" s="181">
        <v>0</v>
      </c>
      <c r="H1451" s="181">
        <v>0</v>
      </c>
      <c r="I1451" s="181">
        <v>0</v>
      </c>
      <c r="J1451" s="181">
        <v>0</v>
      </c>
      <c r="K1451" s="181">
        <v>0</v>
      </c>
      <c r="L1451" s="181">
        <v>0</v>
      </c>
      <c r="M1451" s="181">
        <v>203953398.54399997</v>
      </c>
      <c r="N1451" s="181">
        <v>1319158.6519999998</v>
      </c>
      <c r="O1451" s="181">
        <v>1145455.7736</v>
      </c>
      <c r="P1451" s="181">
        <v>141.732</v>
      </c>
      <c r="Q1451" s="181">
        <v>203953398.54399997</v>
      </c>
      <c r="R1451" s="181">
        <v>1319158.6519999998</v>
      </c>
      <c r="S1451" s="181">
        <v>1145455.7736</v>
      </c>
      <c r="T1451" s="181">
        <v>141.732</v>
      </c>
      <c r="U1451" s="181">
        <v>315919652.03039998</v>
      </c>
      <c r="V1451" s="181">
        <v>0</v>
      </c>
    </row>
    <row r="1452" spans="1:22">
      <c r="A1452" s="2" t="s">
        <v>2922</v>
      </c>
      <c r="B1452" s="2" t="s">
        <v>2923</v>
      </c>
      <c r="C1452" s="181">
        <v>123.070832</v>
      </c>
      <c r="D1452" s="181">
        <v>14709.647999999999</v>
      </c>
      <c r="E1452" s="181">
        <v>0</v>
      </c>
      <c r="F1452" s="181">
        <v>0</v>
      </c>
      <c r="G1452" s="181">
        <v>0</v>
      </c>
      <c r="H1452" s="181">
        <v>0</v>
      </c>
      <c r="I1452" s="181">
        <v>0</v>
      </c>
      <c r="J1452" s="181">
        <v>0</v>
      </c>
      <c r="K1452" s="181">
        <v>0</v>
      </c>
      <c r="L1452" s="181">
        <v>0</v>
      </c>
      <c r="M1452" s="181">
        <v>273880278.04479998</v>
      </c>
      <c r="N1452" s="181">
        <v>1818964.1039999998</v>
      </c>
      <c r="O1452" s="181">
        <v>1540384.0159999998</v>
      </c>
      <c r="P1452" s="181">
        <v>136.65199999999999</v>
      </c>
      <c r="Q1452" s="181">
        <v>216024109.88639998</v>
      </c>
      <c r="R1452" s="181">
        <v>1638706.4</v>
      </c>
      <c r="S1452" s="181">
        <v>1417481.0359999998</v>
      </c>
      <c r="T1452" s="181">
        <v>121.41200000000001</v>
      </c>
      <c r="U1452" s="181">
        <v>383349142.97759998</v>
      </c>
      <c r="V1452" s="181">
        <v>0</v>
      </c>
    </row>
    <row r="1453" spans="1:22">
      <c r="A1453" s="2" t="s">
        <v>2924</v>
      </c>
      <c r="B1453" s="2" t="s">
        <v>2925</v>
      </c>
      <c r="C1453" s="181">
        <v>93.902895999999998</v>
      </c>
      <c r="D1453" s="181">
        <v>11161.268</v>
      </c>
      <c r="E1453" s="181">
        <v>0</v>
      </c>
      <c r="F1453" s="181">
        <v>0</v>
      </c>
      <c r="G1453" s="181">
        <v>0</v>
      </c>
      <c r="H1453" s="181">
        <v>0</v>
      </c>
      <c r="I1453" s="181">
        <v>0</v>
      </c>
      <c r="J1453" s="181">
        <v>0</v>
      </c>
      <c r="K1453" s="181">
        <v>0</v>
      </c>
      <c r="L1453" s="181">
        <v>0</v>
      </c>
      <c r="M1453" s="181">
        <v>213110489.90719998</v>
      </c>
      <c r="N1453" s="181">
        <v>1407648.7975999999</v>
      </c>
      <c r="O1453" s="181">
        <v>1199533.0847999998</v>
      </c>
      <c r="P1453" s="181">
        <v>137.922</v>
      </c>
      <c r="Q1453" s="181">
        <v>168573727.36799997</v>
      </c>
      <c r="R1453" s="181">
        <v>1268358.7535999999</v>
      </c>
      <c r="S1453" s="181">
        <v>1104488.1136</v>
      </c>
      <c r="T1453" s="181">
        <v>122.68199999999999</v>
      </c>
      <c r="U1453" s="181">
        <v>294691849.32479995</v>
      </c>
      <c r="V1453" s="181">
        <v>0</v>
      </c>
    </row>
    <row r="1454" spans="1:22">
      <c r="A1454" s="2" t="s">
        <v>2926</v>
      </c>
      <c r="B1454" s="2" t="s">
        <v>2927</v>
      </c>
      <c r="C1454" s="181">
        <v>138.54769599999997</v>
      </c>
      <c r="D1454" s="181">
        <v>16580.611999999997</v>
      </c>
      <c r="E1454" s="181">
        <v>0</v>
      </c>
      <c r="F1454" s="181">
        <v>0</v>
      </c>
      <c r="G1454" s="181">
        <v>0</v>
      </c>
      <c r="H1454" s="181">
        <v>0</v>
      </c>
      <c r="I1454" s="181">
        <v>0</v>
      </c>
      <c r="J1454" s="181">
        <v>0</v>
      </c>
      <c r="K1454" s="181">
        <v>0</v>
      </c>
      <c r="L1454" s="181">
        <v>0</v>
      </c>
      <c r="M1454" s="181">
        <v>285950989.3872</v>
      </c>
      <c r="N1454" s="181">
        <v>1966447.6799999997</v>
      </c>
      <c r="O1454" s="181">
        <v>1609209.6847999999</v>
      </c>
      <c r="P1454" s="181">
        <v>131.31799999999998</v>
      </c>
      <c r="Q1454" s="181">
        <v>169406190.21919999</v>
      </c>
      <c r="R1454" s="181">
        <v>1558409.7863999999</v>
      </c>
      <c r="S1454" s="181">
        <v>1335545.7159999998</v>
      </c>
      <c r="T1454" s="181">
        <v>101.092</v>
      </c>
      <c r="U1454" s="181">
        <v>346304546.09919995</v>
      </c>
      <c r="V1454" s="181">
        <v>0</v>
      </c>
    </row>
    <row r="1455" spans="1:22">
      <c r="A1455" s="2" t="s">
        <v>2928</v>
      </c>
      <c r="B1455" s="2" t="s">
        <v>2929</v>
      </c>
      <c r="C1455" s="181">
        <v>112.95134400000001</v>
      </c>
      <c r="D1455" s="181">
        <v>13483.843999999999</v>
      </c>
      <c r="E1455" s="181">
        <v>0</v>
      </c>
      <c r="F1455" s="181">
        <v>0</v>
      </c>
      <c r="G1455" s="181">
        <v>0</v>
      </c>
      <c r="H1455" s="181">
        <v>0</v>
      </c>
      <c r="I1455" s="181">
        <v>0</v>
      </c>
      <c r="J1455" s="181">
        <v>0</v>
      </c>
      <c r="K1455" s="181">
        <v>0</v>
      </c>
      <c r="L1455" s="181">
        <v>0</v>
      </c>
      <c r="M1455" s="181">
        <v>238500606.86879998</v>
      </c>
      <c r="N1455" s="181">
        <v>1619041.9231999998</v>
      </c>
      <c r="O1455" s="181">
        <v>1340461.8351999999</v>
      </c>
      <c r="P1455" s="181">
        <v>132.84200000000001</v>
      </c>
      <c r="Q1455" s="181">
        <v>141934916.12959999</v>
      </c>
      <c r="R1455" s="181">
        <v>1286384.524</v>
      </c>
      <c r="S1455" s="181">
        <v>1115959.0583999997</v>
      </c>
      <c r="T1455" s="181">
        <v>102.616</v>
      </c>
      <c r="U1455" s="181">
        <v>285118526.53599995</v>
      </c>
      <c r="V1455" s="181">
        <v>0</v>
      </c>
    </row>
    <row r="1456" spans="1:22">
      <c r="A1456" s="2" t="s">
        <v>2930</v>
      </c>
      <c r="B1456" s="2" t="s">
        <v>2931</v>
      </c>
      <c r="C1456" s="181">
        <v>86.313279999999992</v>
      </c>
      <c r="D1456" s="181">
        <v>10322.56</v>
      </c>
      <c r="E1456" s="181">
        <v>0</v>
      </c>
      <c r="F1456" s="181">
        <v>0</v>
      </c>
      <c r="G1456" s="181">
        <v>0</v>
      </c>
      <c r="H1456" s="181">
        <v>0</v>
      </c>
      <c r="I1456" s="181">
        <v>0</v>
      </c>
      <c r="J1456" s="181">
        <v>0</v>
      </c>
      <c r="K1456" s="181">
        <v>0</v>
      </c>
      <c r="L1456" s="181">
        <v>0</v>
      </c>
      <c r="M1456" s="181">
        <v>186055447.24319997</v>
      </c>
      <c r="N1456" s="181">
        <v>1250332.9831999999</v>
      </c>
      <c r="O1456" s="181">
        <v>1047133.3895999999</v>
      </c>
      <c r="P1456" s="181">
        <v>134.36599999999999</v>
      </c>
      <c r="Q1456" s="181">
        <v>111133790.63519999</v>
      </c>
      <c r="R1456" s="181">
        <v>994694.78479999991</v>
      </c>
      <c r="S1456" s="181">
        <v>875069.21759999986</v>
      </c>
      <c r="T1456" s="181">
        <v>103.886</v>
      </c>
      <c r="U1456" s="181">
        <v>219770192.71679997</v>
      </c>
      <c r="V1456" s="181">
        <v>0</v>
      </c>
    </row>
    <row r="1457" spans="1:22">
      <c r="A1457" s="2" t="s">
        <v>2932</v>
      </c>
      <c r="B1457" s="2" t="s">
        <v>2933</v>
      </c>
      <c r="C1457" s="181">
        <v>72.622207999999986</v>
      </c>
      <c r="D1457" s="181">
        <v>8645.1440000000002</v>
      </c>
      <c r="E1457" s="181">
        <v>0</v>
      </c>
      <c r="F1457" s="181">
        <v>0</v>
      </c>
      <c r="G1457" s="181">
        <v>0</v>
      </c>
      <c r="H1457" s="181">
        <v>0</v>
      </c>
      <c r="I1457" s="181">
        <v>0</v>
      </c>
      <c r="J1457" s="181">
        <v>0</v>
      </c>
      <c r="K1457" s="181">
        <v>0</v>
      </c>
      <c r="L1457" s="181">
        <v>0</v>
      </c>
      <c r="M1457" s="181">
        <v>158167941.72799999</v>
      </c>
      <c r="N1457" s="181">
        <v>1058604.3343999998</v>
      </c>
      <c r="O1457" s="181">
        <v>889817.57519999985</v>
      </c>
      <c r="P1457" s="181">
        <v>135.12799999999999</v>
      </c>
      <c r="Q1457" s="181">
        <v>94484533.61119999</v>
      </c>
      <c r="R1457" s="181">
        <v>842295.08959999995</v>
      </c>
      <c r="S1457" s="181">
        <v>745611.41199999989</v>
      </c>
      <c r="T1457" s="181">
        <v>104.648</v>
      </c>
      <c r="U1457" s="181">
        <v>185639215.81759998</v>
      </c>
      <c r="V1457" s="181">
        <v>0</v>
      </c>
    </row>
    <row r="1458" spans="1:22">
      <c r="A1458" s="2" t="s">
        <v>2934</v>
      </c>
      <c r="B1458" s="2" t="s">
        <v>2935</v>
      </c>
      <c r="C1458" s="181">
        <v>58.633503999999995</v>
      </c>
      <c r="D1458" s="181">
        <v>6967.7280000000001</v>
      </c>
      <c r="E1458" s="181">
        <v>0</v>
      </c>
      <c r="F1458" s="181">
        <v>0</v>
      </c>
      <c r="G1458" s="181">
        <v>0</v>
      </c>
      <c r="H1458" s="181">
        <v>0</v>
      </c>
      <c r="I1458" s="181">
        <v>0</v>
      </c>
      <c r="J1458" s="181">
        <v>0</v>
      </c>
      <c r="K1458" s="181">
        <v>0</v>
      </c>
      <c r="L1458" s="181">
        <v>0</v>
      </c>
      <c r="M1458" s="181">
        <v>129031741.93599999</v>
      </c>
      <c r="N1458" s="181">
        <v>858682.15359999985</v>
      </c>
      <c r="O1458" s="181">
        <v>725946.93519999983</v>
      </c>
      <c r="P1458" s="181">
        <v>135.88999999999999</v>
      </c>
      <c r="Q1458" s="181">
        <v>77419045.161599994</v>
      </c>
      <c r="R1458" s="181">
        <v>684979.27519999992</v>
      </c>
      <c r="S1458" s="181">
        <v>609598.78079999995</v>
      </c>
      <c r="T1458" s="181">
        <v>105.15599999999999</v>
      </c>
      <c r="U1458" s="181">
        <v>150675776.06719998</v>
      </c>
      <c r="V1458" s="181">
        <v>0</v>
      </c>
    </row>
    <row r="1459" spans="1:22">
      <c r="A1459" s="2" t="s">
        <v>2936</v>
      </c>
      <c r="B1459" s="2" t="s">
        <v>2937</v>
      </c>
      <c r="C1459" s="181">
        <v>113.24897599999998</v>
      </c>
      <c r="D1459" s="181">
        <v>13548.359999999999</v>
      </c>
      <c r="E1459" s="181">
        <v>0</v>
      </c>
      <c r="F1459" s="181">
        <v>0</v>
      </c>
      <c r="G1459" s="181">
        <v>0</v>
      </c>
      <c r="H1459" s="181">
        <v>0</v>
      </c>
      <c r="I1459" s="181">
        <v>0</v>
      </c>
      <c r="J1459" s="181">
        <v>0</v>
      </c>
      <c r="K1459" s="181">
        <v>0</v>
      </c>
      <c r="L1459" s="181">
        <v>0</v>
      </c>
      <c r="M1459" s="181">
        <v>198958621.43679997</v>
      </c>
      <c r="N1459" s="181">
        <v>1453532.5767999999</v>
      </c>
      <c r="O1459" s="181">
        <v>1119236.4711999998</v>
      </c>
      <c r="P1459" s="181">
        <v>121.15799999999999</v>
      </c>
      <c r="Q1459" s="181">
        <v>51612696.774399996</v>
      </c>
      <c r="R1459" s="181">
        <v>793133.89759999991</v>
      </c>
      <c r="S1459" s="181">
        <v>675147.0368</v>
      </c>
      <c r="T1459" s="181">
        <v>61.722000000000001</v>
      </c>
      <c r="U1459" s="181">
        <v>139021296.15039998</v>
      </c>
      <c r="V1459" s="181">
        <v>0</v>
      </c>
    </row>
    <row r="1460" spans="1:22">
      <c r="A1460" s="2" t="s">
        <v>2938</v>
      </c>
      <c r="B1460" s="2" t="s">
        <v>2939</v>
      </c>
      <c r="C1460" s="181">
        <v>92.712367999999998</v>
      </c>
      <c r="D1460" s="181">
        <v>11096.751999999999</v>
      </c>
      <c r="E1460" s="181">
        <v>0</v>
      </c>
      <c r="F1460" s="181">
        <v>0</v>
      </c>
      <c r="G1460" s="181">
        <v>0</v>
      </c>
      <c r="H1460" s="181">
        <v>0</v>
      </c>
      <c r="I1460" s="181">
        <v>0</v>
      </c>
      <c r="J1460" s="181">
        <v>0</v>
      </c>
      <c r="K1460" s="181">
        <v>0</v>
      </c>
      <c r="L1460" s="181">
        <v>0</v>
      </c>
      <c r="M1460" s="181">
        <v>167325033.09119999</v>
      </c>
      <c r="N1460" s="181">
        <v>1206087.9103999997</v>
      </c>
      <c r="O1460" s="181">
        <v>940617.47359999991</v>
      </c>
      <c r="P1460" s="181">
        <v>122.93599999999999</v>
      </c>
      <c r="Q1460" s="181">
        <v>43704299.687999994</v>
      </c>
      <c r="R1460" s="181">
        <v>662037.38559999992</v>
      </c>
      <c r="S1460" s="181">
        <v>575185.94640000002</v>
      </c>
      <c r="T1460" s="181">
        <v>62.991999999999997</v>
      </c>
      <c r="U1460" s="181">
        <v>116128567.74239999</v>
      </c>
      <c r="V1460" s="181">
        <v>0</v>
      </c>
    </row>
    <row r="1461" spans="1:22">
      <c r="A1461" s="2" t="s">
        <v>2940</v>
      </c>
      <c r="B1461" s="2" t="s">
        <v>2941</v>
      </c>
      <c r="C1461" s="181">
        <v>71.134047999999993</v>
      </c>
      <c r="D1461" s="181">
        <v>8516.1119999999992</v>
      </c>
      <c r="E1461" s="181">
        <v>0</v>
      </c>
      <c r="F1461" s="181">
        <v>0</v>
      </c>
      <c r="G1461" s="181">
        <v>0</v>
      </c>
      <c r="H1461" s="181">
        <v>0</v>
      </c>
      <c r="I1461" s="181">
        <v>0</v>
      </c>
      <c r="J1461" s="181">
        <v>0</v>
      </c>
      <c r="K1461" s="181">
        <v>0</v>
      </c>
      <c r="L1461" s="181">
        <v>0</v>
      </c>
      <c r="M1461" s="181">
        <v>131945361.91519998</v>
      </c>
      <c r="N1461" s="181">
        <v>938978.76719999989</v>
      </c>
      <c r="O1461" s="181">
        <v>742333.99919999985</v>
      </c>
      <c r="P1461" s="181">
        <v>124.714</v>
      </c>
      <c r="Q1461" s="181">
        <v>35005062.892959997</v>
      </c>
      <c r="R1461" s="181">
        <v>517831.22239999997</v>
      </c>
      <c r="S1461" s="181">
        <v>458837.79199999996</v>
      </c>
      <c r="T1461" s="181">
        <v>64.261999999999986</v>
      </c>
      <c r="U1461" s="181">
        <v>91154682.206399992</v>
      </c>
      <c r="V1461" s="181">
        <v>0</v>
      </c>
    </row>
    <row r="1462" spans="1:22">
      <c r="A1462" s="2" t="s">
        <v>2942</v>
      </c>
      <c r="B1462" s="2" t="s">
        <v>2943</v>
      </c>
      <c r="C1462" s="181">
        <v>59.972847999999992</v>
      </c>
      <c r="D1462" s="181">
        <v>7161.2759999999998</v>
      </c>
      <c r="E1462" s="181">
        <v>0</v>
      </c>
      <c r="F1462" s="181">
        <v>0</v>
      </c>
      <c r="G1462" s="181">
        <v>0</v>
      </c>
      <c r="H1462" s="181">
        <v>0</v>
      </c>
      <c r="I1462" s="181">
        <v>0</v>
      </c>
      <c r="J1462" s="181">
        <v>0</v>
      </c>
      <c r="K1462" s="181">
        <v>0</v>
      </c>
      <c r="L1462" s="181">
        <v>0</v>
      </c>
      <c r="M1462" s="181">
        <v>112798716.33759999</v>
      </c>
      <c r="N1462" s="181">
        <v>796411.31039999996</v>
      </c>
      <c r="O1462" s="181">
        <v>634179.37679999997</v>
      </c>
      <c r="P1462" s="181">
        <v>125.476</v>
      </c>
      <c r="Q1462" s="181">
        <v>30093532.070879996</v>
      </c>
      <c r="R1462" s="181">
        <v>440812.02159999992</v>
      </c>
      <c r="S1462" s="181">
        <v>394928.24239999999</v>
      </c>
      <c r="T1462" s="181">
        <v>64.77</v>
      </c>
      <c r="U1462" s="181">
        <v>77419045.161599994</v>
      </c>
      <c r="V1462" s="181">
        <v>0</v>
      </c>
    </row>
    <row r="1463" spans="1:22">
      <c r="A1463" s="2" t="s">
        <v>2944</v>
      </c>
      <c r="B1463" s="2" t="s">
        <v>2945</v>
      </c>
      <c r="C1463" s="181">
        <v>48.514015999999998</v>
      </c>
      <c r="D1463" s="181">
        <v>5780.6336000000001</v>
      </c>
      <c r="E1463" s="181">
        <v>0</v>
      </c>
      <c r="F1463" s="181">
        <v>0</v>
      </c>
      <c r="G1463" s="181">
        <v>0</v>
      </c>
      <c r="H1463" s="181">
        <v>0</v>
      </c>
      <c r="I1463" s="181">
        <v>0</v>
      </c>
      <c r="J1463" s="181">
        <v>0</v>
      </c>
      <c r="K1463" s="181">
        <v>0</v>
      </c>
      <c r="L1463" s="181">
        <v>0</v>
      </c>
      <c r="M1463" s="181">
        <v>92403376.483199984</v>
      </c>
      <c r="N1463" s="181">
        <v>648927.73439999996</v>
      </c>
      <c r="O1463" s="181">
        <v>519469.92879999994</v>
      </c>
      <c r="P1463" s="181">
        <v>126.492</v>
      </c>
      <c r="Q1463" s="181">
        <v>24807392.965759996</v>
      </c>
      <c r="R1463" s="181">
        <v>360515.40799999994</v>
      </c>
      <c r="S1463" s="181">
        <v>326102.57359999995</v>
      </c>
      <c r="T1463" s="181">
        <v>65.531999999999996</v>
      </c>
      <c r="U1463" s="181">
        <v>63267176.691199996</v>
      </c>
      <c r="V1463" s="181">
        <v>0</v>
      </c>
    </row>
    <row r="1464" spans="1:22">
      <c r="A1464" s="2" t="s">
        <v>2946</v>
      </c>
      <c r="B1464" s="2" t="s">
        <v>2947</v>
      </c>
      <c r="C1464" s="181">
        <v>36.757551999999997</v>
      </c>
      <c r="D1464" s="181">
        <v>4361.2815999999993</v>
      </c>
      <c r="E1464" s="181">
        <v>0</v>
      </c>
      <c r="F1464" s="181">
        <v>0</v>
      </c>
      <c r="G1464" s="181">
        <v>0</v>
      </c>
      <c r="H1464" s="181">
        <v>0</v>
      </c>
      <c r="I1464" s="181">
        <v>0</v>
      </c>
      <c r="J1464" s="181">
        <v>0</v>
      </c>
      <c r="K1464" s="181">
        <v>0</v>
      </c>
      <c r="L1464" s="181">
        <v>0</v>
      </c>
      <c r="M1464" s="181">
        <v>70759342.351999998</v>
      </c>
      <c r="N1464" s="181">
        <v>493250.62639999995</v>
      </c>
      <c r="O1464" s="181">
        <v>398205.65519999998</v>
      </c>
      <c r="P1464" s="181">
        <v>127.25399999999999</v>
      </c>
      <c r="Q1464" s="181">
        <v>19105022.435039997</v>
      </c>
      <c r="R1464" s="181">
        <v>273663.96879999997</v>
      </c>
      <c r="S1464" s="181">
        <v>250722.07919999998</v>
      </c>
      <c r="T1464" s="181">
        <v>66.293999999999997</v>
      </c>
      <c r="U1464" s="181">
        <v>48282845.369599998</v>
      </c>
      <c r="V1464" s="181">
        <v>0</v>
      </c>
    </row>
    <row r="1465" spans="1:22">
      <c r="A1465" s="2" t="s">
        <v>2948</v>
      </c>
      <c r="B1465" s="2" t="s">
        <v>2949</v>
      </c>
      <c r="C1465" s="181">
        <v>100.59961599999998</v>
      </c>
      <c r="D1465" s="181">
        <v>12064.491999999998</v>
      </c>
      <c r="E1465" s="181">
        <v>0</v>
      </c>
      <c r="F1465" s="181">
        <v>0</v>
      </c>
      <c r="G1465" s="181">
        <v>0</v>
      </c>
      <c r="H1465" s="181">
        <v>0</v>
      </c>
      <c r="I1465" s="181">
        <v>0</v>
      </c>
      <c r="J1465" s="181">
        <v>0</v>
      </c>
      <c r="K1465" s="181">
        <v>0</v>
      </c>
      <c r="L1465" s="181">
        <v>0</v>
      </c>
      <c r="M1465" s="181">
        <v>155254321.74879998</v>
      </c>
      <c r="N1465" s="181">
        <v>1197894.3783999998</v>
      </c>
      <c r="O1465" s="181">
        <v>873430.51119999983</v>
      </c>
      <c r="P1465" s="181">
        <v>113.53799999999998</v>
      </c>
      <c r="Q1465" s="181">
        <v>19646123.288319997</v>
      </c>
      <c r="R1465" s="181">
        <v>467031.32399999996</v>
      </c>
      <c r="S1465" s="181">
        <v>386734.71039999998</v>
      </c>
      <c r="T1465" s="181">
        <v>40.386000000000003</v>
      </c>
      <c r="U1465" s="181">
        <v>61602250.988799997</v>
      </c>
      <c r="V1465" s="181">
        <v>0</v>
      </c>
    </row>
    <row r="1466" spans="1:22">
      <c r="A1466" s="2" t="s">
        <v>2950</v>
      </c>
      <c r="B1466" s="2" t="s">
        <v>2951</v>
      </c>
      <c r="C1466" s="181">
        <v>82.592879999999994</v>
      </c>
      <c r="D1466" s="181">
        <v>9870.9480000000003</v>
      </c>
      <c r="E1466" s="181">
        <v>0</v>
      </c>
      <c r="F1466" s="181">
        <v>0</v>
      </c>
      <c r="G1466" s="181">
        <v>0</v>
      </c>
      <c r="H1466" s="181">
        <v>0</v>
      </c>
      <c r="I1466" s="181">
        <v>0</v>
      </c>
      <c r="J1466" s="181">
        <v>0</v>
      </c>
      <c r="K1466" s="181">
        <v>0</v>
      </c>
      <c r="L1466" s="181">
        <v>0</v>
      </c>
      <c r="M1466" s="181">
        <v>131945361.91519998</v>
      </c>
      <c r="N1466" s="181">
        <v>999610.90399999986</v>
      </c>
      <c r="O1466" s="181">
        <v>742333.99919999985</v>
      </c>
      <c r="P1466" s="181">
        <v>115.57</v>
      </c>
      <c r="Q1466" s="181">
        <v>17148734.734719999</v>
      </c>
      <c r="R1466" s="181">
        <v>394928.24239999999</v>
      </c>
      <c r="S1466" s="181">
        <v>337573.5184</v>
      </c>
      <c r="T1466" s="181">
        <v>41.655999999999992</v>
      </c>
      <c r="U1466" s="181">
        <v>52861391.051199995</v>
      </c>
      <c r="V1466" s="181">
        <v>0</v>
      </c>
    </row>
    <row r="1467" spans="1:22">
      <c r="A1467" s="2" t="s">
        <v>2952</v>
      </c>
      <c r="B1467" s="2" t="s">
        <v>2953</v>
      </c>
      <c r="C1467" s="181">
        <v>63.544432</v>
      </c>
      <c r="D1467" s="181">
        <v>7612.8879999999999</v>
      </c>
      <c r="E1467" s="181">
        <v>0</v>
      </c>
      <c r="F1467" s="181">
        <v>0</v>
      </c>
      <c r="G1467" s="181">
        <v>0</v>
      </c>
      <c r="H1467" s="181">
        <v>0</v>
      </c>
      <c r="I1467" s="181">
        <v>0</v>
      </c>
      <c r="J1467" s="181">
        <v>0</v>
      </c>
      <c r="K1467" s="181">
        <v>0</v>
      </c>
      <c r="L1467" s="181">
        <v>0</v>
      </c>
      <c r="M1467" s="181">
        <v>104890319.25119999</v>
      </c>
      <c r="N1467" s="181">
        <v>783301.65919999988</v>
      </c>
      <c r="O1467" s="181">
        <v>589934.304</v>
      </c>
      <c r="P1467" s="181">
        <v>117.60199999999999</v>
      </c>
      <c r="Q1467" s="181">
        <v>13985375.90016</v>
      </c>
      <c r="R1467" s="181">
        <v>312992.92239999998</v>
      </c>
      <c r="S1467" s="181">
        <v>275302.6752</v>
      </c>
      <c r="T1467" s="181">
        <v>42.925999999999995</v>
      </c>
      <c r="U1467" s="181">
        <v>42455605.411199994</v>
      </c>
      <c r="V1467" s="181">
        <v>0</v>
      </c>
    </row>
    <row r="1468" spans="1:22">
      <c r="A1468" s="2" t="s">
        <v>2954</v>
      </c>
      <c r="B1468" s="2" t="s">
        <v>2955</v>
      </c>
      <c r="C1468" s="181">
        <v>53.57376</v>
      </c>
      <c r="D1468" s="181">
        <v>6399.9871999999996</v>
      </c>
      <c r="E1468" s="181">
        <v>0</v>
      </c>
      <c r="F1468" s="181">
        <v>0</v>
      </c>
      <c r="G1468" s="181">
        <v>0</v>
      </c>
      <c r="H1468" s="181">
        <v>0</v>
      </c>
      <c r="I1468" s="181">
        <v>0</v>
      </c>
      <c r="J1468" s="181">
        <v>0</v>
      </c>
      <c r="K1468" s="181">
        <v>0</v>
      </c>
      <c r="L1468" s="181">
        <v>0</v>
      </c>
      <c r="M1468" s="181">
        <v>89905987.929599985</v>
      </c>
      <c r="N1468" s="181">
        <v>665314.79839999997</v>
      </c>
      <c r="O1468" s="181">
        <v>506360.27759999991</v>
      </c>
      <c r="P1468" s="181">
        <v>118.61799999999999</v>
      </c>
      <c r="Q1468" s="181">
        <v>12153957.627519999</v>
      </c>
      <c r="R1468" s="181">
        <v>268747.84959999996</v>
      </c>
      <c r="S1468" s="181">
        <v>239251.13439999998</v>
      </c>
      <c r="T1468" s="181">
        <v>43.687999999999995</v>
      </c>
      <c r="U1468" s="181">
        <v>36503496.025119998</v>
      </c>
      <c r="V1468" s="181">
        <v>0</v>
      </c>
    </row>
    <row r="1469" spans="1:22">
      <c r="A1469" s="2" t="s">
        <v>2956</v>
      </c>
      <c r="B1469" s="2" t="s">
        <v>2957</v>
      </c>
      <c r="C1469" s="181">
        <v>43.454271999999996</v>
      </c>
      <c r="D1469" s="181">
        <v>5180.6347999999989</v>
      </c>
      <c r="E1469" s="181">
        <v>0</v>
      </c>
      <c r="F1469" s="181">
        <v>0</v>
      </c>
      <c r="G1469" s="181">
        <v>0</v>
      </c>
      <c r="H1469" s="181">
        <v>0</v>
      </c>
      <c r="I1469" s="181">
        <v>0</v>
      </c>
      <c r="J1469" s="181">
        <v>0</v>
      </c>
      <c r="K1469" s="181">
        <v>0</v>
      </c>
      <c r="L1469" s="181">
        <v>0</v>
      </c>
      <c r="M1469" s="181">
        <v>74089193.756799996</v>
      </c>
      <c r="N1469" s="181">
        <v>544050.52480000001</v>
      </c>
      <c r="O1469" s="181">
        <v>416231.42559999996</v>
      </c>
      <c r="P1469" s="181">
        <v>119.63399999999999</v>
      </c>
      <c r="Q1469" s="181">
        <v>10156046.784639999</v>
      </c>
      <c r="R1469" s="181">
        <v>221225.36399999997</v>
      </c>
      <c r="S1469" s="181">
        <v>199922.18079999997</v>
      </c>
      <c r="T1469" s="181">
        <v>44.195999999999998</v>
      </c>
      <c r="U1469" s="181">
        <v>30135155.213440001</v>
      </c>
      <c r="V1469" s="181">
        <v>0</v>
      </c>
    </row>
    <row r="1470" spans="1:22">
      <c r="A1470" s="2" t="s">
        <v>2958</v>
      </c>
      <c r="B1470" s="2" t="s">
        <v>2959</v>
      </c>
      <c r="C1470" s="181">
        <v>33.037151999999999</v>
      </c>
      <c r="D1470" s="181">
        <v>3909.6695999999997</v>
      </c>
      <c r="E1470" s="181">
        <v>0</v>
      </c>
      <c r="F1470" s="181">
        <v>0</v>
      </c>
      <c r="G1470" s="181">
        <v>0</v>
      </c>
      <c r="H1470" s="181">
        <v>0</v>
      </c>
      <c r="I1470" s="181">
        <v>0</v>
      </c>
      <c r="J1470" s="181">
        <v>0</v>
      </c>
      <c r="K1470" s="181">
        <v>0</v>
      </c>
      <c r="L1470" s="181">
        <v>0</v>
      </c>
      <c r="M1470" s="181">
        <v>57023705.307199992</v>
      </c>
      <c r="N1470" s="181">
        <v>414592.71919999999</v>
      </c>
      <c r="O1470" s="181">
        <v>319547.74799999996</v>
      </c>
      <c r="P1470" s="181">
        <v>120.396</v>
      </c>
      <c r="Q1470" s="181">
        <v>7908397.0863999994</v>
      </c>
      <c r="R1470" s="181">
        <v>168786.7592</v>
      </c>
      <c r="S1470" s="181">
        <v>155349.36671999999</v>
      </c>
      <c r="T1470" s="181">
        <v>44.957999999999998</v>
      </c>
      <c r="U1470" s="181">
        <v>23225713.548479997</v>
      </c>
      <c r="V1470" s="181">
        <v>0</v>
      </c>
    </row>
    <row r="1471" spans="1:22">
      <c r="A1471" s="2" t="s">
        <v>2960</v>
      </c>
      <c r="B1471" s="2" t="s">
        <v>2961</v>
      </c>
      <c r="C1471" s="181">
        <v>138.54769599999997</v>
      </c>
      <c r="D1471" s="181">
        <v>16580.611999999997</v>
      </c>
      <c r="E1471" s="181">
        <v>0</v>
      </c>
      <c r="F1471" s="181">
        <v>0</v>
      </c>
      <c r="G1471" s="181">
        <v>0</v>
      </c>
      <c r="H1471" s="181">
        <v>0</v>
      </c>
      <c r="I1471" s="181">
        <v>0</v>
      </c>
      <c r="J1471" s="181">
        <v>0</v>
      </c>
      <c r="K1471" s="181">
        <v>0</v>
      </c>
      <c r="L1471" s="181">
        <v>0</v>
      </c>
      <c r="M1471" s="181">
        <v>228094821.22879997</v>
      </c>
      <c r="N1471" s="181">
        <v>1786189.9759999998</v>
      </c>
      <c r="O1471" s="181">
        <v>1497777.6495999999</v>
      </c>
      <c r="P1471" s="181">
        <v>117.348</v>
      </c>
      <c r="Q1471" s="181">
        <v>228094821.22879997</v>
      </c>
      <c r="R1471" s="181">
        <v>1786189.9759999998</v>
      </c>
      <c r="S1471" s="181">
        <v>1497777.6495999999</v>
      </c>
      <c r="T1471" s="181">
        <v>117.348</v>
      </c>
      <c r="U1471" s="181">
        <v>368364811.65599996</v>
      </c>
      <c r="V1471" s="181">
        <v>0</v>
      </c>
    </row>
    <row r="1472" spans="1:22">
      <c r="A1472" s="2" t="s">
        <v>2962</v>
      </c>
      <c r="B1472" s="2" t="s">
        <v>2963</v>
      </c>
      <c r="C1472" s="181">
        <v>112.95134400000001</v>
      </c>
      <c r="D1472" s="181">
        <v>13483.843999999999</v>
      </c>
      <c r="E1472" s="181">
        <v>0</v>
      </c>
      <c r="F1472" s="181">
        <v>0</v>
      </c>
      <c r="G1472" s="181">
        <v>0</v>
      </c>
      <c r="H1472" s="181">
        <v>0</v>
      </c>
      <c r="I1472" s="181">
        <v>0</v>
      </c>
      <c r="J1472" s="181">
        <v>0</v>
      </c>
      <c r="K1472" s="181">
        <v>0</v>
      </c>
      <c r="L1472" s="181">
        <v>0</v>
      </c>
      <c r="M1472" s="181">
        <v>190217761.49919999</v>
      </c>
      <c r="N1472" s="181">
        <v>1468280.9343999997</v>
      </c>
      <c r="O1472" s="181">
        <v>1248694.2767999999</v>
      </c>
      <c r="P1472" s="181">
        <v>118.87199999999999</v>
      </c>
      <c r="Q1472" s="181">
        <v>190217761.49919999</v>
      </c>
      <c r="R1472" s="181">
        <v>1468280.9343999997</v>
      </c>
      <c r="S1472" s="181">
        <v>1248694.2767999999</v>
      </c>
      <c r="T1472" s="181">
        <v>118.87199999999999</v>
      </c>
      <c r="U1472" s="181">
        <v>303016477.83679998</v>
      </c>
      <c r="V1472" s="181">
        <v>0</v>
      </c>
    </row>
    <row r="1473" spans="1:22">
      <c r="A1473" s="2" t="s">
        <v>2964</v>
      </c>
      <c r="B1473" s="2" t="s">
        <v>2965</v>
      </c>
      <c r="C1473" s="181">
        <v>86.313279999999992</v>
      </c>
      <c r="D1473" s="181">
        <v>10322.56</v>
      </c>
      <c r="E1473" s="181">
        <v>0</v>
      </c>
      <c r="F1473" s="181">
        <v>0</v>
      </c>
      <c r="G1473" s="181">
        <v>0</v>
      </c>
      <c r="H1473" s="181">
        <v>0</v>
      </c>
      <c r="I1473" s="181">
        <v>0</v>
      </c>
      <c r="J1473" s="181">
        <v>0</v>
      </c>
      <c r="K1473" s="181">
        <v>0</v>
      </c>
      <c r="L1473" s="181">
        <v>0</v>
      </c>
      <c r="M1473" s="181">
        <v>148594618.93919998</v>
      </c>
      <c r="N1473" s="181">
        <v>1133984.8288</v>
      </c>
      <c r="O1473" s="181">
        <v>975030.30799999996</v>
      </c>
      <c r="P1473" s="181">
        <v>120.14200000000001</v>
      </c>
      <c r="Q1473" s="181">
        <v>148594618.93919998</v>
      </c>
      <c r="R1473" s="181">
        <v>1133984.8288</v>
      </c>
      <c r="S1473" s="181">
        <v>975030.30799999996</v>
      </c>
      <c r="T1473" s="181">
        <v>120.14200000000001</v>
      </c>
      <c r="U1473" s="181">
        <v>233505829.76159999</v>
      </c>
      <c r="V1473" s="181">
        <v>0</v>
      </c>
    </row>
    <row r="1474" spans="1:22">
      <c r="A1474" s="2" t="s">
        <v>2966</v>
      </c>
      <c r="B1474" s="2" t="s">
        <v>2967</v>
      </c>
      <c r="C1474" s="181">
        <v>72.622207999999986</v>
      </c>
      <c r="D1474" s="181">
        <v>8645.1440000000002</v>
      </c>
      <c r="E1474" s="181">
        <v>0</v>
      </c>
      <c r="F1474" s="181">
        <v>0</v>
      </c>
      <c r="G1474" s="181">
        <v>0</v>
      </c>
      <c r="H1474" s="181">
        <v>0</v>
      </c>
      <c r="I1474" s="181">
        <v>0</v>
      </c>
      <c r="J1474" s="181">
        <v>0</v>
      </c>
      <c r="K1474" s="181">
        <v>0</v>
      </c>
      <c r="L1474" s="181">
        <v>0</v>
      </c>
      <c r="M1474" s="181">
        <v>126534353.38239999</v>
      </c>
      <c r="N1474" s="181">
        <v>960281.95039999997</v>
      </c>
      <c r="O1474" s="181">
        <v>830824.14480000001</v>
      </c>
      <c r="P1474" s="181">
        <v>120.90399999999998</v>
      </c>
      <c r="Q1474" s="181">
        <v>126534353.38239999</v>
      </c>
      <c r="R1474" s="181">
        <v>960281.95039999997</v>
      </c>
      <c r="S1474" s="181">
        <v>830824.14480000001</v>
      </c>
      <c r="T1474" s="181">
        <v>120.90399999999998</v>
      </c>
      <c r="U1474" s="181">
        <v>197293695.73439997</v>
      </c>
      <c r="V1474" s="181">
        <v>0</v>
      </c>
    </row>
    <row r="1475" spans="1:22">
      <c r="A1475" s="2" t="s">
        <v>2968</v>
      </c>
      <c r="B1475" s="2" t="s">
        <v>2969</v>
      </c>
      <c r="C1475" s="181">
        <v>58.633503999999995</v>
      </c>
      <c r="D1475" s="181">
        <v>6967.7280000000001</v>
      </c>
      <c r="E1475" s="181">
        <v>0</v>
      </c>
      <c r="F1475" s="181">
        <v>0</v>
      </c>
      <c r="G1475" s="181">
        <v>0</v>
      </c>
      <c r="H1475" s="181">
        <v>0</v>
      </c>
      <c r="I1475" s="181">
        <v>0</v>
      </c>
      <c r="J1475" s="181">
        <v>0</v>
      </c>
      <c r="K1475" s="181">
        <v>0</v>
      </c>
      <c r="L1475" s="181">
        <v>0</v>
      </c>
      <c r="M1475" s="181">
        <v>103225393.54879999</v>
      </c>
      <c r="N1475" s="181">
        <v>780024.24639999995</v>
      </c>
      <c r="O1475" s="181">
        <v>678424.44959999993</v>
      </c>
      <c r="P1475" s="181">
        <v>121.666</v>
      </c>
      <c r="Q1475" s="181">
        <v>103225393.54879999</v>
      </c>
      <c r="R1475" s="181">
        <v>780024.24639999995</v>
      </c>
      <c r="S1475" s="181">
        <v>678424.44959999993</v>
      </c>
      <c r="T1475" s="181">
        <v>121.666</v>
      </c>
      <c r="U1475" s="181">
        <v>159832867.43039998</v>
      </c>
      <c r="V1475" s="181">
        <v>0</v>
      </c>
    </row>
    <row r="1476" spans="1:22">
      <c r="A1476" s="2" t="s">
        <v>2970</v>
      </c>
      <c r="B1476" s="2" t="s">
        <v>2971</v>
      </c>
      <c r="C1476" s="181">
        <v>102.83185599999999</v>
      </c>
      <c r="D1476" s="181">
        <v>12258.039999999999</v>
      </c>
      <c r="E1476" s="181">
        <v>0</v>
      </c>
      <c r="F1476" s="181">
        <v>0</v>
      </c>
      <c r="G1476" s="181">
        <v>0</v>
      </c>
      <c r="H1476" s="181">
        <v>0</v>
      </c>
      <c r="I1476" s="181">
        <v>0</v>
      </c>
      <c r="J1476" s="181">
        <v>0</v>
      </c>
      <c r="K1476" s="181">
        <v>0</v>
      </c>
      <c r="L1476" s="181">
        <v>0</v>
      </c>
      <c r="M1476" s="181">
        <v>164411413.11199999</v>
      </c>
      <c r="N1476" s="181">
        <v>1291300.6431999998</v>
      </c>
      <c r="O1476" s="181">
        <v>1079907.5175999999</v>
      </c>
      <c r="P1476" s="181">
        <v>115.82399999999998</v>
      </c>
      <c r="Q1476" s="181">
        <v>124036964.82879999</v>
      </c>
      <c r="R1476" s="181">
        <v>1140539.6543999999</v>
      </c>
      <c r="S1476" s="181">
        <v>978307.72080000001</v>
      </c>
      <c r="T1476" s="181">
        <v>100.58399999999999</v>
      </c>
      <c r="U1476" s="181">
        <v>226846126.95199999</v>
      </c>
      <c r="V1476" s="181">
        <v>0</v>
      </c>
    </row>
    <row r="1477" spans="1:22">
      <c r="A1477" s="2" t="s">
        <v>2972</v>
      </c>
      <c r="B1477" s="2" t="s">
        <v>2973</v>
      </c>
      <c r="C1477" s="181">
        <v>78.723663999999999</v>
      </c>
      <c r="D1477" s="181">
        <v>9419.3359999999993</v>
      </c>
      <c r="E1477" s="181">
        <v>0</v>
      </c>
      <c r="F1477" s="181">
        <v>0</v>
      </c>
      <c r="G1477" s="181">
        <v>0</v>
      </c>
      <c r="H1477" s="181">
        <v>0</v>
      </c>
      <c r="I1477" s="181">
        <v>0</v>
      </c>
      <c r="J1477" s="181">
        <v>0</v>
      </c>
      <c r="K1477" s="181">
        <v>0</v>
      </c>
      <c r="L1477" s="181">
        <v>0</v>
      </c>
      <c r="M1477" s="181">
        <v>129031741.93599999</v>
      </c>
      <c r="N1477" s="181">
        <v>1001249.6103999999</v>
      </c>
      <c r="O1477" s="181">
        <v>845572.5024</v>
      </c>
      <c r="P1477" s="181">
        <v>117.09400000000001</v>
      </c>
      <c r="Q1477" s="181">
        <v>97398153.590399995</v>
      </c>
      <c r="R1477" s="181">
        <v>884901.45599999989</v>
      </c>
      <c r="S1477" s="181">
        <v>768553.30159999989</v>
      </c>
      <c r="T1477" s="181">
        <v>101.85399999999998</v>
      </c>
      <c r="U1477" s="181">
        <v>175233430.1776</v>
      </c>
      <c r="V1477" s="181">
        <v>0</v>
      </c>
    </row>
    <row r="1478" spans="1:22">
      <c r="A1478" s="2" t="s">
        <v>2974</v>
      </c>
      <c r="B1478" s="2" t="s">
        <v>2975</v>
      </c>
      <c r="C1478" s="181">
        <v>66.371936000000005</v>
      </c>
      <c r="D1478" s="181">
        <v>7870.9519999999993</v>
      </c>
      <c r="E1478" s="181">
        <v>0</v>
      </c>
      <c r="F1478" s="181">
        <v>0</v>
      </c>
      <c r="G1478" s="181">
        <v>0</v>
      </c>
      <c r="H1478" s="181">
        <v>0</v>
      </c>
      <c r="I1478" s="181">
        <v>0</v>
      </c>
      <c r="J1478" s="181">
        <v>0</v>
      </c>
      <c r="K1478" s="181">
        <v>0</v>
      </c>
      <c r="L1478" s="181">
        <v>0</v>
      </c>
      <c r="M1478" s="181">
        <v>109885096.35839999</v>
      </c>
      <c r="N1478" s="181">
        <v>847211.20880000002</v>
      </c>
      <c r="O1478" s="181">
        <v>721030.81599999988</v>
      </c>
      <c r="P1478" s="181">
        <v>117.85599999999998</v>
      </c>
      <c r="Q1478" s="181">
        <v>83246285.11999999</v>
      </c>
      <c r="R1478" s="181">
        <v>748888.82479999994</v>
      </c>
      <c r="S1478" s="181">
        <v>655482.55999999994</v>
      </c>
      <c r="T1478" s="181">
        <v>102.616</v>
      </c>
      <c r="U1478" s="181">
        <v>148178387.51359999</v>
      </c>
      <c r="V1478" s="181">
        <v>0</v>
      </c>
    </row>
    <row r="1479" spans="1:22">
      <c r="A1479" s="2" t="s">
        <v>2976</v>
      </c>
      <c r="B1479" s="2" t="s">
        <v>2977</v>
      </c>
      <c r="C1479" s="181">
        <v>53.57376</v>
      </c>
      <c r="D1479" s="181">
        <v>6387.0839999999998</v>
      </c>
      <c r="E1479" s="181">
        <v>0</v>
      </c>
      <c r="F1479" s="181">
        <v>0</v>
      </c>
      <c r="G1479" s="181">
        <v>0</v>
      </c>
      <c r="H1479" s="181">
        <v>0</v>
      </c>
      <c r="I1479" s="181">
        <v>0</v>
      </c>
      <c r="J1479" s="181">
        <v>0</v>
      </c>
      <c r="K1479" s="181">
        <v>0</v>
      </c>
      <c r="L1479" s="181">
        <v>0</v>
      </c>
      <c r="M1479" s="181">
        <v>89905987.929599985</v>
      </c>
      <c r="N1479" s="181">
        <v>689895.39439999999</v>
      </c>
      <c r="O1479" s="181">
        <v>589934.304</v>
      </c>
      <c r="P1479" s="181">
        <v>118.61799999999999</v>
      </c>
      <c r="Q1479" s="181">
        <v>68261953.7984</v>
      </c>
      <c r="R1479" s="181">
        <v>609598.78079999995</v>
      </c>
      <c r="S1479" s="181">
        <v>535856.99280000001</v>
      </c>
      <c r="T1479" s="181">
        <v>103.378</v>
      </c>
      <c r="U1479" s="181">
        <v>120290881.99839999</v>
      </c>
      <c r="V1479" s="181">
        <v>0</v>
      </c>
    </row>
    <row r="1480" spans="1:22">
      <c r="A1480" s="2" t="s">
        <v>2978</v>
      </c>
      <c r="B1480" s="2" t="s">
        <v>2979</v>
      </c>
      <c r="C1480" s="181">
        <v>113.24897599999998</v>
      </c>
      <c r="D1480" s="181">
        <v>13548.359999999999</v>
      </c>
      <c r="E1480" s="181">
        <v>0</v>
      </c>
      <c r="F1480" s="181">
        <v>0</v>
      </c>
      <c r="G1480" s="181">
        <v>0</v>
      </c>
      <c r="H1480" s="181">
        <v>0</v>
      </c>
      <c r="I1480" s="181">
        <v>0</v>
      </c>
      <c r="J1480" s="181">
        <v>0</v>
      </c>
      <c r="K1480" s="181">
        <v>0</v>
      </c>
      <c r="L1480" s="181">
        <v>0</v>
      </c>
      <c r="M1480" s="181">
        <v>165243875.96319997</v>
      </c>
      <c r="N1480" s="181">
        <v>1345377.9543999997</v>
      </c>
      <c r="O1480" s="181">
        <v>1083184.9303999997</v>
      </c>
      <c r="P1480" s="181">
        <v>110.23599999999999</v>
      </c>
      <c r="Q1480" s="181">
        <v>87408599.375999987</v>
      </c>
      <c r="R1480" s="181">
        <v>1014359.2615999999</v>
      </c>
      <c r="S1480" s="181">
        <v>860320.85999999987</v>
      </c>
      <c r="T1480" s="181">
        <v>80.263999999999996</v>
      </c>
      <c r="U1480" s="181">
        <v>188969067.22239998</v>
      </c>
      <c r="V1480" s="181">
        <v>0</v>
      </c>
    </row>
    <row r="1481" spans="1:22">
      <c r="A1481" s="2" t="s">
        <v>2980</v>
      </c>
      <c r="B1481" s="2" t="s">
        <v>2981</v>
      </c>
      <c r="C1481" s="181">
        <v>92.712367999999998</v>
      </c>
      <c r="D1481" s="181">
        <v>11096.751999999999</v>
      </c>
      <c r="E1481" s="181">
        <v>0</v>
      </c>
      <c r="F1481" s="181">
        <v>0</v>
      </c>
      <c r="G1481" s="181">
        <v>0</v>
      </c>
      <c r="H1481" s="181">
        <v>0</v>
      </c>
      <c r="I1481" s="181">
        <v>0</v>
      </c>
      <c r="J1481" s="181">
        <v>0</v>
      </c>
      <c r="K1481" s="181">
        <v>0</v>
      </c>
      <c r="L1481" s="181">
        <v>0</v>
      </c>
      <c r="M1481" s="181">
        <v>138605064.72479999</v>
      </c>
      <c r="N1481" s="181">
        <v>1115959.0583999997</v>
      </c>
      <c r="O1481" s="181">
        <v>911120.75839999993</v>
      </c>
      <c r="P1481" s="181">
        <v>112.014</v>
      </c>
      <c r="Q1481" s="181">
        <v>74089193.756799996</v>
      </c>
      <c r="R1481" s="181">
        <v>843933.79599999997</v>
      </c>
      <c r="S1481" s="181">
        <v>727585.64159999986</v>
      </c>
      <c r="T1481" s="181">
        <v>81.533999999999992</v>
      </c>
      <c r="U1481" s="181">
        <v>156919247.45119998</v>
      </c>
      <c r="V1481" s="181">
        <v>0</v>
      </c>
    </row>
    <row r="1482" spans="1:22">
      <c r="A1482" s="2" t="s">
        <v>2982</v>
      </c>
      <c r="B1482" s="2" t="s">
        <v>2983</v>
      </c>
      <c r="C1482" s="181">
        <v>71.134047999999993</v>
      </c>
      <c r="D1482" s="181">
        <v>8516.1119999999992</v>
      </c>
      <c r="E1482" s="181">
        <v>0</v>
      </c>
      <c r="F1482" s="181">
        <v>0</v>
      </c>
      <c r="G1482" s="181">
        <v>0</v>
      </c>
      <c r="H1482" s="181">
        <v>0</v>
      </c>
      <c r="I1482" s="181">
        <v>0</v>
      </c>
      <c r="J1482" s="181">
        <v>0</v>
      </c>
      <c r="K1482" s="181">
        <v>0</v>
      </c>
      <c r="L1482" s="181">
        <v>0</v>
      </c>
      <c r="M1482" s="181">
        <v>109052633.50719999</v>
      </c>
      <c r="N1482" s="181">
        <v>868514.39199999988</v>
      </c>
      <c r="O1482" s="181">
        <v>716114.69680000003</v>
      </c>
      <c r="P1482" s="181">
        <v>113.53799999999998</v>
      </c>
      <c r="Q1482" s="181">
        <v>58272399.583999991</v>
      </c>
      <c r="R1482" s="181">
        <v>657121.26639999996</v>
      </c>
      <c r="S1482" s="181">
        <v>575185.94640000002</v>
      </c>
      <c r="T1482" s="181">
        <v>83.057999999999993</v>
      </c>
      <c r="U1482" s="181">
        <v>121955807.70079999</v>
      </c>
      <c r="V1482" s="181">
        <v>0</v>
      </c>
    </row>
    <row r="1483" spans="1:22">
      <c r="A1483" s="2" t="s">
        <v>2984</v>
      </c>
      <c r="B1483" s="2" t="s">
        <v>2985</v>
      </c>
      <c r="C1483" s="181">
        <v>59.972847999999992</v>
      </c>
      <c r="D1483" s="181">
        <v>7161.2759999999998</v>
      </c>
      <c r="E1483" s="181">
        <v>0</v>
      </c>
      <c r="F1483" s="181">
        <v>0</v>
      </c>
      <c r="G1483" s="181">
        <v>0</v>
      </c>
      <c r="H1483" s="181">
        <v>0</v>
      </c>
      <c r="I1483" s="181">
        <v>0</v>
      </c>
      <c r="J1483" s="181">
        <v>0</v>
      </c>
      <c r="K1483" s="181">
        <v>0</v>
      </c>
      <c r="L1483" s="181">
        <v>0</v>
      </c>
      <c r="M1483" s="181">
        <v>93235839.334399998</v>
      </c>
      <c r="N1483" s="181">
        <v>735779.17359999986</v>
      </c>
      <c r="O1483" s="181">
        <v>612876.19359999988</v>
      </c>
      <c r="P1483" s="181">
        <v>114.3</v>
      </c>
      <c r="Q1483" s="181">
        <v>49947771.071999997</v>
      </c>
      <c r="R1483" s="181">
        <v>558798.8824</v>
      </c>
      <c r="S1483" s="181">
        <v>493250.62639999995</v>
      </c>
      <c r="T1483" s="181">
        <v>83.566000000000003</v>
      </c>
      <c r="U1483" s="181">
        <v>103225393.54879999</v>
      </c>
      <c r="V1483" s="181">
        <v>0</v>
      </c>
    </row>
    <row r="1484" spans="1:22">
      <c r="A1484" s="2" t="s">
        <v>2986</v>
      </c>
      <c r="B1484" s="2" t="s">
        <v>2987</v>
      </c>
      <c r="C1484" s="181">
        <v>48.514015999999998</v>
      </c>
      <c r="D1484" s="181">
        <v>5780.6336000000001</v>
      </c>
      <c r="E1484" s="181">
        <v>0</v>
      </c>
      <c r="F1484" s="181">
        <v>0</v>
      </c>
      <c r="G1484" s="181">
        <v>0</v>
      </c>
      <c r="H1484" s="181">
        <v>0</v>
      </c>
      <c r="I1484" s="181">
        <v>0</v>
      </c>
      <c r="J1484" s="181">
        <v>0</v>
      </c>
      <c r="K1484" s="181">
        <v>0</v>
      </c>
      <c r="L1484" s="181">
        <v>0</v>
      </c>
      <c r="M1484" s="181">
        <v>76586582.310399994</v>
      </c>
      <c r="N1484" s="181">
        <v>599766.54239999992</v>
      </c>
      <c r="O1484" s="181">
        <v>501444.15839999996</v>
      </c>
      <c r="P1484" s="181">
        <v>115.062</v>
      </c>
      <c r="Q1484" s="181">
        <v>41123664.849279992</v>
      </c>
      <c r="R1484" s="181">
        <v>455560.37919999997</v>
      </c>
      <c r="S1484" s="181">
        <v>404760.48079999996</v>
      </c>
      <c r="T1484" s="181">
        <v>84.327999999999989</v>
      </c>
      <c r="U1484" s="181">
        <v>84078747.971199989</v>
      </c>
      <c r="V1484" s="181">
        <v>0</v>
      </c>
    </row>
    <row r="1485" spans="1:22">
      <c r="A1485" s="2" t="s">
        <v>2988</v>
      </c>
      <c r="B1485" s="2" t="s">
        <v>2989</v>
      </c>
      <c r="C1485" s="181">
        <v>36.757551999999997</v>
      </c>
      <c r="D1485" s="181">
        <v>4361.2815999999993</v>
      </c>
      <c r="E1485" s="181">
        <v>0</v>
      </c>
      <c r="F1485" s="181">
        <v>0</v>
      </c>
      <c r="G1485" s="181">
        <v>0</v>
      </c>
      <c r="H1485" s="181">
        <v>0</v>
      </c>
      <c r="I1485" s="181">
        <v>0</v>
      </c>
      <c r="J1485" s="181">
        <v>0</v>
      </c>
      <c r="K1485" s="181">
        <v>0</v>
      </c>
      <c r="L1485" s="181">
        <v>0</v>
      </c>
      <c r="M1485" s="181">
        <v>58272399.583999991</v>
      </c>
      <c r="N1485" s="181">
        <v>455560.37919999997</v>
      </c>
      <c r="O1485" s="181">
        <v>383457.29759999993</v>
      </c>
      <c r="P1485" s="181">
        <v>115.82399999999998</v>
      </c>
      <c r="Q1485" s="181">
        <v>31508718.917919997</v>
      </c>
      <c r="R1485" s="181">
        <v>345767.05040000001</v>
      </c>
      <c r="S1485" s="181">
        <v>309715.50959999993</v>
      </c>
      <c r="T1485" s="181">
        <v>85.09</v>
      </c>
      <c r="U1485" s="181">
        <v>63683408.116799995</v>
      </c>
      <c r="V1485" s="181">
        <v>0</v>
      </c>
    </row>
    <row r="1486" spans="1:22">
      <c r="A1486" s="2" t="s">
        <v>2990</v>
      </c>
      <c r="B1486" s="2" t="s">
        <v>2991</v>
      </c>
      <c r="C1486" s="181">
        <v>100.59961599999998</v>
      </c>
      <c r="D1486" s="181">
        <v>12064.491999999998</v>
      </c>
      <c r="E1486" s="181">
        <v>0</v>
      </c>
      <c r="F1486" s="181">
        <v>0</v>
      </c>
      <c r="G1486" s="181">
        <v>0</v>
      </c>
      <c r="H1486" s="181">
        <v>0</v>
      </c>
      <c r="I1486" s="181">
        <v>0</v>
      </c>
      <c r="J1486" s="181">
        <v>0</v>
      </c>
      <c r="K1486" s="181">
        <v>0</v>
      </c>
      <c r="L1486" s="181">
        <v>0</v>
      </c>
      <c r="M1486" s="181">
        <v>133610287.61759999</v>
      </c>
      <c r="N1486" s="181">
        <v>1127430.0031999999</v>
      </c>
      <c r="O1486" s="181">
        <v>875069.21759999986</v>
      </c>
      <c r="P1486" s="181">
        <v>105.15599999999999</v>
      </c>
      <c r="Q1486" s="181">
        <v>44536762.539199993</v>
      </c>
      <c r="R1486" s="181">
        <v>689895.39439999999</v>
      </c>
      <c r="S1486" s="181">
        <v>581740.772</v>
      </c>
      <c r="T1486" s="181">
        <v>60.706000000000003</v>
      </c>
      <c r="U1486" s="181">
        <v>112798716.33759999</v>
      </c>
      <c r="V1486" s="181">
        <v>0</v>
      </c>
    </row>
    <row r="1487" spans="1:22">
      <c r="A1487" s="2" t="s">
        <v>2992</v>
      </c>
      <c r="B1487" s="2" t="s">
        <v>2993</v>
      </c>
      <c r="C1487" s="181">
        <v>82.592879999999994</v>
      </c>
      <c r="D1487" s="181">
        <v>9870.9480000000003</v>
      </c>
      <c r="E1487" s="181">
        <v>0</v>
      </c>
      <c r="F1487" s="181">
        <v>0</v>
      </c>
      <c r="G1487" s="181">
        <v>0</v>
      </c>
      <c r="H1487" s="181">
        <v>0</v>
      </c>
      <c r="I1487" s="181">
        <v>0</v>
      </c>
      <c r="J1487" s="181">
        <v>0</v>
      </c>
      <c r="K1487" s="181">
        <v>0</v>
      </c>
      <c r="L1487" s="181">
        <v>0</v>
      </c>
      <c r="M1487" s="181">
        <v>112798716.33759999</v>
      </c>
      <c r="N1487" s="181">
        <v>940617.47359999991</v>
      </c>
      <c r="O1487" s="181">
        <v>740695.29279999994</v>
      </c>
      <c r="P1487" s="181">
        <v>106.934</v>
      </c>
      <c r="Q1487" s="181">
        <v>37918682.872159995</v>
      </c>
      <c r="R1487" s="181">
        <v>576824.65280000004</v>
      </c>
      <c r="S1487" s="181">
        <v>498166.74559999991</v>
      </c>
      <c r="T1487" s="181">
        <v>61.975999999999992</v>
      </c>
      <c r="U1487" s="181">
        <v>94484533.61119999</v>
      </c>
      <c r="V1487" s="181">
        <v>0</v>
      </c>
    </row>
    <row r="1488" spans="1:22">
      <c r="A1488" s="2" t="s">
        <v>2994</v>
      </c>
      <c r="B1488" s="2" t="s">
        <v>2995</v>
      </c>
      <c r="C1488" s="181">
        <v>63.544432</v>
      </c>
      <c r="D1488" s="181">
        <v>7612.8879999999999</v>
      </c>
      <c r="E1488" s="181">
        <v>0</v>
      </c>
      <c r="F1488" s="181">
        <v>0</v>
      </c>
      <c r="G1488" s="181">
        <v>0</v>
      </c>
      <c r="H1488" s="181">
        <v>0</v>
      </c>
      <c r="I1488" s="181">
        <v>0</v>
      </c>
      <c r="J1488" s="181">
        <v>0</v>
      </c>
      <c r="K1488" s="181">
        <v>0</v>
      </c>
      <c r="L1488" s="181">
        <v>0</v>
      </c>
      <c r="M1488" s="181">
        <v>89489756.503999993</v>
      </c>
      <c r="N1488" s="181">
        <v>734140.46719999984</v>
      </c>
      <c r="O1488" s="181">
        <v>588295.59759999998</v>
      </c>
      <c r="P1488" s="181">
        <v>108.712</v>
      </c>
      <c r="Q1488" s="181">
        <v>30343270.926240001</v>
      </c>
      <c r="R1488" s="181">
        <v>453921.67279999994</v>
      </c>
      <c r="S1488" s="181">
        <v>398205.65519999998</v>
      </c>
      <c r="T1488" s="181">
        <v>63.246000000000002</v>
      </c>
      <c r="U1488" s="181">
        <v>74089193.756799996</v>
      </c>
      <c r="V1488" s="181">
        <v>0</v>
      </c>
    </row>
    <row r="1489" spans="1:22">
      <c r="A1489" s="2" t="s">
        <v>2996</v>
      </c>
      <c r="B1489" s="2" t="s">
        <v>2997</v>
      </c>
      <c r="C1489" s="181">
        <v>53.57376</v>
      </c>
      <c r="D1489" s="181">
        <v>6399.9871999999996</v>
      </c>
      <c r="E1489" s="181">
        <v>0</v>
      </c>
      <c r="F1489" s="181">
        <v>0</v>
      </c>
      <c r="G1489" s="181">
        <v>0</v>
      </c>
      <c r="H1489" s="181">
        <v>0</v>
      </c>
      <c r="I1489" s="181">
        <v>0</v>
      </c>
      <c r="J1489" s="181">
        <v>0</v>
      </c>
      <c r="K1489" s="181">
        <v>0</v>
      </c>
      <c r="L1489" s="181">
        <v>0</v>
      </c>
      <c r="M1489" s="181">
        <v>76586582.310399994</v>
      </c>
      <c r="N1489" s="181">
        <v>624347.13839999994</v>
      </c>
      <c r="O1489" s="181">
        <v>503082.86479999992</v>
      </c>
      <c r="P1489" s="181">
        <v>109.47399999999999</v>
      </c>
      <c r="Q1489" s="181">
        <v>26139333.527679995</v>
      </c>
      <c r="R1489" s="181">
        <v>386734.71039999998</v>
      </c>
      <c r="S1489" s="181">
        <v>342489.63759999996</v>
      </c>
      <c r="T1489" s="181">
        <v>64.007999999999996</v>
      </c>
      <c r="U1489" s="181">
        <v>63267176.691199996</v>
      </c>
      <c r="V1489" s="181">
        <v>0</v>
      </c>
    </row>
    <row r="1490" spans="1:22">
      <c r="A1490" s="2" t="s">
        <v>2998</v>
      </c>
      <c r="B1490" s="2" t="s">
        <v>2999</v>
      </c>
      <c r="C1490" s="181">
        <v>43.454271999999996</v>
      </c>
      <c r="D1490" s="181">
        <v>5180.6347999999989</v>
      </c>
      <c r="E1490" s="181">
        <v>0</v>
      </c>
      <c r="F1490" s="181">
        <v>0</v>
      </c>
      <c r="G1490" s="181">
        <v>0</v>
      </c>
      <c r="H1490" s="181">
        <v>0</v>
      </c>
      <c r="I1490" s="181">
        <v>0</v>
      </c>
      <c r="J1490" s="181">
        <v>0</v>
      </c>
      <c r="K1490" s="181">
        <v>0</v>
      </c>
      <c r="L1490" s="181">
        <v>0</v>
      </c>
      <c r="M1490" s="181">
        <v>62850945.265599996</v>
      </c>
      <c r="N1490" s="181">
        <v>509637.69039999996</v>
      </c>
      <c r="O1490" s="181">
        <v>412954.01279999997</v>
      </c>
      <c r="P1490" s="181">
        <v>110.23599999999999</v>
      </c>
      <c r="Q1490" s="181">
        <v>21602410.988639995</v>
      </c>
      <c r="R1490" s="181">
        <v>316270.33519999997</v>
      </c>
      <c r="S1490" s="181">
        <v>283496.2072</v>
      </c>
      <c r="T1490" s="181">
        <v>64.515999999999991</v>
      </c>
      <c r="U1490" s="181">
        <v>51612696.774399996</v>
      </c>
      <c r="V1490" s="181">
        <v>0</v>
      </c>
    </row>
    <row r="1491" spans="1:22">
      <c r="A1491" s="2" t="s">
        <v>3000</v>
      </c>
      <c r="B1491" s="2" t="s">
        <v>3001</v>
      </c>
      <c r="C1491" s="181">
        <v>33.037151999999999</v>
      </c>
      <c r="D1491" s="181">
        <v>3909.6695999999997</v>
      </c>
      <c r="E1491" s="181">
        <v>0</v>
      </c>
      <c r="F1491" s="181">
        <v>0</v>
      </c>
      <c r="G1491" s="181">
        <v>0</v>
      </c>
      <c r="H1491" s="181">
        <v>0</v>
      </c>
      <c r="I1491" s="181">
        <v>0</v>
      </c>
      <c r="J1491" s="181">
        <v>0</v>
      </c>
      <c r="K1491" s="181">
        <v>0</v>
      </c>
      <c r="L1491" s="181">
        <v>0</v>
      </c>
      <c r="M1491" s="181">
        <v>48282845.369599998</v>
      </c>
      <c r="N1491" s="181">
        <v>388373.41679999995</v>
      </c>
      <c r="O1491" s="181">
        <v>317909.04159999994</v>
      </c>
      <c r="P1491" s="181">
        <v>111.252</v>
      </c>
      <c r="Q1491" s="181">
        <v>16649257.023999998</v>
      </c>
      <c r="R1491" s="181">
        <v>240889.84079999998</v>
      </c>
      <c r="S1491" s="181">
        <v>217947.95119999998</v>
      </c>
      <c r="T1491" s="181">
        <v>65.277999999999992</v>
      </c>
      <c r="U1491" s="181">
        <v>39375492.86175999</v>
      </c>
      <c r="V1491" s="181">
        <v>0</v>
      </c>
    </row>
    <row r="1492" spans="1:22">
      <c r="A1492" s="2" t="s">
        <v>3002</v>
      </c>
      <c r="B1492" s="2" t="s">
        <v>3003</v>
      </c>
      <c r="C1492" s="181">
        <v>87.950255999999996</v>
      </c>
      <c r="D1492" s="181">
        <v>10580.623999999998</v>
      </c>
      <c r="E1492" s="181">
        <v>0</v>
      </c>
      <c r="F1492" s="181">
        <v>0</v>
      </c>
      <c r="G1492" s="181">
        <v>0</v>
      </c>
      <c r="H1492" s="181">
        <v>0</v>
      </c>
      <c r="I1492" s="181">
        <v>0</v>
      </c>
      <c r="J1492" s="181">
        <v>0</v>
      </c>
      <c r="K1492" s="181">
        <v>0</v>
      </c>
      <c r="L1492" s="181">
        <v>0</v>
      </c>
      <c r="M1492" s="181">
        <v>101976699.27199998</v>
      </c>
      <c r="N1492" s="181">
        <v>909482.05199999991</v>
      </c>
      <c r="O1492" s="181">
        <v>668592.2111999999</v>
      </c>
      <c r="P1492" s="181">
        <v>98.298000000000002</v>
      </c>
      <c r="Q1492" s="181">
        <v>16815749.594239999</v>
      </c>
      <c r="R1492" s="181">
        <v>401483.06799999997</v>
      </c>
      <c r="S1492" s="181">
        <v>331018.69279999996</v>
      </c>
      <c r="T1492" s="181">
        <v>39.878</v>
      </c>
      <c r="U1492" s="181">
        <v>50780233.923199996</v>
      </c>
      <c r="V1492" s="181">
        <v>0</v>
      </c>
    </row>
    <row r="1493" spans="1:22">
      <c r="A1493" s="2" t="s">
        <v>3004</v>
      </c>
      <c r="B1493" s="2" t="s">
        <v>3005</v>
      </c>
      <c r="C1493" s="181">
        <v>72.473392000000004</v>
      </c>
      <c r="D1493" s="181">
        <v>8709.66</v>
      </c>
      <c r="E1493" s="181">
        <v>0</v>
      </c>
      <c r="F1493" s="181">
        <v>0</v>
      </c>
      <c r="G1493" s="181">
        <v>0</v>
      </c>
      <c r="H1493" s="181">
        <v>0</v>
      </c>
      <c r="I1493" s="181">
        <v>0</v>
      </c>
      <c r="J1493" s="181">
        <v>0</v>
      </c>
      <c r="K1493" s="181">
        <v>0</v>
      </c>
      <c r="L1493" s="181">
        <v>0</v>
      </c>
      <c r="M1493" s="181">
        <v>87408599.375999987</v>
      </c>
      <c r="N1493" s="181">
        <v>765275.88879999996</v>
      </c>
      <c r="O1493" s="181">
        <v>571908.53359999997</v>
      </c>
      <c r="P1493" s="181">
        <v>100.33</v>
      </c>
      <c r="Q1493" s="181">
        <v>14692969.323679997</v>
      </c>
      <c r="R1493" s="181">
        <v>342489.63759999996</v>
      </c>
      <c r="S1493" s="181">
        <v>290051.03279999999</v>
      </c>
      <c r="T1493" s="181">
        <v>41.148000000000003</v>
      </c>
      <c r="U1493" s="181">
        <v>43704299.687999994</v>
      </c>
      <c r="V1493" s="181">
        <v>0</v>
      </c>
    </row>
    <row r="1494" spans="1:22">
      <c r="A1494" s="2" t="s">
        <v>3006</v>
      </c>
      <c r="B1494" s="2" t="s">
        <v>3007</v>
      </c>
      <c r="C1494" s="181">
        <v>55.954816000000001</v>
      </c>
      <c r="D1494" s="181">
        <v>6709.6639999999998</v>
      </c>
      <c r="E1494" s="181">
        <v>0</v>
      </c>
      <c r="F1494" s="181">
        <v>0</v>
      </c>
      <c r="G1494" s="181">
        <v>0</v>
      </c>
      <c r="H1494" s="181">
        <v>0</v>
      </c>
      <c r="I1494" s="181">
        <v>0</v>
      </c>
      <c r="J1494" s="181">
        <v>0</v>
      </c>
      <c r="K1494" s="181">
        <v>0</v>
      </c>
      <c r="L1494" s="181">
        <v>0</v>
      </c>
      <c r="M1494" s="181">
        <v>69926879.500799999</v>
      </c>
      <c r="N1494" s="181">
        <v>601405.24879999994</v>
      </c>
      <c r="O1494" s="181">
        <v>458837.79199999996</v>
      </c>
      <c r="P1494" s="181">
        <v>102.10799999999999</v>
      </c>
      <c r="Q1494" s="181">
        <v>12029088.199839998</v>
      </c>
      <c r="R1494" s="181">
        <v>272025.26240000001</v>
      </c>
      <c r="S1494" s="181">
        <v>237612.42799999999</v>
      </c>
      <c r="T1494" s="181">
        <v>42.417999999999999</v>
      </c>
      <c r="U1494" s="181">
        <v>35005062.892959997</v>
      </c>
      <c r="V1494" s="181">
        <v>0</v>
      </c>
    </row>
    <row r="1495" spans="1:22">
      <c r="A1495" s="2" t="s">
        <v>3008</v>
      </c>
      <c r="B1495" s="2" t="s">
        <v>3009</v>
      </c>
      <c r="C1495" s="181">
        <v>47.323487999999998</v>
      </c>
      <c r="D1495" s="181">
        <v>5651.6016</v>
      </c>
      <c r="E1495" s="181">
        <v>0</v>
      </c>
      <c r="F1495" s="181">
        <v>0</v>
      </c>
      <c r="G1495" s="181">
        <v>0</v>
      </c>
      <c r="H1495" s="181">
        <v>0</v>
      </c>
      <c r="I1495" s="181">
        <v>0</v>
      </c>
      <c r="J1495" s="181">
        <v>0</v>
      </c>
      <c r="K1495" s="181">
        <v>0</v>
      </c>
      <c r="L1495" s="181">
        <v>0</v>
      </c>
      <c r="M1495" s="181">
        <v>59937325.28639999</v>
      </c>
      <c r="N1495" s="181">
        <v>512915.10319999995</v>
      </c>
      <c r="O1495" s="181">
        <v>394928.24239999999</v>
      </c>
      <c r="P1495" s="181">
        <v>103.12399999999998</v>
      </c>
      <c r="Q1495" s="181">
        <v>10489031.925119998</v>
      </c>
      <c r="R1495" s="181">
        <v>232696.30879999997</v>
      </c>
      <c r="S1495" s="181">
        <v>206477.00639999998</v>
      </c>
      <c r="T1495" s="181">
        <v>43.18</v>
      </c>
      <c r="U1495" s="181">
        <v>30135155.213440001</v>
      </c>
      <c r="V1495" s="181">
        <v>0</v>
      </c>
    </row>
    <row r="1496" spans="1:22">
      <c r="A1496" s="2" t="s">
        <v>3010</v>
      </c>
      <c r="B1496" s="2" t="s">
        <v>3011</v>
      </c>
      <c r="C1496" s="181">
        <v>38.394528000000001</v>
      </c>
      <c r="D1496" s="181">
        <v>4580.6359999999995</v>
      </c>
      <c r="E1496" s="181">
        <v>0</v>
      </c>
      <c r="F1496" s="181">
        <v>0</v>
      </c>
      <c r="G1496" s="181">
        <v>0</v>
      </c>
      <c r="H1496" s="181">
        <v>0</v>
      </c>
      <c r="I1496" s="181">
        <v>0</v>
      </c>
      <c r="J1496" s="181">
        <v>0</v>
      </c>
      <c r="K1496" s="181">
        <v>0</v>
      </c>
      <c r="L1496" s="181">
        <v>0</v>
      </c>
      <c r="M1496" s="181">
        <v>49531539.646399997</v>
      </c>
      <c r="N1496" s="181">
        <v>419508.83840000001</v>
      </c>
      <c r="O1496" s="181">
        <v>326102.57359999995</v>
      </c>
      <c r="P1496" s="181">
        <v>104.13999999999999</v>
      </c>
      <c r="Q1496" s="181">
        <v>8740859.9375999998</v>
      </c>
      <c r="R1496" s="181">
        <v>191728.64879999997</v>
      </c>
      <c r="S1496" s="181">
        <v>172064.17199999999</v>
      </c>
      <c r="T1496" s="181">
        <v>43.687999999999995</v>
      </c>
      <c r="U1496" s="181">
        <v>24890639.250879996</v>
      </c>
      <c r="V1496" s="181">
        <v>0</v>
      </c>
    </row>
    <row r="1497" spans="1:22">
      <c r="A1497" s="2" t="s">
        <v>3012</v>
      </c>
      <c r="B1497" s="2" t="s">
        <v>3013</v>
      </c>
      <c r="C1497" s="181">
        <v>29.167936000000001</v>
      </c>
      <c r="D1497" s="181">
        <v>3464.5092</v>
      </c>
      <c r="E1497" s="181">
        <v>0</v>
      </c>
      <c r="F1497" s="181">
        <v>0</v>
      </c>
      <c r="G1497" s="181">
        <v>0</v>
      </c>
      <c r="H1497" s="181">
        <v>0</v>
      </c>
      <c r="I1497" s="181">
        <v>0</v>
      </c>
      <c r="J1497" s="181">
        <v>0</v>
      </c>
      <c r="K1497" s="181">
        <v>0</v>
      </c>
      <c r="L1497" s="181">
        <v>0</v>
      </c>
      <c r="M1497" s="181">
        <v>38210044.870079994</v>
      </c>
      <c r="N1497" s="181">
        <v>321186.45439999999</v>
      </c>
      <c r="O1497" s="181">
        <v>250722.07919999998</v>
      </c>
      <c r="P1497" s="181">
        <v>104.90199999999999</v>
      </c>
      <c r="Q1497" s="181">
        <v>6826195.3798399987</v>
      </c>
      <c r="R1497" s="181">
        <v>147483.576</v>
      </c>
      <c r="S1497" s="181">
        <v>134373.92479999998</v>
      </c>
      <c r="T1497" s="181">
        <v>44.449999999999996</v>
      </c>
      <c r="U1497" s="181">
        <v>19188268.72016</v>
      </c>
      <c r="V1497" s="181">
        <v>0</v>
      </c>
    </row>
    <row r="1498" spans="1:22">
      <c r="A1498" s="2" t="s">
        <v>3014</v>
      </c>
      <c r="B1498" s="2" t="s">
        <v>3015</v>
      </c>
      <c r="C1498" s="181">
        <v>54.020207999999997</v>
      </c>
      <c r="D1498" s="181">
        <v>6451.5999999999995</v>
      </c>
      <c r="E1498" s="181">
        <v>0</v>
      </c>
      <c r="F1498" s="181">
        <v>0</v>
      </c>
      <c r="G1498" s="181">
        <v>0</v>
      </c>
      <c r="H1498" s="181">
        <v>0</v>
      </c>
      <c r="I1498" s="181">
        <v>0</v>
      </c>
      <c r="J1498" s="181">
        <v>0</v>
      </c>
      <c r="K1498" s="181">
        <v>0</v>
      </c>
      <c r="L1498" s="181">
        <v>0</v>
      </c>
      <c r="M1498" s="181">
        <v>64932102.393599994</v>
      </c>
      <c r="N1498" s="181">
        <v>568631.12080000003</v>
      </c>
      <c r="O1498" s="181">
        <v>426063.66399999999</v>
      </c>
      <c r="P1498" s="181">
        <v>100.07599999999999</v>
      </c>
      <c r="Q1498" s="181">
        <v>8865729.3652799986</v>
      </c>
      <c r="R1498" s="181">
        <v>229418.89599999998</v>
      </c>
      <c r="S1498" s="181">
        <v>199922.18079999997</v>
      </c>
      <c r="T1498" s="181">
        <v>37.083999999999996</v>
      </c>
      <c r="U1498" s="181">
        <v>26930173.23632</v>
      </c>
      <c r="V1498" s="181">
        <v>0</v>
      </c>
    </row>
    <row r="1499" spans="1:22">
      <c r="A1499" s="2" t="s">
        <v>3016</v>
      </c>
      <c r="B1499" s="2" t="s">
        <v>3017</v>
      </c>
      <c r="C1499" s="181">
        <v>45.686511999999993</v>
      </c>
      <c r="D1499" s="181">
        <v>5458.0536000000002</v>
      </c>
      <c r="E1499" s="181">
        <v>0</v>
      </c>
      <c r="F1499" s="181">
        <v>0</v>
      </c>
      <c r="G1499" s="181">
        <v>0</v>
      </c>
      <c r="H1499" s="181">
        <v>0</v>
      </c>
      <c r="I1499" s="181">
        <v>0</v>
      </c>
      <c r="J1499" s="181">
        <v>0</v>
      </c>
      <c r="K1499" s="181">
        <v>0</v>
      </c>
      <c r="L1499" s="181">
        <v>0</v>
      </c>
      <c r="M1499" s="181">
        <v>55775011.030399993</v>
      </c>
      <c r="N1499" s="181">
        <v>485057.0944</v>
      </c>
      <c r="O1499" s="181">
        <v>367070.23359999992</v>
      </c>
      <c r="P1499" s="181">
        <v>101.092</v>
      </c>
      <c r="Q1499" s="181">
        <v>7741904.5161600001</v>
      </c>
      <c r="R1499" s="181">
        <v>198283.47439999998</v>
      </c>
      <c r="S1499" s="181">
        <v>173702.87839999999</v>
      </c>
      <c r="T1499" s="181">
        <v>37.591999999999999</v>
      </c>
      <c r="U1499" s="181">
        <v>23308959.8336</v>
      </c>
      <c r="V1499" s="181">
        <v>0</v>
      </c>
    </row>
    <row r="1500" spans="1:22">
      <c r="A1500" s="2" t="s">
        <v>3018</v>
      </c>
      <c r="B1500" s="2" t="s">
        <v>3019</v>
      </c>
      <c r="C1500" s="181">
        <v>44.198352</v>
      </c>
      <c r="D1500" s="181">
        <v>5270.9571999999998</v>
      </c>
      <c r="E1500" s="181">
        <v>0</v>
      </c>
      <c r="F1500" s="181">
        <v>0</v>
      </c>
      <c r="G1500" s="181">
        <v>0</v>
      </c>
      <c r="H1500" s="181">
        <v>0</v>
      </c>
      <c r="I1500" s="181">
        <v>0</v>
      </c>
      <c r="J1500" s="181">
        <v>0</v>
      </c>
      <c r="K1500" s="181">
        <v>0</v>
      </c>
      <c r="L1500" s="181">
        <v>0</v>
      </c>
      <c r="M1500" s="181">
        <v>51612696.774399996</v>
      </c>
      <c r="N1500" s="181">
        <v>457199.08559999993</v>
      </c>
      <c r="O1500" s="181">
        <v>339212.22479999997</v>
      </c>
      <c r="P1500" s="181">
        <v>99.059999999999988</v>
      </c>
      <c r="Q1500" s="181">
        <v>5452631.6753599998</v>
      </c>
      <c r="R1500" s="181">
        <v>163870.63999999998</v>
      </c>
      <c r="S1500" s="181">
        <v>143059.06871999998</v>
      </c>
      <c r="T1500" s="181">
        <v>32.257999999999996</v>
      </c>
      <c r="U1500" s="181">
        <v>17190357.877279997</v>
      </c>
      <c r="V1500" s="181">
        <v>0</v>
      </c>
    </row>
    <row r="1501" spans="1:22">
      <c r="A1501" s="2" t="s">
        <v>3020</v>
      </c>
      <c r="B1501" s="2" t="s">
        <v>3021</v>
      </c>
      <c r="C1501" s="181">
        <v>35.864656000000004</v>
      </c>
      <c r="D1501" s="181">
        <v>4277.4107999999997</v>
      </c>
      <c r="E1501" s="181">
        <v>0</v>
      </c>
      <c r="F1501" s="181">
        <v>0</v>
      </c>
      <c r="G1501" s="181">
        <v>0</v>
      </c>
      <c r="H1501" s="181">
        <v>0</v>
      </c>
      <c r="I1501" s="181">
        <v>0</v>
      </c>
      <c r="J1501" s="181">
        <v>0</v>
      </c>
      <c r="K1501" s="181">
        <v>0</v>
      </c>
      <c r="L1501" s="181">
        <v>0</v>
      </c>
      <c r="M1501" s="181">
        <v>42871836.836799994</v>
      </c>
      <c r="N1501" s="181">
        <v>375263.76559999993</v>
      </c>
      <c r="O1501" s="181">
        <v>281857.50079999998</v>
      </c>
      <c r="P1501" s="181">
        <v>100.07599999999999</v>
      </c>
      <c r="Q1501" s="181">
        <v>4620168.8241599994</v>
      </c>
      <c r="R1501" s="181">
        <v>135684.88991999999</v>
      </c>
      <c r="S1501" s="181">
        <v>120936.53231999998</v>
      </c>
      <c r="T1501" s="181">
        <v>32.765999999999998</v>
      </c>
      <c r="U1501" s="181">
        <v>14359984.183199998</v>
      </c>
      <c r="V1501" s="181">
        <v>0</v>
      </c>
    </row>
    <row r="1502" spans="1:22">
      <c r="A1502" s="2" t="s">
        <v>3022</v>
      </c>
      <c r="B1502" s="2" t="s">
        <v>3023</v>
      </c>
      <c r="C1502" s="181">
        <v>27.233328</v>
      </c>
      <c r="D1502" s="181">
        <v>3238.7031999999995</v>
      </c>
      <c r="E1502" s="181">
        <v>0</v>
      </c>
      <c r="F1502" s="181">
        <v>0</v>
      </c>
      <c r="G1502" s="181">
        <v>0</v>
      </c>
      <c r="H1502" s="181">
        <v>0</v>
      </c>
      <c r="I1502" s="181">
        <v>0</v>
      </c>
      <c r="J1502" s="181">
        <v>0</v>
      </c>
      <c r="K1502" s="181">
        <v>0</v>
      </c>
      <c r="L1502" s="181">
        <v>0</v>
      </c>
      <c r="M1502" s="181">
        <v>33132021.477759995</v>
      </c>
      <c r="N1502" s="181">
        <v>286773.62</v>
      </c>
      <c r="O1502" s="181">
        <v>217947.95119999998</v>
      </c>
      <c r="P1502" s="181">
        <v>101.092</v>
      </c>
      <c r="Q1502" s="181">
        <v>3629538.0312319999</v>
      </c>
      <c r="R1502" s="181">
        <v>104877.2096</v>
      </c>
      <c r="S1502" s="181">
        <v>95208.841839999979</v>
      </c>
      <c r="T1502" s="181">
        <v>33.527999999999999</v>
      </c>
      <c r="U1502" s="181">
        <v>11155002.206079999</v>
      </c>
      <c r="V1502" s="181">
        <v>0</v>
      </c>
    </row>
    <row r="1503" spans="1:22">
      <c r="A1503" s="2" t="s">
        <v>3024</v>
      </c>
      <c r="B1503" s="2" t="s">
        <v>3025</v>
      </c>
      <c r="C1503" s="181">
        <v>33.334783999999999</v>
      </c>
      <c r="D1503" s="181">
        <v>3980.6371999999997</v>
      </c>
      <c r="E1503" s="181">
        <v>0</v>
      </c>
      <c r="F1503" s="181">
        <v>0</v>
      </c>
      <c r="G1503" s="181">
        <v>0</v>
      </c>
      <c r="H1503" s="181">
        <v>0</v>
      </c>
      <c r="I1503" s="181">
        <v>0</v>
      </c>
      <c r="J1503" s="181">
        <v>0</v>
      </c>
      <c r="K1503" s="181">
        <v>0</v>
      </c>
      <c r="L1503" s="181">
        <v>0</v>
      </c>
      <c r="M1503" s="181">
        <v>36170510.884640001</v>
      </c>
      <c r="N1503" s="181">
        <v>329379.98639999999</v>
      </c>
      <c r="O1503" s="181">
        <v>237612.42799999999</v>
      </c>
      <c r="P1503" s="181">
        <v>95.25</v>
      </c>
      <c r="Q1503" s="181">
        <v>1835580.586896</v>
      </c>
      <c r="R1503" s="181">
        <v>83246.28512</v>
      </c>
      <c r="S1503" s="181">
        <v>72266.952239999999</v>
      </c>
      <c r="T1503" s="181">
        <v>21.462999999999997</v>
      </c>
      <c r="U1503" s="181">
        <v>6285094.5265599992</v>
      </c>
      <c r="V1503" s="181">
        <v>0</v>
      </c>
    </row>
    <row r="1504" spans="1:22">
      <c r="A1504" s="2" t="s">
        <v>3026</v>
      </c>
      <c r="B1504" s="2" t="s">
        <v>3027</v>
      </c>
      <c r="C1504" s="181">
        <v>25.447535999999999</v>
      </c>
      <c r="D1504" s="181">
        <v>3012.8971999999999</v>
      </c>
      <c r="E1504" s="181">
        <v>0</v>
      </c>
      <c r="F1504" s="181">
        <v>0</v>
      </c>
      <c r="G1504" s="181">
        <v>0</v>
      </c>
      <c r="H1504" s="181">
        <v>0</v>
      </c>
      <c r="I1504" s="181">
        <v>0</v>
      </c>
      <c r="J1504" s="181">
        <v>0</v>
      </c>
      <c r="K1504" s="181">
        <v>0</v>
      </c>
      <c r="L1504" s="181">
        <v>0</v>
      </c>
      <c r="M1504" s="181">
        <v>28053998.085439999</v>
      </c>
      <c r="N1504" s="181">
        <v>253999.49199999997</v>
      </c>
      <c r="O1504" s="181">
        <v>183535.11679999996</v>
      </c>
      <c r="P1504" s="181">
        <v>96.52</v>
      </c>
      <c r="Q1504" s="181">
        <v>1477621.5608799998</v>
      </c>
      <c r="R1504" s="181">
        <v>65056.644079999998</v>
      </c>
      <c r="S1504" s="181">
        <v>58174.077199999992</v>
      </c>
      <c r="T1504" s="181">
        <v>22.148799999999998</v>
      </c>
      <c r="U1504" s="181">
        <v>4994777.1071999995</v>
      </c>
      <c r="V1504" s="181">
        <v>0</v>
      </c>
    </row>
    <row r="1505" spans="1:22">
      <c r="A1505" s="2" t="s">
        <v>3028</v>
      </c>
      <c r="B1505" s="2" t="s">
        <v>3029</v>
      </c>
      <c r="C1505" s="181">
        <v>113.24897599999998</v>
      </c>
      <c r="D1505" s="181">
        <v>13548.359999999999</v>
      </c>
      <c r="E1505" s="181">
        <v>0</v>
      </c>
      <c r="F1505" s="181">
        <v>0</v>
      </c>
      <c r="G1505" s="181">
        <v>0</v>
      </c>
      <c r="H1505" s="181">
        <v>0</v>
      </c>
      <c r="I1505" s="181">
        <v>0</v>
      </c>
      <c r="J1505" s="181">
        <v>0</v>
      </c>
      <c r="K1505" s="181">
        <v>0</v>
      </c>
      <c r="L1505" s="181">
        <v>0</v>
      </c>
      <c r="M1505" s="181">
        <v>126534353.38239999</v>
      </c>
      <c r="N1505" s="181">
        <v>1199533.0847999998</v>
      </c>
      <c r="O1505" s="181">
        <v>996333.49119999981</v>
      </c>
      <c r="P1505" s="181">
        <v>96.52</v>
      </c>
      <c r="Q1505" s="181">
        <v>126534353.38239999</v>
      </c>
      <c r="R1505" s="181">
        <v>1199533.0847999998</v>
      </c>
      <c r="S1505" s="181">
        <v>996333.49119999981</v>
      </c>
      <c r="T1505" s="181">
        <v>96.52</v>
      </c>
      <c r="U1505" s="181">
        <v>207283249.94879997</v>
      </c>
      <c r="V1505" s="181">
        <v>0</v>
      </c>
    </row>
    <row r="1506" spans="1:22">
      <c r="A1506" s="2" t="s">
        <v>3030</v>
      </c>
      <c r="B1506" s="2" t="s">
        <v>3031</v>
      </c>
      <c r="C1506" s="181">
        <v>92.712367999999998</v>
      </c>
      <c r="D1506" s="181">
        <v>11096.751999999999</v>
      </c>
      <c r="E1506" s="181">
        <v>0</v>
      </c>
      <c r="F1506" s="181">
        <v>0</v>
      </c>
      <c r="G1506" s="181">
        <v>0</v>
      </c>
      <c r="H1506" s="181">
        <v>0</v>
      </c>
      <c r="I1506" s="181">
        <v>0</v>
      </c>
      <c r="J1506" s="181">
        <v>0</v>
      </c>
      <c r="K1506" s="181">
        <v>0</v>
      </c>
      <c r="L1506" s="181">
        <v>0</v>
      </c>
      <c r="M1506" s="181">
        <v>106555244.95359999</v>
      </c>
      <c r="N1506" s="181">
        <v>994694.78479999991</v>
      </c>
      <c r="O1506" s="181">
        <v>839017.67680000002</v>
      </c>
      <c r="P1506" s="181">
        <v>98.043999999999997</v>
      </c>
      <c r="Q1506" s="181">
        <v>106555244.95359999</v>
      </c>
      <c r="R1506" s="181">
        <v>994694.78479999991</v>
      </c>
      <c r="S1506" s="181">
        <v>839017.67680000002</v>
      </c>
      <c r="T1506" s="181">
        <v>98.043999999999997</v>
      </c>
      <c r="U1506" s="181">
        <v>171487347.34719998</v>
      </c>
      <c r="V1506" s="181">
        <v>0</v>
      </c>
    </row>
    <row r="1507" spans="1:22">
      <c r="A1507" s="2" t="s">
        <v>3032</v>
      </c>
      <c r="B1507" s="2" t="s">
        <v>3033</v>
      </c>
      <c r="C1507" s="181">
        <v>71.134047999999993</v>
      </c>
      <c r="D1507" s="181">
        <v>8516.1119999999992</v>
      </c>
      <c r="E1507" s="181">
        <v>0</v>
      </c>
      <c r="F1507" s="181">
        <v>0</v>
      </c>
      <c r="G1507" s="181">
        <v>0</v>
      </c>
      <c r="H1507" s="181">
        <v>0</v>
      </c>
      <c r="I1507" s="181">
        <v>0</v>
      </c>
      <c r="J1507" s="181">
        <v>0</v>
      </c>
      <c r="K1507" s="181">
        <v>0</v>
      </c>
      <c r="L1507" s="181">
        <v>0</v>
      </c>
      <c r="M1507" s="181">
        <v>84078747.971199989</v>
      </c>
      <c r="N1507" s="181">
        <v>773469.42079999996</v>
      </c>
      <c r="O1507" s="181">
        <v>662037.38559999992</v>
      </c>
      <c r="P1507" s="181">
        <v>99.567999999999998</v>
      </c>
      <c r="Q1507" s="181">
        <v>84078747.971199989</v>
      </c>
      <c r="R1507" s="181">
        <v>773469.42079999996</v>
      </c>
      <c r="S1507" s="181">
        <v>662037.38559999992</v>
      </c>
      <c r="T1507" s="181">
        <v>99.567999999999998</v>
      </c>
      <c r="U1507" s="181">
        <v>133194056.19199999</v>
      </c>
      <c r="V1507" s="181">
        <v>0</v>
      </c>
    </row>
    <row r="1508" spans="1:22">
      <c r="A1508" s="2" t="s">
        <v>3034</v>
      </c>
      <c r="B1508" s="2" t="s">
        <v>3035</v>
      </c>
      <c r="C1508" s="181">
        <v>59.972847999999992</v>
      </c>
      <c r="D1508" s="181">
        <v>7161.2759999999998</v>
      </c>
      <c r="E1508" s="181">
        <v>0</v>
      </c>
      <c r="F1508" s="181">
        <v>0</v>
      </c>
      <c r="G1508" s="181">
        <v>0</v>
      </c>
      <c r="H1508" s="181">
        <v>0</v>
      </c>
      <c r="I1508" s="181">
        <v>0</v>
      </c>
      <c r="J1508" s="181">
        <v>0</v>
      </c>
      <c r="K1508" s="181">
        <v>0</v>
      </c>
      <c r="L1508" s="181">
        <v>0</v>
      </c>
      <c r="M1508" s="181">
        <v>71591805.203199998</v>
      </c>
      <c r="N1508" s="181">
        <v>657121.26639999996</v>
      </c>
      <c r="O1508" s="181">
        <v>565353.70799999998</v>
      </c>
      <c r="P1508" s="181">
        <v>100.07599999999999</v>
      </c>
      <c r="Q1508" s="181">
        <v>71591805.203199998</v>
      </c>
      <c r="R1508" s="181">
        <v>657121.26639999996</v>
      </c>
      <c r="S1508" s="181">
        <v>565353.70799999998</v>
      </c>
      <c r="T1508" s="181">
        <v>100.07599999999999</v>
      </c>
      <c r="U1508" s="181">
        <v>112798716.33759999</v>
      </c>
      <c r="V1508" s="181">
        <v>0</v>
      </c>
    </row>
    <row r="1509" spans="1:22">
      <c r="A1509" s="2" t="s">
        <v>3036</v>
      </c>
      <c r="B1509" s="2" t="s">
        <v>3037</v>
      </c>
      <c r="C1509" s="181">
        <v>48.514015999999998</v>
      </c>
      <c r="D1509" s="181">
        <v>5780.6336000000001</v>
      </c>
      <c r="E1509" s="181">
        <v>0</v>
      </c>
      <c r="F1509" s="181">
        <v>0</v>
      </c>
      <c r="G1509" s="181">
        <v>0</v>
      </c>
      <c r="H1509" s="181">
        <v>0</v>
      </c>
      <c r="I1509" s="181">
        <v>0</v>
      </c>
      <c r="J1509" s="181">
        <v>0</v>
      </c>
      <c r="K1509" s="181">
        <v>0</v>
      </c>
      <c r="L1509" s="181">
        <v>0</v>
      </c>
      <c r="M1509" s="181">
        <v>58688631.009599991</v>
      </c>
      <c r="N1509" s="181">
        <v>535856.99280000001</v>
      </c>
      <c r="O1509" s="181">
        <v>463753.91119999997</v>
      </c>
      <c r="P1509" s="181">
        <v>100.83799999999999</v>
      </c>
      <c r="Q1509" s="181">
        <v>58688631.009599991</v>
      </c>
      <c r="R1509" s="181">
        <v>535856.99280000001</v>
      </c>
      <c r="S1509" s="181">
        <v>463753.91119999997</v>
      </c>
      <c r="T1509" s="181">
        <v>100.83799999999999</v>
      </c>
      <c r="U1509" s="181">
        <v>91570913.631999984</v>
      </c>
      <c r="V1509" s="181">
        <v>0</v>
      </c>
    </row>
    <row r="1510" spans="1:22">
      <c r="A1510" s="2" t="s">
        <v>3038</v>
      </c>
      <c r="B1510" s="2" t="s">
        <v>3039</v>
      </c>
      <c r="C1510" s="181">
        <v>36.757551999999997</v>
      </c>
      <c r="D1510" s="181">
        <v>4361.2815999999993</v>
      </c>
      <c r="E1510" s="181">
        <v>0</v>
      </c>
      <c r="F1510" s="181">
        <v>0</v>
      </c>
      <c r="G1510" s="181">
        <v>0</v>
      </c>
      <c r="H1510" s="181">
        <v>0</v>
      </c>
      <c r="I1510" s="181">
        <v>0</v>
      </c>
      <c r="J1510" s="181">
        <v>0</v>
      </c>
      <c r="K1510" s="181">
        <v>0</v>
      </c>
      <c r="L1510" s="181">
        <v>0</v>
      </c>
      <c r="M1510" s="181">
        <v>44952993.964799993</v>
      </c>
      <c r="N1510" s="181">
        <v>406399.18719999999</v>
      </c>
      <c r="O1510" s="181">
        <v>353960.58240000001</v>
      </c>
      <c r="P1510" s="181">
        <v>101.6</v>
      </c>
      <c r="Q1510" s="181">
        <v>44952993.964799993</v>
      </c>
      <c r="R1510" s="181">
        <v>406399.18719999999</v>
      </c>
      <c r="S1510" s="181">
        <v>353960.58240000001</v>
      </c>
      <c r="T1510" s="181">
        <v>101.6</v>
      </c>
      <c r="U1510" s="181">
        <v>69510648.075199991</v>
      </c>
      <c r="V1510" s="181">
        <v>0</v>
      </c>
    </row>
    <row r="1511" spans="1:22">
      <c r="A1511" s="2" t="s">
        <v>3040</v>
      </c>
      <c r="B1511" s="2" t="s">
        <v>3041</v>
      </c>
      <c r="C1511" s="181">
        <v>82.592879999999994</v>
      </c>
      <c r="D1511" s="181">
        <v>9870.9480000000003</v>
      </c>
      <c r="E1511" s="181">
        <v>0</v>
      </c>
      <c r="F1511" s="181">
        <v>0</v>
      </c>
      <c r="G1511" s="181">
        <v>0</v>
      </c>
      <c r="H1511" s="181">
        <v>0</v>
      </c>
      <c r="I1511" s="181">
        <v>0</v>
      </c>
      <c r="J1511" s="181">
        <v>0</v>
      </c>
      <c r="K1511" s="181">
        <v>0</v>
      </c>
      <c r="L1511" s="181">
        <v>0</v>
      </c>
      <c r="M1511" s="181">
        <v>89073525.078399986</v>
      </c>
      <c r="N1511" s="181">
        <v>850488.62159999995</v>
      </c>
      <c r="O1511" s="181">
        <v>699727.63280000002</v>
      </c>
      <c r="P1511" s="181">
        <v>94.74199999999999</v>
      </c>
      <c r="Q1511" s="181">
        <v>62850945.265599996</v>
      </c>
      <c r="R1511" s="181">
        <v>729224.34799999988</v>
      </c>
      <c r="S1511" s="181">
        <v>619431.01919999986</v>
      </c>
      <c r="T1511" s="181">
        <v>79.756</v>
      </c>
      <c r="U1511" s="181">
        <v>119874650.57279998</v>
      </c>
      <c r="V1511" s="181">
        <v>0</v>
      </c>
    </row>
    <row r="1512" spans="1:22">
      <c r="A1512" s="2" t="s">
        <v>3042</v>
      </c>
      <c r="B1512" s="2" t="s">
        <v>3043</v>
      </c>
      <c r="C1512" s="181">
        <v>63.544432</v>
      </c>
      <c r="D1512" s="181">
        <v>7612.8879999999999</v>
      </c>
      <c r="E1512" s="181">
        <v>0</v>
      </c>
      <c r="F1512" s="181">
        <v>0</v>
      </c>
      <c r="G1512" s="181">
        <v>0</v>
      </c>
      <c r="H1512" s="181">
        <v>0</v>
      </c>
      <c r="I1512" s="181">
        <v>0</v>
      </c>
      <c r="J1512" s="181">
        <v>0</v>
      </c>
      <c r="K1512" s="181">
        <v>0</v>
      </c>
      <c r="L1512" s="181">
        <v>0</v>
      </c>
      <c r="M1512" s="181">
        <v>70343110.926399991</v>
      </c>
      <c r="N1512" s="181">
        <v>663676.09199999995</v>
      </c>
      <c r="O1512" s="181">
        <v>555521.46959999995</v>
      </c>
      <c r="P1512" s="181">
        <v>96.265999999999991</v>
      </c>
      <c r="Q1512" s="181">
        <v>49947771.071999997</v>
      </c>
      <c r="R1512" s="181">
        <v>570269.82719999994</v>
      </c>
      <c r="S1512" s="181">
        <v>491611.91999999993</v>
      </c>
      <c r="T1512" s="181">
        <v>81.025999999999996</v>
      </c>
      <c r="U1512" s="181">
        <v>93235839.334399998</v>
      </c>
      <c r="V1512" s="181">
        <v>0</v>
      </c>
    </row>
    <row r="1513" spans="1:22">
      <c r="A1513" s="2" t="s">
        <v>3044</v>
      </c>
      <c r="B1513" s="2" t="s">
        <v>3045</v>
      </c>
      <c r="C1513" s="181">
        <v>53.57376</v>
      </c>
      <c r="D1513" s="181">
        <v>6399.9871999999996</v>
      </c>
      <c r="E1513" s="181">
        <v>0</v>
      </c>
      <c r="F1513" s="181">
        <v>0</v>
      </c>
      <c r="G1513" s="181">
        <v>0</v>
      </c>
      <c r="H1513" s="181">
        <v>0</v>
      </c>
      <c r="I1513" s="181">
        <v>0</v>
      </c>
      <c r="J1513" s="181">
        <v>0</v>
      </c>
      <c r="K1513" s="181">
        <v>0</v>
      </c>
      <c r="L1513" s="181">
        <v>0</v>
      </c>
      <c r="M1513" s="181">
        <v>60353556.711999997</v>
      </c>
      <c r="N1513" s="181">
        <v>563715.00159999996</v>
      </c>
      <c r="O1513" s="181">
        <v>475224.85599999997</v>
      </c>
      <c r="P1513" s="181">
        <v>97.027999999999992</v>
      </c>
      <c r="Q1513" s="181">
        <v>42871836.836799994</v>
      </c>
      <c r="R1513" s="181">
        <v>485057.0944</v>
      </c>
      <c r="S1513" s="181">
        <v>421147.54479999997</v>
      </c>
      <c r="T1513" s="181">
        <v>81.787999999999997</v>
      </c>
      <c r="U1513" s="181">
        <v>79083970.863999993</v>
      </c>
      <c r="V1513" s="181">
        <v>0</v>
      </c>
    </row>
    <row r="1514" spans="1:22">
      <c r="A1514" s="2" t="s">
        <v>3046</v>
      </c>
      <c r="B1514" s="2" t="s">
        <v>3047</v>
      </c>
      <c r="C1514" s="181">
        <v>43.454271999999996</v>
      </c>
      <c r="D1514" s="181">
        <v>5180.6347999999989</v>
      </c>
      <c r="E1514" s="181">
        <v>0</v>
      </c>
      <c r="F1514" s="181">
        <v>0</v>
      </c>
      <c r="G1514" s="181">
        <v>0</v>
      </c>
      <c r="H1514" s="181">
        <v>0</v>
      </c>
      <c r="I1514" s="181">
        <v>0</v>
      </c>
      <c r="J1514" s="181">
        <v>0</v>
      </c>
      <c r="K1514" s="181">
        <v>0</v>
      </c>
      <c r="L1514" s="181">
        <v>0</v>
      </c>
      <c r="M1514" s="181">
        <v>49531539.646399997</v>
      </c>
      <c r="N1514" s="181">
        <v>460476.49839999998</v>
      </c>
      <c r="O1514" s="181">
        <v>390012.12319999997</v>
      </c>
      <c r="P1514" s="181">
        <v>97.789999999999992</v>
      </c>
      <c r="Q1514" s="181">
        <v>35254801.748319998</v>
      </c>
      <c r="R1514" s="181">
        <v>396566.94879999995</v>
      </c>
      <c r="S1514" s="181">
        <v>347405.75679999997</v>
      </c>
      <c r="T1514" s="181">
        <v>82.55</v>
      </c>
      <c r="U1514" s="181">
        <v>64515870.967999995</v>
      </c>
      <c r="V1514" s="181">
        <v>0</v>
      </c>
    </row>
    <row r="1515" spans="1:22">
      <c r="A1515" s="2" t="s">
        <v>3048</v>
      </c>
      <c r="B1515" s="2" t="s">
        <v>3049</v>
      </c>
      <c r="C1515" s="181">
        <v>33.037151999999999</v>
      </c>
      <c r="D1515" s="181">
        <v>3909.6695999999997</v>
      </c>
      <c r="E1515" s="181">
        <v>0</v>
      </c>
      <c r="F1515" s="181">
        <v>0</v>
      </c>
      <c r="G1515" s="181">
        <v>0</v>
      </c>
      <c r="H1515" s="181">
        <v>0</v>
      </c>
      <c r="I1515" s="181">
        <v>0</v>
      </c>
      <c r="J1515" s="181">
        <v>0</v>
      </c>
      <c r="K1515" s="181">
        <v>0</v>
      </c>
      <c r="L1515" s="181">
        <v>0</v>
      </c>
      <c r="M1515" s="181">
        <v>38043552.299839996</v>
      </c>
      <c r="N1515" s="181">
        <v>350683.16959999996</v>
      </c>
      <c r="O1515" s="181">
        <v>299883.27119999996</v>
      </c>
      <c r="P1515" s="181">
        <v>98.551999999999992</v>
      </c>
      <c r="Q1515" s="181">
        <v>27096665.806559995</v>
      </c>
      <c r="R1515" s="181">
        <v>301521.97759999993</v>
      </c>
      <c r="S1515" s="181">
        <v>267109.14319999999</v>
      </c>
      <c r="T1515" s="181">
        <v>83.311999999999983</v>
      </c>
      <c r="U1515" s="181">
        <v>49115308.220799997</v>
      </c>
      <c r="V1515" s="181">
        <v>0</v>
      </c>
    </row>
    <row r="1516" spans="1:22">
      <c r="A1516" s="2" t="s">
        <v>3050</v>
      </c>
      <c r="B1516" s="2" t="s">
        <v>3051</v>
      </c>
      <c r="C1516" s="181">
        <v>87.950255999999996</v>
      </c>
      <c r="D1516" s="181">
        <v>10580.623999999998</v>
      </c>
      <c r="E1516" s="181">
        <v>0</v>
      </c>
      <c r="F1516" s="181">
        <v>0</v>
      </c>
      <c r="G1516" s="181">
        <v>0</v>
      </c>
      <c r="H1516" s="181">
        <v>0</v>
      </c>
      <c r="I1516" s="181">
        <v>0</v>
      </c>
      <c r="J1516" s="181">
        <v>0</v>
      </c>
      <c r="K1516" s="181">
        <v>0</v>
      </c>
      <c r="L1516" s="181">
        <v>0</v>
      </c>
      <c r="M1516" s="181">
        <v>83662516.545599997</v>
      </c>
      <c r="N1516" s="181">
        <v>840656.38319999992</v>
      </c>
      <c r="O1516" s="181">
        <v>658759.97279999999</v>
      </c>
      <c r="P1516" s="181">
        <v>88.899999999999991</v>
      </c>
      <c r="Q1516" s="181">
        <v>37211089.448639996</v>
      </c>
      <c r="R1516" s="181">
        <v>586656.89119999995</v>
      </c>
      <c r="S1516" s="181">
        <v>488334.50719999999</v>
      </c>
      <c r="T1516" s="181">
        <v>59.435999999999993</v>
      </c>
      <c r="U1516" s="181">
        <v>86992367.950399995</v>
      </c>
      <c r="V1516" s="181">
        <v>0</v>
      </c>
    </row>
    <row r="1517" spans="1:22">
      <c r="A1517" s="2" t="s">
        <v>3052</v>
      </c>
      <c r="B1517" s="2" t="s">
        <v>3053</v>
      </c>
      <c r="C1517" s="181">
        <v>72.473392000000004</v>
      </c>
      <c r="D1517" s="181">
        <v>8709.66</v>
      </c>
      <c r="E1517" s="181">
        <v>0</v>
      </c>
      <c r="F1517" s="181">
        <v>0</v>
      </c>
      <c r="G1517" s="181">
        <v>0</v>
      </c>
      <c r="H1517" s="181">
        <v>0</v>
      </c>
      <c r="I1517" s="181">
        <v>0</v>
      </c>
      <c r="J1517" s="181">
        <v>0</v>
      </c>
      <c r="K1517" s="181">
        <v>0</v>
      </c>
      <c r="L1517" s="181">
        <v>0</v>
      </c>
      <c r="M1517" s="181">
        <v>71175573.77759999</v>
      </c>
      <c r="N1517" s="181">
        <v>704643.75199999998</v>
      </c>
      <c r="O1517" s="181">
        <v>562076.29519999993</v>
      </c>
      <c r="P1517" s="181">
        <v>90.677999999999997</v>
      </c>
      <c r="Q1517" s="181">
        <v>31966573.486079995</v>
      </c>
      <c r="R1517" s="181">
        <v>493250.62639999995</v>
      </c>
      <c r="S1517" s="181">
        <v>419508.83840000001</v>
      </c>
      <c r="T1517" s="181">
        <v>60.706000000000003</v>
      </c>
      <c r="U1517" s="181">
        <v>73256730.905599996</v>
      </c>
      <c r="V1517" s="181">
        <v>0</v>
      </c>
    </row>
    <row r="1518" spans="1:22">
      <c r="A1518" s="2" t="s">
        <v>3054</v>
      </c>
      <c r="B1518" s="2" t="s">
        <v>3055</v>
      </c>
      <c r="C1518" s="181">
        <v>55.954816000000001</v>
      </c>
      <c r="D1518" s="181">
        <v>6709.6639999999998</v>
      </c>
      <c r="E1518" s="181">
        <v>0</v>
      </c>
      <c r="F1518" s="181">
        <v>0</v>
      </c>
      <c r="G1518" s="181">
        <v>0</v>
      </c>
      <c r="H1518" s="181">
        <v>0</v>
      </c>
      <c r="I1518" s="181">
        <v>0</v>
      </c>
      <c r="J1518" s="181">
        <v>0</v>
      </c>
      <c r="K1518" s="181">
        <v>0</v>
      </c>
      <c r="L1518" s="181">
        <v>0</v>
      </c>
      <c r="M1518" s="181">
        <v>57023705.307199992</v>
      </c>
      <c r="N1518" s="181">
        <v>553882.76319999993</v>
      </c>
      <c r="O1518" s="181">
        <v>449005.55359999993</v>
      </c>
      <c r="P1518" s="181">
        <v>92.201999999999998</v>
      </c>
      <c r="Q1518" s="181">
        <v>25723102.102079995</v>
      </c>
      <c r="R1518" s="181">
        <v>388373.41679999995</v>
      </c>
      <c r="S1518" s="181">
        <v>337573.5184</v>
      </c>
      <c r="T1518" s="181">
        <v>61.975999999999992</v>
      </c>
      <c r="U1518" s="181">
        <v>57856168.158399992</v>
      </c>
      <c r="V1518" s="181">
        <v>0</v>
      </c>
    </row>
    <row r="1519" spans="1:22">
      <c r="A1519" s="2" t="s">
        <v>3056</v>
      </c>
      <c r="B1519" s="2" t="s">
        <v>3057</v>
      </c>
      <c r="C1519" s="181">
        <v>47.323487999999998</v>
      </c>
      <c r="D1519" s="181">
        <v>5651.6016</v>
      </c>
      <c r="E1519" s="181">
        <v>0</v>
      </c>
      <c r="F1519" s="181">
        <v>0</v>
      </c>
      <c r="G1519" s="181">
        <v>0</v>
      </c>
      <c r="H1519" s="181">
        <v>0</v>
      </c>
      <c r="I1519" s="181">
        <v>0</v>
      </c>
      <c r="J1519" s="181">
        <v>0</v>
      </c>
      <c r="K1519" s="181">
        <v>0</v>
      </c>
      <c r="L1519" s="181">
        <v>0</v>
      </c>
      <c r="M1519" s="181">
        <v>49115308.220799997</v>
      </c>
      <c r="N1519" s="181">
        <v>471947.44319999998</v>
      </c>
      <c r="O1519" s="181">
        <v>385096.00399999996</v>
      </c>
      <c r="P1519" s="181">
        <v>92.963999999999999</v>
      </c>
      <c r="Q1519" s="181">
        <v>22185134.984479997</v>
      </c>
      <c r="R1519" s="181">
        <v>331018.69279999996</v>
      </c>
      <c r="S1519" s="181">
        <v>291689.73920000001</v>
      </c>
      <c r="T1519" s="181">
        <v>62.738</v>
      </c>
      <c r="U1519" s="181">
        <v>49115308.220799997</v>
      </c>
      <c r="V1519" s="181">
        <v>0</v>
      </c>
    </row>
    <row r="1520" spans="1:22">
      <c r="A1520" s="2" t="s">
        <v>3058</v>
      </c>
      <c r="B1520" s="2" t="s">
        <v>3059</v>
      </c>
      <c r="C1520" s="181">
        <v>38.394528000000001</v>
      </c>
      <c r="D1520" s="181">
        <v>4580.6359999999995</v>
      </c>
      <c r="E1520" s="181">
        <v>0</v>
      </c>
      <c r="F1520" s="181">
        <v>0</v>
      </c>
      <c r="G1520" s="181">
        <v>0</v>
      </c>
      <c r="H1520" s="181">
        <v>0</v>
      </c>
      <c r="I1520" s="181">
        <v>0</v>
      </c>
      <c r="J1520" s="181">
        <v>0</v>
      </c>
      <c r="K1520" s="181">
        <v>0</v>
      </c>
      <c r="L1520" s="181">
        <v>0</v>
      </c>
      <c r="M1520" s="181">
        <v>40332825.140639998</v>
      </c>
      <c r="N1520" s="181">
        <v>386734.71039999998</v>
      </c>
      <c r="O1520" s="181">
        <v>317909.04159999994</v>
      </c>
      <c r="P1520" s="181">
        <v>93.725999999999999</v>
      </c>
      <c r="Q1520" s="181">
        <v>18355805.868960001</v>
      </c>
      <c r="R1520" s="181">
        <v>272025.26240000001</v>
      </c>
      <c r="S1520" s="181">
        <v>240889.84079999998</v>
      </c>
      <c r="T1520" s="181">
        <v>63.246000000000002</v>
      </c>
      <c r="U1520" s="181">
        <v>40249578.855519995</v>
      </c>
      <c r="V1520" s="181">
        <v>0</v>
      </c>
    </row>
    <row r="1521" spans="1:22">
      <c r="A1521" s="2" t="s">
        <v>3060</v>
      </c>
      <c r="B1521" s="2" t="s">
        <v>3061</v>
      </c>
      <c r="C1521" s="181">
        <v>29.167936000000001</v>
      </c>
      <c r="D1521" s="181">
        <v>3464.5092</v>
      </c>
      <c r="E1521" s="181">
        <v>0</v>
      </c>
      <c r="F1521" s="181">
        <v>0</v>
      </c>
      <c r="G1521" s="181">
        <v>0</v>
      </c>
      <c r="H1521" s="181">
        <v>0</v>
      </c>
      <c r="I1521" s="181">
        <v>0</v>
      </c>
      <c r="J1521" s="181">
        <v>0</v>
      </c>
      <c r="K1521" s="181">
        <v>0</v>
      </c>
      <c r="L1521" s="181">
        <v>0</v>
      </c>
      <c r="M1521" s="181">
        <v>31050864.349759996</v>
      </c>
      <c r="N1521" s="181">
        <v>294967.152</v>
      </c>
      <c r="O1521" s="181">
        <v>244167.2536</v>
      </c>
      <c r="P1521" s="181">
        <v>94.74199999999999</v>
      </c>
      <c r="Q1521" s="181">
        <v>14193491.61296</v>
      </c>
      <c r="R1521" s="181">
        <v>208115.71279999998</v>
      </c>
      <c r="S1521" s="181">
        <v>186812.52959999998</v>
      </c>
      <c r="T1521" s="181">
        <v>64.007999999999996</v>
      </c>
      <c r="U1521" s="181">
        <v>30717879.209279995</v>
      </c>
      <c r="V1521" s="181">
        <v>0</v>
      </c>
    </row>
    <row r="1522" spans="1:22">
      <c r="A1522" s="2" t="s">
        <v>3062</v>
      </c>
      <c r="B1522" s="2" t="s">
        <v>3063</v>
      </c>
      <c r="C1522" s="181">
        <v>52.234416000000003</v>
      </c>
      <c r="D1522" s="181">
        <v>6238.6971999999996</v>
      </c>
      <c r="E1522" s="181">
        <v>0</v>
      </c>
      <c r="F1522" s="181">
        <v>0</v>
      </c>
      <c r="G1522" s="181">
        <v>0</v>
      </c>
      <c r="H1522" s="181">
        <v>0</v>
      </c>
      <c r="I1522" s="181">
        <v>0</v>
      </c>
      <c r="J1522" s="181">
        <v>0</v>
      </c>
      <c r="K1522" s="181">
        <v>0</v>
      </c>
      <c r="L1522" s="181">
        <v>0</v>
      </c>
      <c r="M1522" s="181">
        <v>49947771.071999997</v>
      </c>
      <c r="N1522" s="181">
        <v>498166.74559999991</v>
      </c>
      <c r="O1522" s="181">
        <v>394928.24239999999</v>
      </c>
      <c r="P1522" s="181">
        <v>89.661999999999992</v>
      </c>
      <c r="Q1522" s="181">
        <v>16898995.879359998</v>
      </c>
      <c r="R1522" s="181">
        <v>306438.09679999994</v>
      </c>
      <c r="S1522" s="181">
        <v>265470.43679999997</v>
      </c>
      <c r="T1522" s="181">
        <v>52.069999999999993</v>
      </c>
      <c r="U1522" s="181">
        <v>41623142.559999995</v>
      </c>
      <c r="V1522" s="181">
        <v>0</v>
      </c>
    </row>
    <row r="1523" spans="1:22">
      <c r="A1523" s="2" t="s">
        <v>3064</v>
      </c>
      <c r="B1523" s="2" t="s">
        <v>3065</v>
      </c>
      <c r="C1523" s="181">
        <v>44.198352</v>
      </c>
      <c r="D1523" s="181">
        <v>5270.9571999999998</v>
      </c>
      <c r="E1523" s="181">
        <v>0</v>
      </c>
      <c r="F1523" s="181">
        <v>0</v>
      </c>
      <c r="G1523" s="181">
        <v>0</v>
      </c>
      <c r="H1523" s="181">
        <v>0</v>
      </c>
      <c r="I1523" s="181">
        <v>0</v>
      </c>
      <c r="J1523" s="181">
        <v>0</v>
      </c>
      <c r="K1523" s="181">
        <v>0</v>
      </c>
      <c r="L1523" s="181">
        <v>0</v>
      </c>
      <c r="M1523" s="181">
        <v>43288068.262399994</v>
      </c>
      <c r="N1523" s="181">
        <v>426063.66399999999</v>
      </c>
      <c r="O1523" s="181">
        <v>340850.93119999999</v>
      </c>
      <c r="P1523" s="181">
        <v>90.423999999999992</v>
      </c>
      <c r="Q1523" s="181">
        <v>14651346.181119999</v>
      </c>
      <c r="R1523" s="181">
        <v>262193.02399999998</v>
      </c>
      <c r="S1523" s="181">
        <v>231057.60239999997</v>
      </c>
      <c r="T1523" s="181">
        <v>52.577999999999996</v>
      </c>
      <c r="U1523" s="181">
        <v>35795902.601599999</v>
      </c>
      <c r="V1523" s="181">
        <v>0</v>
      </c>
    </row>
    <row r="1524" spans="1:22">
      <c r="A1524" s="2" t="s">
        <v>3066</v>
      </c>
      <c r="B1524" s="2" t="s">
        <v>3067</v>
      </c>
      <c r="C1524" s="181">
        <v>35.864656000000004</v>
      </c>
      <c r="D1524" s="181">
        <v>4277.4107999999997</v>
      </c>
      <c r="E1524" s="181">
        <v>0</v>
      </c>
      <c r="F1524" s="181">
        <v>0</v>
      </c>
      <c r="G1524" s="181">
        <v>0</v>
      </c>
      <c r="H1524" s="181">
        <v>0</v>
      </c>
      <c r="I1524" s="181">
        <v>0</v>
      </c>
      <c r="J1524" s="181">
        <v>0</v>
      </c>
      <c r="K1524" s="181">
        <v>0</v>
      </c>
      <c r="L1524" s="181">
        <v>0</v>
      </c>
      <c r="M1524" s="181">
        <v>35712656.316479996</v>
      </c>
      <c r="N1524" s="181">
        <v>349044.4632</v>
      </c>
      <c r="O1524" s="181">
        <v>281857.50079999998</v>
      </c>
      <c r="P1524" s="181">
        <v>91.44</v>
      </c>
      <c r="Q1524" s="181">
        <v>12195580.770079998</v>
      </c>
      <c r="R1524" s="181">
        <v>216309.24479999996</v>
      </c>
      <c r="S1524" s="181">
        <v>191728.64879999997</v>
      </c>
      <c r="T1524" s="181">
        <v>53.339999999999996</v>
      </c>
      <c r="U1524" s="181">
        <v>29427561.789919998</v>
      </c>
      <c r="V1524" s="181">
        <v>0</v>
      </c>
    </row>
    <row r="1525" spans="1:22">
      <c r="A1525" s="2" t="s">
        <v>3068</v>
      </c>
      <c r="B1525" s="2" t="s">
        <v>3069</v>
      </c>
      <c r="C1525" s="181">
        <v>27.233328</v>
      </c>
      <c r="D1525" s="181">
        <v>3238.7031999999995</v>
      </c>
      <c r="E1525" s="181">
        <v>0</v>
      </c>
      <c r="F1525" s="181">
        <v>0</v>
      </c>
      <c r="G1525" s="181">
        <v>0</v>
      </c>
      <c r="H1525" s="181">
        <v>0</v>
      </c>
      <c r="I1525" s="181">
        <v>0</v>
      </c>
      <c r="J1525" s="181">
        <v>0</v>
      </c>
      <c r="K1525" s="181">
        <v>0</v>
      </c>
      <c r="L1525" s="181">
        <v>0</v>
      </c>
      <c r="M1525" s="181">
        <v>27554520.37472</v>
      </c>
      <c r="N1525" s="181">
        <v>267109.14319999999</v>
      </c>
      <c r="O1525" s="181">
        <v>216309.24479999996</v>
      </c>
      <c r="P1525" s="181">
        <v>92.201999999999998</v>
      </c>
      <c r="Q1525" s="181">
        <v>9448453.3611199986</v>
      </c>
      <c r="R1525" s="181">
        <v>165509.34639999998</v>
      </c>
      <c r="S1525" s="181">
        <v>148958.41175999999</v>
      </c>
      <c r="T1525" s="181">
        <v>54.101999999999997</v>
      </c>
      <c r="U1525" s="181">
        <v>22518120.124959998</v>
      </c>
      <c r="V1525" s="181">
        <v>0</v>
      </c>
    </row>
    <row r="1526" spans="1:22">
      <c r="A1526" s="2" t="s">
        <v>3070</v>
      </c>
      <c r="B1526" s="2" t="s">
        <v>3071</v>
      </c>
      <c r="C1526" s="181">
        <v>75.300895999999995</v>
      </c>
      <c r="D1526" s="181">
        <v>9032.24</v>
      </c>
      <c r="E1526" s="181">
        <v>0</v>
      </c>
      <c r="F1526" s="181">
        <v>0</v>
      </c>
      <c r="G1526" s="181">
        <v>0</v>
      </c>
      <c r="H1526" s="181">
        <v>0</v>
      </c>
      <c r="I1526" s="181">
        <v>0</v>
      </c>
      <c r="J1526" s="181">
        <v>0</v>
      </c>
      <c r="K1526" s="181">
        <v>0</v>
      </c>
      <c r="L1526" s="181">
        <v>0</v>
      </c>
      <c r="M1526" s="181">
        <v>62018482.414399996</v>
      </c>
      <c r="N1526" s="181">
        <v>660398.6791999999</v>
      </c>
      <c r="O1526" s="181">
        <v>489973.21359999996</v>
      </c>
      <c r="P1526" s="181">
        <v>82.803999999999988</v>
      </c>
      <c r="Q1526" s="181">
        <v>13943752.757599998</v>
      </c>
      <c r="R1526" s="181">
        <v>337573.5184</v>
      </c>
      <c r="S1526" s="181">
        <v>275302.6752</v>
      </c>
      <c r="T1526" s="181">
        <v>39.116</v>
      </c>
      <c r="U1526" s="181">
        <v>39833347.429919995</v>
      </c>
      <c r="V1526" s="181">
        <v>0</v>
      </c>
    </row>
    <row r="1527" spans="1:22">
      <c r="A1527" s="2" t="s">
        <v>3072</v>
      </c>
      <c r="B1527" s="2" t="s">
        <v>3073</v>
      </c>
      <c r="C1527" s="181">
        <v>62.353903999999993</v>
      </c>
      <c r="D1527" s="181">
        <v>7483.8559999999998</v>
      </c>
      <c r="E1527" s="181">
        <v>0</v>
      </c>
      <c r="F1527" s="181">
        <v>0</v>
      </c>
      <c r="G1527" s="181">
        <v>0</v>
      </c>
      <c r="H1527" s="181">
        <v>0</v>
      </c>
      <c r="I1527" s="181">
        <v>0</v>
      </c>
      <c r="J1527" s="181">
        <v>0</v>
      </c>
      <c r="K1527" s="181">
        <v>0</v>
      </c>
      <c r="L1527" s="181">
        <v>0</v>
      </c>
      <c r="M1527" s="181">
        <v>53693853.902399994</v>
      </c>
      <c r="N1527" s="181">
        <v>558798.8824</v>
      </c>
      <c r="O1527" s="181">
        <v>422786.2512</v>
      </c>
      <c r="P1527" s="181">
        <v>84.835999999999999</v>
      </c>
      <c r="Q1527" s="181">
        <v>12278827.055199999</v>
      </c>
      <c r="R1527" s="181">
        <v>288412.32640000002</v>
      </c>
      <c r="S1527" s="181">
        <v>240889.84079999998</v>
      </c>
      <c r="T1527" s="181">
        <v>40.386000000000003</v>
      </c>
      <c r="U1527" s="181">
        <v>34380715.754559994</v>
      </c>
      <c r="V1527" s="181">
        <v>0</v>
      </c>
    </row>
    <row r="1528" spans="1:22">
      <c r="A1528" s="2" t="s">
        <v>3074</v>
      </c>
      <c r="B1528" s="2" t="s">
        <v>3075</v>
      </c>
      <c r="C1528" s="181">
        <v>48.365199999999994</v>
      </c>
      <c r="D1528" s="181">
        <v>5787.0852000000004</v>
      </c>
      <c r="E1528" s="181">
        <v>0</v>
      </c>
      <c r="F1528" s="181">
        <v>0</v>
      </c>
      <c r="G1528" s="181">
        <v>0</v>
      </c>
      <c r="H1528" s="181">
        <v>0</v>
      </c>
      <c r="I1528" s="181">
        <v>0</v>
      </c>
      <c r="J1528" s="181">
        <v>0</v>
      </c>
      <c r="K1528" s="181">
        <v>0</v>
      </c>
      <c r="L1528" s="181">
        <v>0</v>
      </c>
      <c r="M1528" s="181">
        <v>43288068.262399994</v>
      </c>
      <c r="N1528" s="181">
        <v>442450.72799999994</v>
      </c>
      <c r="O1528" s="181">
        <v>340850.93119999999</v>
      </c>
      <c r="P1528" s="181">
        <v>86.614000000000004</v>
      </c>
      <c r="Q1528" s="181">
        <v>10114423.64208</v>
      </c>
      <c r="R1528" s="181">
        <v>229418.89599999998</v>
      </c>
      <c r="S1528" s="181">
        <v>198283.47439999998</v>
      </c>
      <c r="T1528" s="181">
        <v>41.655999999999992</v>
      </c>
      <c r="U1528" s="181">
        <v>27679389.802399997</v>
      </c>
      <c r="V1528" s="181">
        <v>0</v>
      </c>
    </row>
    <row r="1529" spans="1:22">
      <c r="A1529" s="2" t="s">
        <v>3076</v>
      </c>
      <c r="B1529" s="2" t="s">
        <v>3077</v>
      </c>
      <c r="C1529" s="181">
        <v>40.924399999999999</v>
      </c>
      <c r="D1529" s="181">
        <v>4896.7644</v>
      </c>
      <c r="E1529" s="181">
        <v>0</v>
      </c>
      <c r="F1529" s="181">
        <v>0</v>
      </c>
      <c r="G1529" s="181">
        <v>0</v>
      </c>
      <c r="H1529" s="181">
        <v>0</v>
      </c>
      <c r="I1529" s="181">
        <v>0</v>
      </c>
      <c r="J1529" s="181">
        <v>0</v>
      </c>
      <c r="K1529" s="181">
        <v>0</v>
      </c>
      <c r="L1529" s="181">
        <v>0</v>
      </c>
      <c r="M1529" s="181">
        <v>37502451.446559995</v>
      </c>
      <c r="N1529" s="181">
        <v>378541.17839999998</v>
      </c>
      <c r="O1529" s="181">
        <v>294967.152</v>
      </c>
      <c r="P1529" s="181">
        <v>87.375999999999991</v>
      </c>
      <c r="Q1529" s="181">
        <v>8824106.222719999</v>
      </c>
      <c r="R1529" s="181">
        <v>198283.47439999998</v>
      </c>
      <c r="S1529" s="181">
        <v>173702.87839999999</v>
      </c>
      <c r="T1529" s="181">
        <v>42.417999999999999</v>
      </c>
      <c r="U1529" s="181">
        <v>23850060.686879996</v>
      </c>
      <c r="V1529" s="181">
        <v>0</v>
      </c>
    </row>
    <row r="1530" spans="1:22">
      <c r="A1530" s="2" t="s">
        <v>3078</v>
      </c>
      <c r="B1530" s="2" t="s">
        <v>3079</v>
      </c>
      <c r="C1530" s="181">
        <v>33.334783999999999</v>
      </c>
      <c r="D1530" s="181">
        <v>3980.6371999999997</v>
      </c>
      <c r="E1530" s="181">
        <v>0</v>
      </c>
      <c r="F1530" s="181">
        <v>0</v>
      </c>
      <c r="G1530" s="181">
        <v>0</v>
      </c>
      <c r="H1530" s="181">
        <v>0</v>
      </c>
      <c r="I1530" s="181">
        <v>0</v>
      </c>
      <c r="J1530" s="181">
        <v>0</v>
      </c>
      <c r="K1530" s="181">
        <v>0</v>
      </c>
      <c r="L1530" s="181">
        <v>0</v>
      </c>
      <c r="M1530" s="181">
        <v>31092487.492319997</v>
      </c>
      <c r="N1530" s="181">
        <v>311354.21599999996</v>
      </c>
      <c r="O1530" s="181">
        <v>244167.2536</v>
      </c>
      <c r="P1530" s="181">
        <v>88.391999999999996</v>
      </c>
      <c r="Q1530" s="181">
        <v>7367296.2331199991</v>
      </c>
      <c r="R1530" s="181">
        <v>163215.15744000001</v>
      </c>
      <c r="S1530" s="181">
        <v>145353.25767999998</v>
      </c>
      <c r="T1530" s="181">
        <v>43.18</v>
      </c>
      <c r="U1530" s="181">
        <v>19729369.573439997</v>
      </c>
      <c r="V1530" s="181">
        <v>0</v>
      </c>
    </row>
    <row r="1531" spans="1:22">
      <c r="A1531" s="2" t="s">
        <v>3080</v>
      </c>
      <c r="B1531" s="2" t="s">
        <v>3081</v>
      </c>
      <c r="C1531" s="181">
        <v>25.447535999999999</v>
      </c>
      <c r="D1531" s="181">
        <v>3012.8971999999999</v>
      </c>
      <c r="E1531" s="181">
        <v>0</v>
      </c>
      <c r="F1531" s="181">
        <v>0</v>
      </c>
      <c r="G1531" s="181">
        <v>0</v>
      </c>
      <c r="H1531" s="181">
        <v>0</v>
      </c>
      <c r="I1531" s="181">
        <v>0</v>
      </c>
      <c r="J1531" s="181">
        <v>0</v>
      </c>
      <c r="K1531" s="181">
        <v>0</v>
      </c>
      <c r="L1531" s="181">
        <v>0</v>
      </c>
      <c r="M1531" s="181">
        <v>24058176.399679996</v>
      </c>
      <c r="N1531" s="181">
        <v>239251.13439999998</v>
      </c>
      <c r="O1531" s="181">
        <v>190089.94239999997</v>
      </c>
      <c r="P1531" s="181">
        <v>89.408000000000001</v>
      </c>
      <c r="Q1531" s="181">
        <v>5785616.8158399994</v>
      </c>
      <c r="R1531" s="181">
        <v>125524.91024</v>
      </c>
      <c r="S1531" s="181">
        <v>113562.35351999999</v>
      </c>
      <c r="T1531" s="181">
        <v>43.687999999999995</v>
      </c>
      <c r="U1531" s="181">
        <v>15192447.034399999</v>
      </c>
      <c r="V1531" s="181">
        <v>0</v>
      </c>
    </row>
    <row r="1532" spans="1:22">
      <c r="A1532" s="2" t="s">
        <v>3082</v>
      </c>
      <c r="B1532" s="2" t="s">
        <v>3083</v>
      </c>
      <c r="C1532" s="181">
        <v>24.405823999999996</v>
      </c>
      <c r="D1532" s="181">
        <v>2903.22</v>
      </c>
      <c r="E1532" s="181">
        <v>0</v>
      </c>
      <c r="F1532" s="181">
        <v>0</v>
      </c>
      <c r="G1532" s="181">
        <v>0</v>
      </c>
      <c r="H1532" s="181">
        <v>0</v>
      </c>
      <c r="I1532" s="181">
        <v>0</v>
      </c>
      <c r="J1532" s="181">
        <v>0</v>
      </c>
      <c r="K1532" s="181">
        <v>0</v>
      </c>
      <c r="L1532" s="181">
        <v>0</v>
      </c>
      <c r="M1532" s="181">
        <v>22310004.412159998</v>
      </c>
      <c r="N1532" s="181">
        <v>224502.77679999996</v>
      </c>
      <c r="O1532" s="181">
        <v>175341.58479999998</v>
      </c>
      <c r="P1532" s="181">
        <v>87.63</v>
      </c>
      <c r="Q1532" s="181">
        <v>4287183.6836799998</v>
      </c>
      <c r="R1532" s="181">
        <v>106843.65727999998</v>
      </c>
      <c r="S1532" s="181">
        <v>96519.806959999987</v>
      </c>
      <c r="T1532" s="181">
        <v>38.353999999999999</v>
      </c>
      <c r="U1532" s="181">
        <v>11904218.772159999</v>
      </c>
      <c r="V1532" s="181">
        <v>0</v>
      </c>
    </row>
    <row r="1533" spans="1:22">
      <c r="A1533" s="2" t="s">
        <v>3084</v>
      </c>
      <c r="B1533" s="2" t="s">
        <v>3085</v>
      </c>
      <c r="C1533" s="181">
        <v>44.644799999999996</v>
      </c>
      <c r="D1533" s="181">
        <v>5335.4731999999995</v>
      </c>
      <c r="E1533" s="181">
        <v>0</v>
      </c>
      <c r="F1533" s="181">
        <v>0</v>
      </c>
      <c r="G1533" s="181">
        <v>0</v>
      </c>
      <c r="H1533" s="181">
        <v>0</v>
      </c>
      <c r="I1533" s="181">
        <v>0</v>
      </c>
      <c r="J1533" s="181">
        <v>0</v>
      </c>
      <c r="K1533" s="181">
        <v>0</v>
      </c>
      <c r="L1533" s="181">
        <v>0</v>
      </c>
      <c r="M1533" s="181">
        <v>36628365.452799998</v>
      </c>
      <c r="N1533" s="181">
        <v>388373.41679999995</v>
      </c>
      <c r="O1533" s="181">
        <v>288412.32640000002</v>
      </c>
      <c r="P1533" s="181">
        <v>82.803999999999988</v>
      </c>
      <c r="Q1533" s="181">
        <v>5161269.6774399998</v>
      </c>
      <c r="R1533" s="181">
        <v>159446.13271999999</v>
      </c>
      <c r="S1533" s="181">
        <v>135684.88991999999</v>
      </c>
      <c r="T1533" s="181">
        <v>30.987999999999996</v>
      </c>
      <c r="U1533" s="181">
        <v>15733547.887679998</v>
      </c>
      <c r="V1533" s="181">
        <v>0</v>
      </c>
    </row>
    <row r="1534" spans="1:22">
      <c r="A1534" s="2" t="s">
        <v>3086</v>
      </c>
      <c r="B1534" s="2" t="s">
        <v>3087</v>
      </c>
      <c r="C1534" s="181">
        <v>37.799263999999994</v>
      </c>
      <c r="D1534" s="181">
        <v>4522.5715999999993</v>
      </c>
      <c r="E1534" s="181">
        <v>0</v>
      </c>
      <c r="F1534" s="181">
        <v>0</v>
      </c>
      <c r="G1534" s="181">
        <v>0</v>
      </c>
      <c r="H1534" s="181">
        <v>0</v>
      </c>
      <c r="I1534" s="181">
        <v>0</v>
      </c>
      <c r="J1534" s="181">
        <v>0</v>
      </c>
      <c r="K1534" s="181">
        <v>0</v>
      </c>
      <c r="L1534" s="181">
        <v>0</v>
      </c>
      <c r="M1534" s="181">
        <v>31758457.773279995</v>
      </c>
      <c r="N1534" s="181">
        <v>332657.39919999999</v>
      </c>
      <c r="O1534" s="181">
        <v>250722.07919999998</v>
      </c>
      <c r="P1534" s="181">
        <v>83.82</v>
      </c>
      <c r="Q1534" s="181">
        <v>4578545.6815999998</v>
      </c>
      <c r="R1534" s="181">
        <v>137979.07887999999</v>
      </c>
      <c r="S1534" s="181">
        <v>119625.56719999999</v>
      </c>
      <c r="T1534" s="181">
        <v>31.75</v>
      </c>
      <c r="U1534" s="181">
        <v>13735637.044799998</v>
      </c>
      <c r="V1534" s="181">
        <v>0</v>
      </c>
    </row>
    <row r="1535" spans="1:22">
      <c r="A1535" s="2" t="s">
        <v>3088</v>
      </c>
      <c r="B1535" s="2" t="s">
        <v>3089</v>
      </c>
      <c r="C1535" s="181">
        <v>30.804911999999998</v>
      </c>
      <c r="D1535" s="181">
        <v>3677.4119999999998</v>
      </c>
      <c r="E1535" s="181">
        <v>0</v>
      </c>
      <c r="F1535" s="181">
        <v>0</v>
      </c>
      <c r="G1535" s="181">
        <v>0</v>
      </c>
      <c r="H1535" s="181">
        <v>0</v>
      </c>
      <c r="I1535" s="181">
        <v>0</v>
      </c>
      <c r="J1535" s="181">
        <v>0</v>
      </c>
      <c r="K1535" s="181">
        <v>0</v>
      </c>
      <c r="L1535" s="181">
        <v>0</v>
      </c>
      <c r="M1535" s="181">
        <v>26472318.668159999</v>
      </c>
      <c r="N1535" s="181">
        <v>273663.96879999997</v>
      </c>
      <c r="O1535" s="181">
        <v>208115.71279999998</v>
      </c>
      <c r="P1535" s="181">
        <v>84.835999999999999</v>
      </c>
      <c r="Q1535" s="181">
        <v>3862627.6295679994</v>
      </c>
      <c r="R1535" s="181">
        <v>114545.57736</v>
      </c>
      <c r="S1535" s="181">
        <v>101435.92616</v>
      </c>
      <c r="T1535" s="181">
        <v>32.512</v>
      </c>
      <c r="U1535" s="181">
        <v>11487987.34656</v>
      </c>
      <c r="V1535" s="181">
        <v>0</v>
      </c>
    </row>
    <row r="1536" spans="1:22">
      <c r="A1536" s="2" t="s">
        <v>3090</v>
      </c>
      <c r="B1536" s="2" t="s">
        <v>3091</v>
      </c>
      <c r="C1536" s="181">
        <v>23.512927999999999</v>
      </c>
      <c r="D1536" s="181">
        <v>2787.0911999999998</v>
      </c>
      <c r="E1536" s="181">
        <v>0</v>
      </c>
      <c r="F1536" s="181">
        <v>0</v>
      </c>
      <c r="G1536" s="181">
        <v>0</v>
      </c>
      <c r="H1536" s="181">
        <v>0</v>
      </c>
      <c r="I1536" s="181">
        <v>0</v>
      </c>
      <c r="J1536" s="181">
        <v>0</v>
      </c>
      <c r="K1536" s="181">
        <v>0</v>
      </c>
      <c r="L1536" s="181">
        <v>0</v>
      </c>
      <c r="M1536" s="181">
        <v>20561832.424639996</v>
      </c>
      <c r="N1536" s="181">
        <v>209754.4192</v>
      </c>
      <c r="O1536" s="181">
        <v>161740.32167999996</v>
      </c>
      <c r="P1536" s="181">
        <v>85.85199999999999</v>
      </c>
      <c r="Q1536" s="181">
        <v>3050976.3496479997</v>
      </c>
      <c r="R1536" s="181">
        <v>88654.016239999997</v>
      </c>
      <c r="S1536" s="181">
        <v>80132.742959999989</v>
      </c>
      <c r="T1536" s="181">
        <v>33.019999999999996</v>
      </c>
      <c r="U1536" s="181">
        <v>8948975.6503999997</v>
      </c>
      <c r="V1536" s="181">
        <v>0</v>
      </c>
    </row>
    <row r="1537" spans="1:22">
      <c r="A1537" s="2" t="s">
        <v>3092</v>
      </c>
      <c r="B1537" s="2" t="s">
        <v>3093</v>
      </c>
      <c r="C1537" s="181">
        <v>15.923311999999997</v>
      </c>
      <c r="D1537" s="181">
        <v>1890.3188</v>
      </c>
      <c r="E1537" s="181">
        <v>0</v>
      </c>
      <c r="F1537" s="181">
        <v>0</v>
      </c>
      <c r="G1537" s="181">
        <v>0</v>
      </c>
      <c r="H1537" s="181">
        <v>0</v>
      </c>
      <c r="I1537" s="181">
        <v>0</v>
      </c>
      <c r="J1537" s="181">
        <v>0</v>
      </c>
      <c r="K1537" s="181">
        <v>0</v>
      </c>
      <c r="L1537" s="181">
        <v>0</v>
      </c>
      <c r="M1537" s="181">
        <v>14235114.755519999</v>
      </c>
      <c r="N1537" s="181">
        <v>144206.16320000001</v>
      </c>
      <c r="O1537" s="181">
        <v>111923.64711999999</v>
      </c>
      <c r="P1537" s="181">
        <v>86.867999999999995</v>
      </c>
      <c r="Q1537" s="181">
        <v>2147754.1560959998</v>
      </c>
      <c r="R1537" s="181">
        <v>61287.619359999997</v>
      </c>
      <c r="S1537" s="181">
        <v>56371.500159999996</v>
      </c>
      <c r="T1537" s="181">
        <v>33.781999999999996</v>
      </c>
      <c r="U1537" s="181">
        <v>6201848.2414399991</v>
      </c>
      <c r="V1537" s="181">
        <v>0</v>
      </c>
    </row>
    <row r="1538" spans="1:22">
      <c r="A1538" s="2" t="s">
        <v>3094</v>
      </c>
      <c r="B1538" s="2" t="s">
        <v>3095</v>
      </c>
      <c r="C1538" s="181">
        <v>40.775583999999995</v>
      </c>
      <c r="D1538" s="181">
        <v>4890.3127999999997</v>
      </c>
      <c r="E1538" s="181">
        <v>0</v>
      </c>
      <c r="F1538" s="181">
        <v>0</v>
      </c>
      <c r="G1538" s="181">
        <v>0</v>
      </c>
      <c r="H1538" s="181">
        <v>0</v>
      </c>
      <c r="I1538" s="181">
        <v>0</v>
      </c>
      <c r="J1538" s="181">
        <v>0</v>
      </c>
      <c r="K1538" s="181">
        <v>0</v>
      </c>
      <c r="L1538" s="181">
        <v>0</v>
      </c>
      <c r="M1538" s="181">
        <v>29843793.215519998</v>
      </c>
      <c r="N1538" s="181">
        <v>332657.39919999999</v>
      </c>
      <c r="O1538" s="181">
        <v>234335.01519999999</v>
      </c>
      <c r="P1538" s="181">
        <v>78.231999999999999</v>
      </c>
      <c r="Q1538" s="181">
        <v>1956287.7003199998</v>
      </c>
      <c r="R1538" s="181">
        <v>94389.488639999981</v>
      </c>
      <c r="S1538" s="181">
        <v>77019.200799999991</v>
      </c>
      <c r="T1538" s="181">
        <v>19.989799999999999</v>
      </c>
      <c r="U1538" s="181">
        <v>6618079.6670399997</v>
      </c>
      <c r="V1538" s="181">
        <v>0</v>
      </c>
    </row>
    <row r="1539" spans="1:22">
      <c r="A1539" s="2" t="s">
        <v>3096</v>
      </c>
      <c r="B1539" s="2" t="s">
        <v>3097</v>
      </c>
      <c r="C1539" s="181">
        <v>34.674127999999996</v>
      </c>
      <c r="D1539" s="181">
        <v>4148.3787999999995</v>
      </c>
      <c r="E1539" s="181">
        <v>0</v>
      </c>
      <c r="F1539" s="181">
        <v>0</v>
      </c>
      <c r="G1539" s="181">
        <v>0</v>
      </c>
      <c r="H1539" s="181">
        <v>0</v>
      </c>
      <c r="I1539" s="181">
        <v>0</v>
      </c>
      <c r="J1539" s="181">
        <v>0</v>
      </c>
      <c r="K1539" s="181">
        <v>0</v>
      </c>
      <c r="L1539" s="181">
        <v>0</v>
      </c>
      <c r="M1539" s="181">
        <v>26056087.242559999</v>
      </c>
      <c r="N1539" s="181">
        <v>286773.62</v>
      </c>
      <c r="O1539" s="181">
        <v>204838.3</v>
      </c>
      <c r="P1539" s="181">
        <v>79.248000000000005</v>
      </c>
      <c r="Q1539" s="181">
        <v>1764821.2445439999</v>
      </c>
      <c r="R1539" s="181">
        <v>82918.543839999984</v>
      </c>
      <c r="S1539" s="181">
        <v>69481.151360000003</v>
      </c>
      <c r="T1539" s="181">
        <v>20.6248</v>
      </c>
      <c r="U1539" s="181">
        <v>5910486.2435199991</v>
      </c>
      <c r="V1539" s="181">
        <v>0</v>
      </c>
    </row>
    <row r="1540" spans="1:22">
      <c r="A1540" s="2" t="s">
        <v>3098</v>
      </c>
      <c r="B1540" s="2" t="s">
        <v>3099</v>
      </c>
      <c r="C1540" s="181">
        <v>28.275039999999997</v>
      </c>
      <c r="D1540" s="181">
        <v>3380.6383999999998</v>
      </c>
      <c r="E1540" s="181">
        <v>0</v>
      </c>
      <c r="F1540" s="181">
        <v>0</v>
      </c>
      <c r="G1540" s="181">
        <v>0</v>
      </c>
      <c r="H1540" s="181">
        <v>0</v>
      </c>
      <c r="I1540" s="181">
        <v>0</v>
      </c>
      <c r="J1540" s="181">
        <v>0</v>
      </c>
      <c r="K1540" s="181">
        <v>0</v>
      </c>
      <c r="L1540" s="181">
        <v>0</v>
      </c>
      <c r="M1540" s="181">
        <v>21852149.843999997</v>
      </c>
      <c r="N1540" s="181">
        <v>235973.72159999999</v>
      </c>
      <c r="O1540" s="181">
        <v>172064.17199999999</v>
      </c>
      <c r="P1540" s="181">
        <v>80.518000000000001</v>
      </c>
      <c r="Q1540" s="181">
        <v>1527569.3319519998</v>
      </c>
      <c r="R1540" s="181">
        <v>69808.892639999991</v>
      </c>
      <c r="S1540" s="181">
        <v>60140.52487999999</v>
      </c>
      <c r="T1540" s="181">
        <v>21.2852</v>
      </c>
      <c r="U1540" s="181">
        <v>5078023.3923199996</v>
      </c>
      <c r="V1540" s="181">
        <v>0</v>
      </c>
    </row>
    <row r="1541" spans="1:22">
      <c r="A1541" s="2" t="s">
        <v>3100</v>
      </c>
      <c r="B1541" s="2" t="s">
        <v>3101</v>
      </c>
      <c r="C1541" s="181">
        <v>21.578319999999998</v>
      </c>
      <c r="D1541" s="181">
        <v>2567.7367999999997</v>
      </c>
      <c r="E1541" s="181">
        <v>0</v>
      </c>
      <c r="F1541" s="181">
        <v>0</v>
      </c>
      <c r="G1541" s="181">
        <v>0</v>
      </c>
      <c r="H1541" s="181">
        <v>0</v>
      </c>
      <c r="I1541" s="181">
        <v>0</v>
      </c>
      <c r="J1541" s="181">
        <v>0</v>
      </c>
      <c r="K1541" s="181">
        <v>0</v>
      </c>
      <c r="L1541" s="181">
        <v>0</v>
      </c>
      <c r="M1541" s="181">
        <v>17065488.4496</v>
      </c>
      <c r="N1541" s="181">
        <v>181896.41039999996</v>
      </c>
      <c r="O1541" s="181">
        <v>134210.05415999997</v>
      </c>
      <c r="P1541" s="181">
        <v>81.533999999999992</v>
      </c>
      <c r="Q1541" s="181">
        <v>1236207.334032</v>
      </c>
      <c r="R1541" s="181">
        <v>54732.793759999993</v>
      </c>
      <c r="S1541" s="181">
        <v>48669.58008</v>
      </c>
      <c r="T1541" s="181">
        <v>21.945599999999999</v>
      </c>
      <c r="U1541" s="181">
        <v>4054094.0853439998</v>
      </c>
      <c r="V1541" s="181">
        <v>0</v>
      </c>
    </row>
    <row r="1542" spans="1:22">
      <c r="A1542" s="2" t="s">
        <v>3102</v>
      </c>
      <c r="B1542" s="2" t="s">
        <v>3103</v>
      </c>
      <c r="C1542" s="181">
        <v>87.950255999999996</v>
      </c>
      <c r="D1542" s="181">
        <v>10580.623999999998</v>
      </c>
      <c r="E1542" s="181">
        <v>0</v>
      </c>
      <c r="F1542" s="181">
        <v>0</v>
      </c>
      <c r="G1542" s="181">
        <v>0</v>
      </c>
      <c r="H1542" s="181">
        <v>0</v>
      </c>
      <c r="I1542" s="181">
        <v>0</v>
      </c>
      <c r="J1542" s="181">
        <v>0</v>
      </c>
      <c r="K1542" s="181">
        <v>0</v>
      </c>
      <c r="L1542" s="181">
        <v>0</v>
      </c>
      <c r="M1542" s="181">
        <v>72424268.054399997</v>
      </c>
      <c r="N1542" s="181">
        <v>791495.19119999988</v>
      </c>
      <c r="O1542" s="181">
        <v>634179.37679999997</v>
      </c>
      <c r="P1542" s="181">
        <v>82.803999999999988</v>
      </c>
      <c r="Q1542" s="181">
        <v>48699076.795199998</v>
      </c>
      <c r="R1542" s="181">
        <v>663676.09199999995</v>
      </c>
      <c r="S1542" s="181">
        <v>548966.64399999997</v>
      </c>
      <c r="T1542" s="181">
        <v>68.072000000000003</v>
      </c>
      <c r="U1542" s="181">
        <v>97814385.015999988</v>
      </c>
      <c r="V1542" s="181">
        <v>0</v>
      </c>
    </row>
    <row r="1543" spans="1:22">
      <c r="A1543" s="2" t="s">
        <v>3104</v>
      </c>
      <c r="B1543" s="2" t="s">
        <v>3105</v>
      </c>
      <c r="C1543" s="181">
        <v>72.473392000000004</v>
      </c>
      <c r="D1543" s="181">
        <v>8709.66</v>
      </c>
      <c r="E1543" s="181">
        <v>0</v>
      </c>
      <c r="F1543" s="181">
        <v>0</v>
      </c>
      <c r="G1543" s="181">
        <v>0</v>
      </c>
      <c r="H1543" s="181">
        <v>0</v>
      </c>
      <c r="I1543" s="181">
        <v>0</v>
      </c>
      <c r="J1543" s="181">
        <v>0</v>
      </c>
      <c r="K1543" s="181">
        <v>0</v>
      </c>
      <c r="L1543" s="181">
        <v>0</v>
      </c>
      <c r="M1543" s="181">
        <v>62018482.414399996</v>
      </c>
      <c r="N1543" s="181">
        <v>663676.09199999995</v>
      </c>
      <c r="O1543" s="181">
        <v>540773.11199999996</v>
      </c>
      <c r="P1543" s="181">
        <v>84.327999999999989</v>
      </c>
      <c r="Q1543" s="181">
        <v>41623142.559999995</v>
      </c>
      <c r="R1543" s="181">
        <v>557160.17599999998</v>
      </c>
      <c r="S1543" s="181">
        <v>470308.73679999996</v>
      </c>
      <c r="T1543" s="181">
        <v>69.341999999999999</v>
      </c>
      <c r="U1543" s="181">
        <v>81997590.843199998</v>
      </c>
      <c r="V1543" s="181">
        <v>0</v>
      </c>
    </row>
    <row r="1544" spans="1:22">
      <c r="A1544" s="2" t="s">
        <v>3106</v>
      </c>
      <c r="B1544" s="2" t="s">
        <v>3107</v>
      </c>
      <c r="C1544" s="181">
        <v>55.954816000000001</v>
      </c>
      <c r="D1544" s="181">
        <v>6709.6639999999998</v>
      </c>
      <c r="E1544" s="181">
        <v>0</v>
      </c>
      <c r="F1544" s="181">
        <v>0</v>
      </c>
      <c r="G1544" s="181">
        <v>0</v>
      </c>
      <c r="H1544" s="181">
        <v>0</v>
      </c>
      <c r="I1544" s="181">
        <v>0</v>
      </c>
      <c r="J1544" s="181">
        <v>0</v>
      </c>
      <c r="K1544" s="181">
        <v>0</v>
      </c>
      <c r="L1544" s="181">
        <v>0</v>
      </c>
      <c r="M1544" s="181">
        <v>49531539.646399997</v>
      </c>
      <c r="N1544" s="181">
        <v>521108.63519999996</v>
      </c>
      <c r="O1544" s="181">
        <v>432618.48959999991</v>
      </c>
      <c r="P1544" s="181">
        <v>85.85199999999999</v>
      </c>
      <c r="Q1544" s="181">
        <v>33465006.618239999</v>
      </c>
      <c r="R1544" s="181">
        <v>437534.60879999993</v>
      </c>
      <c r="S1544" s="181">
        <v>376902.47199999995</v>
      </c>
      <c r="T1544" s="181">
        <v>70.611999999999995</v>
      </c>
      <c r="U1544" s="181">
        <v>64099639.542399995</v>
      </c>
      <c r="V1544" s="181">
        <v>0</v>
      </c>
    </row>
    <row r="1545" spans="1:22">
      <c r="A1545" s="2" t="s">
        <v>3108</v>
      </c>
      <c r="B1545" s="2" t="s">
        <v>3109</v>
      </c>
      <c r="C1545" s="181">
        <v>47.323487999999998</v>
      </c>
      <c r="D1545" s="181">
        <v>5651.6016</v>
      </c>
      <c r="E1545" s="181">
        <v>0</v>
      </c>
      <c r="F1545" s="181">
        <v>0</v>
      </c>
      <c r="G1545" s="181">
        <v>0</v>
      </c>
      <c r="H1545" s="181">
        <v>0</v>
      </c>
      <c r="I1545" s="181">
        <v>0</v>
      </c>
      <c r="J1545" s="181">
        <v>0</v>
      </c>
      <c r="K1545" s="181">
        <v>0</v>
      </c>
      <c r="L1545" s="181">
        <v>0</v>
      </c>
      <c r="M1545" s="181">
        <v>42455605.411199994</v>
      </c>
      <c r="N1545" s="181">
        <v>444089.43439999997</v>
      </c>
      <c r="O1545" s="181">
        <v>370347.64639999997</v>
      </c>
      <c r="P1545" s="181">
        <v>86.614000000000004</v>
      </c>
      <c r="Q1545" s="181">
        <v>28803214.651519999</v>
      </c>
      <c r="R1545" s="181">
        <v>373625.05919999996</v>
      </c>
      <c r="S1545" s="181">
        <v>324463.86719999998</v>
      </c>
      <c r="T1545" s="181">
        <v>71.373999999999995</v>
      </c>
      <c r="U1545" s="181">
        <v>54526316.753599994</v>
      </c>
      <c r="V1545" s="181">
        <v>0</v>
      </c>
    </row>
    <row r="1546" spans="1:22">
      <c r="A1546" s="2" t="s">
        <v>3110</v>
      </c>
      <c r="B1546" s="2" t="s">
        <v>3111</v>
      </c>
      <c r="C1546" s="181">
        <v>38.394528000000001</v>
      </c>
      <c r="D1546" s="181">
        <v>4580.6359999999995</v>
      </c>
      <c r="E1546" s="181">
        <v>0</v>
      </c>
      <c r="F1546" s="181">
        <v>0</v>
      </c>
      <c r="G1546" s="181">
        <v>0</v>
      </c>
      <c r="H1546" s="181">
        <v>0</v>
      </c>
      <c r="I1546" s="181">
        <v>0</v>
      </c>
      <c r="J1546" s="181">
        <v>0</v>
      </c>
      <c r="K1546" s="181">
        <v>0</v>
      </c>
      <c r="L1546" s="181">
        <v>0</v>
      </c>
      <c r="M1546" s="181">
        <v>35005062.892959997</v>
      </c>
      <c r="N1546" s="181">
        <v>363792.82079999993</v>
      </c>
      <c r="O1546" s="181">
        <v>306438.09679999994</v>
      </c>
      <c r="P1546" s="181">
        <v>87.375999999999991</v>
      </c>
      <c r="Q1546" s="181">
        <v>23808437.544319998</v>
      </c>
      <c r="R1546" s="181">
        <v>306438.09679999994</v>
      </c>
      <c r="S1546" s="181">
        <v>267109.14319999999</v>
      </c>
      <c r="T1546" s="181">
        <v>72.135999999999996</v>
      </c>
      <c r="U1546" s="181">
        <v>44536762.539199993</v>
      </c>
      <c r="V1546" s="181">
        <v>0</v>
      </c>
    </row>
    <row r="1547" spans="1:22">
      <c r="A1547" s="2" t="s">
        <v>3112</v>
      </c>
      <c r="B1547" s="2" t="s">
        <v>3113</v>
      </c>
      <c r="C1547" s="181">
        <v>29.167936000000001</v>
      </c>
      <c r="D1547" s="181">
        <v>3464.5092</v>
      </c>
      <c r="E1547" s="181">
        <v>0</v>
      </c>
      <c r="F1547" s="181">
        <v>0</v>
      </c>
      <c r="G1547" s="181">
        <v>0</v>
      </c>
      <c r="H1547" s="181">
        <v>0</v>
      </c>
      <c r="I1547" s="181">
        <v>0</v>
      </c>
      <c r="J1547" s="181">
        <v>0</v>
      </c>
      <c r="K1547" s="181">
        <v>0</v>
      </c>
      <c r="L1547" s="181">
        <v>0</v>
      </c>
      <c r="M1547" s="181">
        <v>26930173.23632</v>
      </c>
      <c r="N1547" s="181">
        <v>276941.38159999996</v>
      </c>
      <c r="O1547" s="181">
        <v>235973.72159999999</v>
      </c>
      <c r="P1547" s="181">
        <v>88.138000000000005</v>
      </c>
      <c r="Q1547" s="181">
        <v>18355805.868960001</v>
      </c>
      <c r="R1547" s="181">
        <v>234335.01519999999</v>
      </c>
      <c r="S1547" s="181">
        <v>206477.00639999998</v>
      </c>
      <c r="T1547" s="181">
        <v>72.897999999999996</v>
      </c>
      <c r="U1547" s="181">
        <v>34006107.471519999</v>
      </c>
      <c r="V1547" s="181">
        <v>0</v>
      </c>
    </row>
    <row r="1548" spans="1:22">
      <c r="A1548" s="2" t="s">
        <v>3114</v>
      </c>
      <c r="B1548" s="2" t="s">
        <v>3115</v>
      </c>
      <c r="C1548" s="181">
        <v>75.300895999999995</v>
      </c>
      <c r="D1548" s="181">
        <v>9032.24</v>
      </c>
      <c r="E1548" s="181">
        <v>0</v>
      </c>
      <c r="F1548" s="181">
        <v>0</v>
      </c>
      <c r="G1548" s="181">
        <v>0</v>
      </c>
      <c r="H1548" s="181">
        <v>0</v>
      </c>
      <c r="I1548" s="181">
        <v>0</v>
      </c>
      <c r="J1548" s="181">
        <v>0</v>
      </c>
      <c r="K1548" s="181">
        <v>0</v>
      </c>
      <c r="L1548" s="181">
        <v>0</v>
      </c>
      <c r="M1548" s="181">
        <v>55358779.604799993</v>
      </c>
      <c r="N1548" s="181">
        <v>630901.96399999992</v>
      </c>
      <c r="O1548" s="181">
        <v>485057.0944</v>
      </c>
      <c r="P1548" s="181">
        <v>78.231999999999999</v>
      </c>
      <c r="Q1548" s="181">
        <v>21644034.131199997</v>
      </c>
      <c r="R1548" s="181">
        <v>414592.71919999999</v>
      </c>
      <c r="S1548" s="181">
        <v>340850.93119999999</v>
      </c>
      <c r="T1548" s="181">
        <v>48.767999999999994</v>
      </c>
      <c r="U1548" s="181">
        <v>53277622.476799995</v>
      </c>
      <c r="V1548" s="181">
        <v>0</v>
      </c>
    </row>
    <row r="1549" spans="1:22">
      <c r="A1549" s="2" t="s">
        <v>3116</v>
      </c>
      <c r="B1549" s="2" t="s">
        <v>3117</v>
      </c>
      <c r="C1549" s="181">
        <v>62.353903999999993</v>
      </c>
      <c r="D1549" s="181">
        <v>7483.8559999999998</v>
      </c>
      <c r="E1549" s="181">
        <v>0</v>
      </c>
      <c r="F1549" s="181">
        <v>0</v>
      </c>
      <c r="G1549" s="181">
        <v>0</v>
      </c>
      <c r="H1549" s="181">
        <v>0</v>
      </c>
      <c r="I1549" s="181">
        <v>0</v>
      </c>
      <c r="J1549" s="181">
        <v>0</v>
      </c>
      <c r="K1549" s="181">
        <v>0</v>
      </c>
      <c r="L1549" s="181">
        <v>0</v>
      </c>
      <c r="M1549" s="181">
        <v>47866613.943999998</v>
      </c>
      <c r="N1549" s="181">
        <v>532579.57999999996</v>
      </c>
      <c r="O1549" s="181">
        <v>417870.13199999998</v>
      </c>
      <c r="P1549" s="181">
        <v>79.756</v>
      </c>
      <c r="Q1549" s="181">
        <v>18813660.437119998</v>
      </c>
      <c r="R1549" s="181">
        <v>352321.87599999999</v>
      </c>
      <c r="S1549" s="181">
        <v>296605.85839999997</v>
      </c>
      <c r="T1549" s="181">
        <v>50.037999999999997</v>
      </c>
      <c r="U1549" s="181">
        <v>45369225.390399992</v>
      </c>
      <c r="V1549" s="181">
        <v>0</v>
      </c>
    </row>
    <row r="1550" spans="1:22">
      <c r="A1550" s="2" t="s">
        <v>3118</v>
      </c>
      <c r="B1550" s="2" t="s">
        <v>3119</v>
      </c>
      <c r="C1550" s="181">
        <v>48.365199999999994</v>
      </c>
      <c r="D1550" s="181">
        <v>5787.0852000000004</v>
      </c>
      <c r="E1550" s="181">
        <v>0</v>
      </c>
      <c r="F1550" s="181">
        <v>0</v>
      </c>
      <c r="G1550" s="181">
        <v>0</v>
      </c>
      <c r="H1550" s="181">
        <v>0</v>
      </c>
      <c r="I1550" s="181">
        <v>0</v>
      </c>
      <c r="J1550" s="181">
        <v>0</v>
      </c>
      <c r="K1550" s="181">
        <v>0</v>
      </c>
      <c r="L1550" s="181">
        <v>0</v>
      </c>
      <c r="M1550" s="181">
        <v>38501406.867999993</v>
      </c>
      <c r="N1550" s="181">
        <v>421147.54479999997</v>
      </c>
      <c r="O1550" s="181">
        <v>335934.81199999998</v>
      </c>
      <c r="P1550" s="181">
        <v>81.533999999999992</v>
      </c>
      <c r="Q1550" s="181">
        <v>15317316.462079998</v>
      </c>
      <c r="R1550" s="181">
        <v>280218.79440000001</v>
      </c>
      <c r="S1550" s="181">
        <v>240889.84079999998</v>
      </c>
      <c r="T1550" s="181">
        <v>51.561999999999991</v>
      </c>
      <c r="U1550" s="181">
        <v>36170510.884640001</v>
      </c>
      <c r="V1550" s="181">
        <v>0</v>
      </c>
    </row>
    <row r="1551" spans="1:22">
      <c r="A1551" s="2" t="s">
        <v>3120</v>
      </c>
      <c r="B1551" s="2" t="s">
        <v>3121</v>
      </c>
      <c r="C1551" s="181">
        <v>40.924399999999999</v>
      </c>
      <c r="D1551" s="181">
        <v>4896.7644</v>
      </c>
      <c r="E1551" s="181">
        <v>0</v>
      </c>
      <c r="F1551" s="181">
        <v>0</v>
      </c>
      <c r="G1551" s="181">
        <v>0</v>
      </c>
      <c r="H1551" s="181">
        <v>0</v>
      </c>
      <c r="I1551" s="181">
        <v>0</v>
      </c>
      <c r="J1551" s="181">
        <v>0</v>
      </c>
      <c r="K1551" s="181">
        <v>0</v>
      </c>
      <c r="L1551" s="181">
        <v>0</v>
      </c>
      <c r="M1551" s="181">
        <v>33215267.762879994</v>
      </c>
      <c r="N1551" s="181">
        <v>360515.40799999994</v>
      </c>
      <c r="O1551" s="181">
        <v>290051.03279999999</v>
      </c>
      <c r="P1551" s="181">
        <v>82.296000000000006</v>
      </c>
      <c r="Q1551" s="181">
        <v>13319405.619199999</v>
      </c>
      <c r="R1551" s="181">
        <v>239251.13439999998</v>
      </c>
      <c r="S1551" s="181">
        <v>209754.4192</v>
      </c>
      <c r="T1551" s="181">
        <v>52.069999999999993</v>
      </c>
      <c r="U1551" s="181">
        <v>30967618.06464</v>
      </c>
      <c r="V1551" s="181">
        <v>0</v>
      </c>
    </row>
    <row r="1552" spans="1:22">
      <c r="A1552" s="2" t="s">
        <v>3122</v>
      </c>
      <c r="B1552" s="2" t="s">
        <v>3123</v>
      </c>
      <c r="C1552" s="181">
        <v>33.334783999999999</v>
      </c>
      <c r="D1552" s="181">
        <v>3980.6371999999997</v>
      </c>
      <c r="E1552" s="181">
        <v>0</v>
      </c>
      <c r="F1552" s="181">
        <v>0</v>
      </c>
      <c r="G1552" s="181">
        <v>0</v>
      </c>
      <c r="H1552" s="181">
        <v>0</v>
      </c>
      <c r="I1552" s="181">
        <v>0</v>
      </c>
      <c r="J1552" s="181">
        <v>0</v>
      </c>
      <c r="K1552" s="181">
        <v>0</v>
      </c>
      <c r="L1552" s="181">
        <v>0</v>
      </c>
      <c r="M1552" s="181">
        <v>27512897.232159995</v>
      </c>
      <c r="N1552" s="181">
        <v>296605.85839999997</v>
      </c>
      <c r="O1552" s="181">
        <v>240889.84079999998</v>
      </c>
      <c r="P1552" s="181">
        <v>83.057999999999993</v>
      </c>
      <c r="Q1552" s="181">
        <v>11071755.92096</v>
      </c>
      <c r="R1552" s="181">
        <v>196644.76799999998</v>
      </c>
      <c r="S1552" s="181">
        <v>173702.87839999999</v>
      </c>
      <c r="T1552" s="181">
        <v>52.832000000000001</v>
      </c>
      <c r="U1552" s="181">
        <v>25473363.246719997</v>
      </c>
      <c r="V1552" s="181">
        <v>0</v>
      </c>
    </row>
    <row r="1553" spans="1:22">
      <c r="A1553" s="2" t="s">
        <v>3124</v>
      </c>
      <c r="B1553" s="2" t="s">
        <v>3125</v>
      </c>
      <c r="C1553" s="181">
        <v>25.447535999999999</v>
      </c>
      <c r="D1553" s="181">
        <v>3012.8971999999999</v>
      </c>
      <c r="E1553" s="181">
        <v>0</v>
      </c>
      <c r="F1553" s="181">
        <v>0</v>
      </c>
      <c r="G1553" s="181">
        <v>0</v>
      </c>
      <c r="H1553" s="181">
        <v>0</v>
      </c>
      <c r="I1553" s="181">
        <v>0</v>
      </c>
      <c r="J1553" s="181">
        <v>0</v>
      </c>
      <c r="K1553" s="181">
        <v>0</v>
      </c>
      <c r="L1553" s="181">
        <v>0</v>
      </c>
      <c r="M1553" s="181">
        <v>21269425.848159999</v>
      </c>
      <c r="N1553" s="181">
        <v>226141.48319999999</v>
      </c>
      <c r="O1553" s="181">
        <v>186812.52959999998</v>
      </c>
      <c r="P1553" s="181">
        <v>84.073999999999998</v>
      </c>
      <c r="Q1553" s="181">
        <v>8615990.5099199992</v>
      </c>
      <c r="R1553" s="181">
        <v>151580.34199999998</v>
      </c>
      <c r="S1553" s="181">
        <v>135684.88991999999</v>
      </c>
      <c r="T1553" s="181">
        <v>53.339999999999996</v>
      </c>
      <c r="U1553" s="181">
        <v>19521253.860639997</v>
      </c>
      <c r="V1553" s="181">
        <v>0</v>
      </c>
    </row>
    <row r="1554" spans="1:22">
      <c r="A1554" s="2" t="s">
        <v>3126</v>
      </c>
      <c r="B1554" s="2" t="s">
        <v>3127</v>
      </c>
      <c r="C1554" s="181">
        <v>52.234416000000003</v>
      </c>
      <c r="D1554" s="181">
        <v>6283.8584000000001</v>
      </c>
      <c r="E1554" s="181">
        <v>0</v>
      </c>
      <c r="F1554" s="181">
        <v>0</v>
      </c>
      <c r="G1554" s="181">
        <v>0</v>
      </c>
      <c r="H1554" s="181">
        <v>0</v>
      </c>
      <c r="I1554" s="181">
        <v>0</v>
      </c>
      <c r="J1554" s="181">
        <v>0</v>
      </c>
      <c r="K1554" s="181">
        <v>0</v>
      </c>
      <c r="L1554" s="181">
        <v>0</v>
      </c>
      <c r="M1554" s="181">
        <v>33631499.188479997</v>
      </c>
      <c r="N1554" s="181">
        <v>403121.77439999999</v>
      </c>
      <c r="O1554" s="181">
        <v>294967.152</v>
      </c>
      <c r="P1554" s="181">
        <v>73.151999999999987</v>
      </c>
      <c r="Q1554" s="181">
        <v>5494254.8179199994</v>
      </c>
      <c r="R1554" s="181">
        <v>176980.29120000001</v>
      </c>
      <c r="S1554" s="181">
        <v>144370.03383999999</v>
      </c>
      <c r="T1554" s="181">
        <v>29.717999999999996</v>
      </c>
      <c r="U1554" s="181">
        <v>16649257.023999998</v>
      </c>
      <c r="V1554" s="181">
        <v>0</v>
      </c>
    </row>
    <row r="1555" spans="1:22">
      <c r="A1555" s="2" t="s">
        <v>3128</v>
      </c>
      <c r="B1555" s="2" t="s">
        <v>3129</v>
      </c>
      <c r="C1555" s="181">
        <v>40.775583999999995</v>
      </c>
      <c r="D1555" s="181">
        <v>4890.3127999999997</v>
      </c>
      <c r="E1555" s="181">
        <v>0</v>
      </c>
      <c r="F1555" s="181">
        <v>0</v>
      </c>
      <c r="G1555" s="181">
        <v>0</v>
      </c>
      <c r="H1555" s="181">
        <v>0</v>
      </c>
      <c r="I1555" s="181">
        <v>0</v>
      </c>
      <c r="J1555" s="181">
        <v>0</v>
      </c>
      <c r="K1555" s="181">
        <v>0</v>
      </c>
      <c r="L1555" s="181">
        <v>0</v>
      </c>
      <c r="M1555" s="181">
        <v>27596143.517279997</v>
      </c>
      <c r="N1555" s="181">
        <v>322825.16079999995</v>
      </c>
      <c r="O1555" s="181">
        <v>240889.84079999998</v>
      </c>
      <c r="P1555" s="181">
        <v>75.183999999999997</v>
      </c>
      <c r="Q1555" s="181">
        <v>4661791.966719999</v>
      </c>
      <c r="R1555" s="181">
        <v>144206.16320000001</v>
      </c>
      <c r="S1555" s="181">
        <v>122083.6268</v>
      </c>
      <c r="T1555" s="181">
        <v>30.733999999999998</v>
      </c>
      <c r="U1555" s="181">
        <v>13777260.18736</v>
      </c>
      <c r="V1555" s="181">
        <v>0</v>
      </c>
    </row>
    <row r="1556" spans="1:22">
      <c r="A1556" s="2" t="s">
        <v>3130</v>
      </c>
      <c r="B1556" s="2" t="s">
        <v>3131</v>
      </c>
      <c r="C1556" s="181">
        <v>34.674127999999996</v>
      </c>
      <c r="D1556" s="181">
        <v>4148.3787999999995</v>
      </c>
      <c r="E1556" s="181">
        <v>0</v>
      </c>
      <c r="F1556" s="181">
        <v>0</v>
      </c>
      <c r="G1556" s="181">
        <v>0</v>
      </c>
      <c r="H1556" s="181">
        <v>0</v>
      </c>
      <c r="I1556" s="181">
        <v>0</v>
      </c>
      <c r="J1556" s="181">
        <v>0</v>
      </c>
      <c r="K1556" s="181">
        <v>0</v>
      </c>
      <c r="L1556" s="181">
        <v>0</v>
      </c>
      <c r="M1556" s="181">
        <v>24016553.257119998</v>
      </c>
      <c r="N1556" s="181">
        <v>276941.38159999996</v>
      </c>
      <c r="O1556" s="181">
        <v>209754.4192</v>
      </c>
      <c r="P1556" s="181">
        <v>76.199999999999989</v>
      </c>
      <c r="Q1556" s="181">
        <v>4112366.4849279998</v>
      </c>
      <c r="R1556" s="181">
        <v>125033.29831999999</v>
      </c>
      <c r="S1556" s="181">
        <v>107990.75175999998</v>
      </c>
      <c r="T1556" s="181">
        <v>31.495999999999999</v>
      </c>
      <c r="U1556" s="181">
        <v>12029088.199839998</v>
      </c>
      <c r="V1556" s="181">
        <v>0</v>
      </c>
    </row>
    <row r="1557" spans="1:22">
      <c r="A1557" s="2" t="s">
        <v>3132</v>
      </c>
      <c r="B1557" s="2" t="s">
        <v>3133</v>
      </c>
      <c r="C1557" s="181">
        <v>28.275039999999997</v>
      </c>
      <c r="D1557" s="181">
        <v>3380.6383999999998</v>
      </c>
      <c r="E1557" s="181">
        <v>0</v>
      </c>
      <c r="F1557" s="181">
        <v>0</v>
      </c>
      <c r="G1557" s="181">
        <v>0</v>
      </c>
      <c r="H1557" s="181">
        <v>0</v>
      </c>
      <c r="I1557" s="181">
        <v>0</v>
      </c>
      <c r="J1557" s="181">
        <v>0</v>
      </c>
      <c r="K1557" s="181">
        <v>0</v>
      </c>
      <c r="L1557" s="181">
        <v>0</v>
      </c>
      <c r="M1557" s="181">
        <v>20062354.713920001</v>
      </c>
      <c r="N1557" s="181">
        <v>229418.89599999998</v>
      </c>
      <c r="O1557" s="181">
        <v>175341.58479999998</v>
      </c>
      <c r="P1557" s="181">
        <v>77.215999999999994</v>
      </c>
      <c r="Q1557" s="181">
        <v>3488019.3465280002</v>
      </c>
      <c r="R1557" s="181">
        <v>104057.85639999999</v>
      </c>
      <c r="S1557" s="181">
        <v>91603.687759999986</v>
      </c>
      <c r="T1557" s="181">
        <v>32.257999999999996</v>
      </c>
      <c r="U1557" s="181">
        <v>10072800.499519998</v>
      </c>
      <c r="V1557" s="181">
        <v>0</v>
      </c>
    </row>
    <row r="1558" spans="1:22">
      <c r="A1558" s="2" t="s">
        <v>3134</v>
      </c>
      <c r="B1558" s="2" t="s">
        <v>3135</v>
      </c>
      <c r="C1558" s="181">
        <v>21.578319999999998</v>
      </c>
      <c r="D1558" s="181">
        <v>2567.7367999999997</v>
      </c>
      <c r="E1558" s="181">
        <v>0</v>
      </c>
      <c r="F1558" s="181">
        <v>0</v>
      </c>
      <c r="G1558" s="181">
        <v>0</v>
      </c>
      <c r="H1558" s="181">
        <v>0</v>
      </c>
      <c r="I1558" s="181">
        <v>0</v>
      </c>
      <c r="J1558" s="181">
        <v>0</v>
      </c>
      <c r="K1558" s="181">
        <v>0</v>
      </c>
      <c r="L1558" s="181">
        <v>0</v>
      </c>
      <c r="M1558" s="181">
        <v>15650301.602559999</v>
      </c>
      <c r="N1558" s="181">
        <v>176980.29120000001</v>
      </c>
      <c r="O1558" s="181">
        <v>136831.98439999999</v>
      </c>
      <c r="P1558" s="181">
        <v>77.977999999999994</v>
      </c>
      <c r="Q1558" s="181">
        <v>2763776.6659839996</v>
      </c>
      <c r="R1558" s="181">
        <v>80624.354879999984</v>
      </c>
      <c r="S1558" s="181">
        <v>72430.822879999992</v>
      </c>
      <c r="T1558" s="181">
        <v>32.765999999999998</v>
      </c>
      <c r="U1558" s="181">
        <v>7866773.9438399989</v>
      </c>
      <c r="V1558" s="181">
        <v>0</v>
      </c>
    </row>
    <row r="1559" spans="1:22">
      <c r="A1559" s="2" t="s">
        <v>3136</v>
      </c>
      <c r="B1559" s="2" t="s">
        <v>3137</v>
      </c>
      <c r="C1559" s="181">
        <v>87.950255999999996</v>
      </c>
      <c r="D1559" s="181">
        <v>10580.623999999998</v>
      </c>
      <c r="E1559" s="181">
        <v>0</v>
      </c>
      <c r="F1559" s="181">
        <v>0</v>
      </c>
      <c r="G1559" s="181">
        <v>0</v>
      </c>
      <c r="H1559" s="181">
        <v>0</v>
      </c>
      <c r="I1559" s="181">
        <v>0</v>
      </c>
      <c r="J1559" s="181">
        <v>0</v>
      </c>
      <c r="K1559" s="181">
        <v>0</v>
      </c>
      <c r="L1559" s="181">
        <v>0</v>
      </c>
      <c r="M1559" s="181">
        <v>60769788.137599997</v>
      </c>
      <c r="N1559" s="181">
        <v>732501.76079999993</v>
      </c>
      <c r="O1559" s="181">
        <v>598127.83599999989</v>
      </c>
      <c r="P1559" s="181">
        <v>75.945999999999998</v>
      </c>
      <c r="Q1559" s="181">
        <v>60769788.137599997</v>
      </c>
      <c r="R1559" s="181">
        <v>732501.76079999993</v>
      </c>
      <c r="S1559" s="181">
        <v>598127.83599999989</v>
      </c>
      <c r="T1559" s="181">
        <v>75.945999999999998</v>
      </c>
      <c r="U1559" s="181">
        <v>101560467.84639999</v>
      </c>
      <c r="V1559" s="181">
        <v>0</v>
      </c>
    </row>
    <row r="1560" spans="1:22">
      <c r="A1560" s="2" t="s">
        <v>3138</v>
      </c>
      <c r="B1560" s="2" t="s">
        <v>3139</v>
      </c>
      <c r="C1560" s="181">
        <v>72.473392000000004</v>
      </c>
      <c r="D1560" s="181">
        <v>8709.66</v>
      </c>
      <c r="E1560" s="181">
        <v>0</v>
      </c>
      <c r="F1560" s="181">
        <v>0</v>
      </c>
      <c r="G1560" s="181">
        <v>0</v>
      </c>
      <c r="H1560" s="181">
        <v>0</v>
      </c>
      <c r="I1560" s="181">
        <v>0</v>
      </c>
      <c r="J1560" s="181">
        <v>0</v>
      </c>
      <c r="K1560" s="181">
        <v>0</v>
      </c>
      <c r="L1560" s="181">
        <v>0</v>
      </c>
      <c r="M1560" s="181">
        <v>52028928.199999996</v>
      </c>
      <c r="N1560" s="181">
        <v>614514.89999999991</v>
      </c>
      <c r="O1560" s="181">
        <v>511276.39679999993</v>
      </c>
      <c r="P1560" s="181">
        <v>77.215999999999994</v>
      </c>
      <c r="Q1560" s="181">
        <v>52028928.199999996</v>
      </c>
      <c r="R1560" s="181">
        <v>614514.89999999991</v>
      </c>
      <c r="S1560" s="181">
        <v>511276.39679999993</v>
      </c>
      <c r="T1560" s="181">
        <v>77.215999999999994</v>
      </c>
      <c r="U1560" s="181">
        <v>84911210.822399989</v>
      </c>
      <c r="V1560" s="181">
        <v>0</v>
      </c>
    </row>
    <row r="1561" spans="1:22">
      <c r="A1561" s="2" t="s">
        <v>3140</v>
      </c>
      <c r="B1561" s="2" t="s">
        <v>3141</v>
      </c>
      <c r="C1561" s="181">
        <v>55.954816000000001</v>
      </c>
      <c r="D1561" s="181">
        <v>6709.6639999999998</v>
      </c>
      <c r="E1561" s="181">
        <v>0</v>
      </c>
      <c r="F1561" s="181">
        <v>0</v>
      </c>
      <c r="G1561" s="181">
        <v>0</v>
      </c>
      <c r="H1561" s="181">
        <v>0</v>
      </c>
      <c r="I1561" s="181">
        <v>0</v>
      </c>
      <c r="J1561" s="181">
        <v>0</v>
      </c>
      <c r="K1561" s="181">
        <v>0</v>
      </c>
      <c r="L1561" s="181">
        <v>0</v>
      </c>
      <c r="M1561" s="181">
        <v>41456649.989759997</v>
      </c>
      <c r="N1561" s="181">
        <v>481779.68159999995</v>
      </c>
      <c r="O1561" s="181">
        <v>408037.89359999995</v>
      </c>
      <c r="P1561" s="181">
        <v>78.739999999999995</v>
      </c>
      <c r="Q1561" s="181">
        <v>41456649.989759997</v>
      </c>
      <c r="R1561" s="181">
        <v>481779.68159999995</v>
      </c>
      <c r="S1561" s="181">
        <v>408037.89359999995</v>
      </c>
      <c r="T1561" s="181">
        <v>78.739999999999995</v>
      </c>
      <c r="U1561" s="181">
        <v>66597028.095999993</v>
      </c>
      <c r="V1561" s="181">
        <v>0</v>
      </c>
    </row>
    <row r="1562" spans="1:22">
      <c r="A1562" s="2" t="s">
        <v>3142</v>
      </c>
      <c r="B1562" s="2" t="s">
        <v>3143</v>
      </c>
      <c r="C1562" s="181">
        <v>47.323487999999998</v>
      </c>
      <c r="D1562" s="181">
        <v>5651.6016</v>
      </c>
      <c r="E1562" s="181">
        <v>0</v>
      </c>
      <c r="F1562" s="181">
        <v>0</v>
      </c>
      <c r="G1562" s="181">
        <v>0</v>
      </c>
      <c r="H1562" s="181">
        <v>0</v>
      </c>
      <c r="I1562" s="181">
        <v>0</v>
      </c>
      <c r="J1562" s="181">
        <v>0</v>
      </c>
      <c r="K1562" s="181">
        <v>0</v>
      </c>
      <c r="L1562" s="181">
        <v>0</v>
      </c>
      <c r="M1562" s="181">
        <v>35629410.031359993</v>
      </c>
      <c r="N1562" s="181">
        <v>411315.3064</v>
      </c>
      <c r="O1562" s="181">
        <v>350683.16959999996</v>
      </c>
      <c r="P1562" s="181">
        <v>79.501999999999995</v>
      </c>
      <c r="Q1562" s="181">
        <v>35629410.031359993</v>
      </c>
      <c r="R1562" s="181">
        <v>411315.3064</v>
      </c>
      <c r="S1562" s="181">
        <v>350683.16959999996</v>
      </c>
      <c r="T1562" s="181">
        <v>79.501999999999995</v>
      </c>
      <c r="U1562" s="181">
        <v>56607473.881599993</v>
      </c>
      <c r="V1562" s="181">
        <v>0</v>
      </c>
    </row>
    <row r="1563" spans="1:22">
      <c r="A1563" s="2" t="s">
        <v>3144</v>
      </c>
      <c r="B1563" s="2" t="s">
        <v>3145</v>
      </c>
      <c r="C1563" s="181">
        <v>38.394528000000001</v>
      </c>
      <c r="D1563" s="181">
        <v>4580.6359999999995</v>
      </c>
      <c r="E1563" s="181">
        <v>0</v>
      </c>
      <c r="F1563" s="181">
        <v>0</v>
      </c>
      <c r="G1563" s="181">
        <v>0</v>
      </c>
      <c r="H1563" s="181">
        <v>0</v>
      </c>
      <c r="I1563" s="181">
        <v>0</v>
      </c>
      <c r="J1563" s="181">
        <v>0</v>
      </c>
      <c r="K1563" s="181">
        <v>0</v>
      </c>
      <c r="L1563" s="181">
        <v>0</v>
      </c>
      <c r="M1563" s="181">
        <v>29427561.789919998</v>
      </c>
      <c r="N1563" s="181">
        <v>335934.81199999998</v>
      </c>
      <c r="O1563" s="181">
        <v>290051.03279999999</v>
      </c>
      <c r="P1563" s="181">
        <v>80.009999999999991</v>
      </c>
      <c r="Q1563" s="181">
        <v>29427561.789919998</v>
      </c>
      <c r="R1563" s="181">
        <v>335934.81199999998</v>
      </c>
      <c r="S1563" s="181">
        <v>290051.03279999999</v>
      </c>
      <c r="T1563" s="181">
        <v>80.009999999999991</v>
      </c>
      <c r="U1563" s="181">
        <v>46201688.241599992</v>
      </c>
      <c r="V1563" s="181">
        <v>0</v>
      </c>
    </row>
    <row r="1564" spans="1:22">
      <c r="A1564" s="2" t="s">
        <v>3146</v>
      </c>
      <c r="B1564" s="2" t="s">
        <v>3147</v>
      </c>
      <c r="C1564" s="181">
        <v>29.167936000000001</v>
      </c>
      <c r="D1564" s="181">
        <v>3464.5092</v>
      </c>
      <c r="E1564" s="181">
        <v>0</v>
      </c>
      <c r="F1564" s="181">
        <v>0</v>
      </c>
      <c r="G1564" s="181">
        <v>0</v>
      </c>
      <c r="H1564" s="181">
        <v>0</v>
      </c>
      <c r="I1564" s="181">
        <v>0</v>
      </c>
      <c r="J1564" s="181">
        <v>0</v>
      </c>
      <c r="K1564" s="181">
        <v>0</v>
      </c>
      <c r="L1564" s="181">
        <v>0</v>
      </c>
      <c r="M1564" s="181">
        <v>22642989.552639998</v>
      </c>
      <c r="N1564" s="181">
        <v>257276.90479999996</v>
      </c>
      <c r="O1564" s="181">
        <v>222864.07039999997</v>
      </c>
      <c r="P1564" s="181">
        <v>80.772000000000006</v>
      </c>
      <c r="Q1564" s="181">
        <v>22642989.552639998</v>
      </c>
      <c r="R1564" s="181">
        <v>257276.90479999996</v>
      </c>
      <c r="S1564" s="181">
        <v>222864.07039999997</v>
      </c>
      <c r="T1564" s="181">
        <v>80.772000000000006</v>
      </c>
      <c r="U1564" s="181">
        <v>35171555.463199995</v>
      </c>
      <c r="V1564" s="181">
        <v>0</v>
      </c>
    </row>
    <row r="1565" spans="1:22">
      <c r="A1565" s="2" t="s">
        <v>3148</v>
      </c>
      <c r="B1565" s="2" t="s">
        <v>3149</v>
      </c>
      <c r="C1565" s="181">
        <v>75.300895999999995</v>
      </c>
      <c r="D1565" s="181">
        <v>9032.24</v>
      </c>
      <c r="E1565" s="181">
        <v>0</v>
      </c>
      <c r="F1565" s="181">
        <v>0</v>
      </c>
      <c r="G1565" s="181">
        <v>0</v>
      </c>
      <c r="H1565" s="181">
        <v>0</v>
      </c>
      <c r="I1565" s="181">
        <v>0</v>
      </c>
      <c r="J1565" s="181">
        <v>0</v>
      </c>
      <c r="K1565" s="181">
        <v>0</v>
      </c>
      <c r="L1565" s="181">
        <v>0</v>
      </c>
      <c r="M1565" s="181">
        <v>47450382.518399999</v>
      </c>
      <c r="N1565" s="181">
        <v>591573.01039999991</v>
      </c>
      <c r="O1565" s="181">
        <v>467031.32399999996</v>
      </c>
      <c r="P1565" s="181">
        <v>72.39</v>
      </c>
      <c r="Q1565" s="181">
        <v>30093532.070879996</v>
      </c>
      <c r="R1565" s="181">
        <v>483418.38799999998</v>
      </c>
      <c r="S1565" s="181">
        <v>394928.24239999999</v>
      </c>
      <c r="T1565" s="181">
        <v>57.657999999999994</v>
      </c>
      <c r="U1565" s="181">
        <v>62434713.839999996</v>
      </c>
      <c r="V1565" s="181">
        <v>0</v>
      </c>
    </row>
    <row r="1566" spans="1:22">
      <c r="A1566" s="2" t="s">
        <v>3150</v>
      </c>
      <c r="B1566" s="2" t="s">
        <v>3151</v>
      </c>
      <c r="C1566" s="181">
        <v>62.353903999999993</v>
      </c>
      <c r="D1566" s="181">
        <v>7483.8559999999998</v>
      </c>
      <c r="E1566" s="181">
        <v>0</v>
      </c>
      <c r="F1566" s="181">
        <v>0</v>
      </c>
      <c r="G1566" s="181">
        <v>0</v>
      </c>
      <c r="H1566" s="181">
        <v>0</v>
      </c>
      <c r="I1566" s="181">
        <v>0</v>
      </c>
      <c r="J1566" s="181">
        <v>0</v>
      </c>
      <c r="K1566" s="181">
        <v>0</v>
      </c>
      <c r="L1566" s="181">
        <v>0</v>
      </c>
      <c r="M1566" s="181">
        <v>40873925.993919998</v>
      </c>
      <c r="N1566" s="181">
        <v>499805.45199999993</v>
      </c>
      <c r="O1566" s="181">
        <v>403121.77439999999</v>
      </c>
      <c r="P1566" s="181">
        <v>73.914000000000001</v>
      </c>
      <c r="Q1566" s="181">
        <v>26014464.099999998</v>
      </c>
      <c r="R1566" s="181">
        <v>408037.89359999995</v>
      </c>
      <c r="S1566" s="181">
        <v>340850.93119999999</v>
      </c>
      <c r="T1566" s="181">
        <v>58.92799999999999</v>
      </c>
      <c r="U1566" s="181">
        <v>52861391.051199995</v>
      </c>
      <c r="V1566" s="181">
        <v>0</v>
      </c>
    </row>
    <row r="1567" spans="1:22">
      <c r="A1567" s="2" t="s">
        <v>3152</v>
      </c>
      <c r="B1567" s="2" t="s">
        <v>3153</v>
      </c>
      <c r="C1567" s="181">
        <v>48.365199999999994</v>
      </c>
      <c r="D1567" s="181">
        <v>5787.0852000000004</v>
      </c>
      <c r="E1567" s="181">
        <v>0</v>
      </c>
      <c r="F1567" s="181">
        <v>0</v>
      </c>
      <c r="G1567" s="181">
        <v>0</v>
      </c>
      <c r="H1567" s="181">
        <v>0</v>
      </c>
      <c r="I1567" s="181">
        <v>0</v>
      </c>
      <c r="J1567" s="181">
        <v>0</v>
      </c>
      <c r="K1567" s="181">
        <v>0</v>
      </c>
      <c r="L1567" s="181">
        <v>0</v>
      </c>
      <c r="M1567" s="181">
        <v>32923905.764959995</v>
      </c>
      <c r="N1567" s="181">
        <v>394928.24239999999</v>
      </c>
      <c r="O1567" s="181">
        <v>324463.86719999998</v>
      </c>
      <c r="P1567" s="181">
        <v>75.438000000000002</v>
      </c>
      <c r="Q1567" s="181">
        <v>21061310.135359999</v>
      </c>
      <c r="R1567" s="181">
        <v>324463.86719999998</v>
      </c>
      <c r="S1567" s="181">
        <v>276941.38159999996</v>
      </c>
      <c r="T1567" s="181">
        <v>60.451999999999991</v>
      </c>
      <c r="U1567" s="181">
        <v>41623142.559999995</v>
      </c>
      <c r="V1567" s="181">
        <v>0</v>
      </c>
    </row>
    <row r="1568" spans="1:22">
      <c r="A1568" s="2" t="s">
        <v>3154</v>
      </c>
      <c r="B1568" s="2" t="s">
        <v>3155</v>
      </c>
      <c r="C1568" s="181">
        <v>40.924399999999999</v>
      </c>
      <c r="D1568" s="181">
        <v>4896.7644</v>
      </c>
      <c r="E1568" s="181">
        <v>0</v>
      </c>
      <c r="F1568" s="181">
        <v>0</v>
      </c>
      <c r="G1568" s="181">
        <v>0</v>
      </c>
      <c r="H1568" s="181">
        <v>0</v>
      </c>
      <c r="I1568" s="181">
        <v>0</v>
      </c>
      <c r="J1568" s="181">
        <v>0</v>
      </c>
      <c r="K1568" s="181">
        <v>0</v>
      </c>
      <c r="L1568" s="181">
        <v>0</v>
      </c>
      <c r="M1568" s="181">
        <v>28428606.368479997</v>
      </c>
      <c r="N1568" s="181">
        <v>337573.5184</v>
      </c>
      <c r="O1568" s="181">
        <v>280218.79440000001</v>
      </c>
      <c r="P1568" s="181">
        <v>76.199999999999989</v>
      </c>
      <c r="Q1568" s="181">
        <v>18230936.441279996</v>
      </c>
      <c r="R1568" s="181">
        <v>276941.38159999996</v>
      </c>
      <c r="S1568" s="181">
        <v>239251.13439999998</v>
      </c>
      <c r="T1568" s="181">
        <v>60.959999999999994</v>
      </c>
      <c r="U1568" s="181">
        <v>35712656.316479996</v>
      </c>
      <c r="V1568" s="181">
        <v>0</v>
      </c>
    </row>
    <row r="1569" spans="1:22">
      <c r="A1569" s="2" t="s">
        <v>3156</v>
      </c>
      <c r="B1569" s="2" t="s">
        <v>3157</v>
      </c>
      <c r="C1569" s="181">
        <v>33.334783999999999</v>
      </c>
      <c r="D1569" s="181">
        <v>3980.6371999999997</v>
      </c>
      <c r="E1569" s="181">
        <v>0</v>
      </c>
      <c r="F1569" s="181">
        <v>0</v>
      </c>
      <c r="G1569" s="181">
        <v>0</v>
      </c>
      <c r="H1569" s="181">
        <v>0</v>
      </c>
      <c r="I1569" s="181">
        <v>0</v>
      </c>
      <c r="J1569" s="181">
        <v>0</v>
      </c>
      <c r="K1569" s="181">
        <v>0</v>
      </c>
      <c r="L1569" s="181">
        <v>0</v>
      </c>
      <c r="M1569" s="181">
        <v>23558698.688959997</v>
      </c>
      <c r="N1569" s="181">
        <v>276941.38159999996</v>
      </c>
      <c r="O1569" s="181">
        <v>232696.30879999997</v>
      </c>
      <c r="P1569" s="181">
        <v>76.961999999999989</v>
      </c>
      <c r="Q1569" s="181">
        <v>15150823.891839998</v>
      </c>
      <c r="R1569" s="181">
        <v>227780.18959999998</v>
      </c>
      <c r="S1569" s="181">
        <v>198283.47439999998</v>
      </c>
      <c r="T1569" s="181">
        <v>61.722000000000001</v>
      </c>
      <c r="U1569" s="181">
        <v>29261069.219679996</v>
      </c>
      <c r="V1569" s="181">
        <v>0</v>
      </c>
    </row>
    <row r="1570" spans="1:22">
      <c r="A1570" s="2" t="s">
        <v>3158</v>
      </c>
      <c r="B1570" s="2" t="s">
        <v>3159</v>
      </c>
      <c r="C1570" s="181">
        <v>25.447535999999999</v>
      </c>
      <c r="D1570" s="181">
        <v>3012.8971999999999</v>
      </c>
      <c r="E1570" s="181">
        <v>0</v>
      </c>
      <c r="F1570" s="181">
        <v>0</v>
      </c>
      <c r="G1570" s="181">
        <v>0</v>
      </c>
      <c r="H1570" s="181">
        <v>0</v>
      </c>
      <c r="I1570" s="181">
        <v>0</v>
      </c>
      <c r="J1570" s="181">
        <v>0</v>
      </c>
      <c r="K1570" s="181">
        <v>0</v>
      </c>
      <c r="L1570" s="181">
        <v>0</v>
      </c>
      <c r="M1570" s="181">
        <v>18189313.298719998</v>
      </c>
      <c r="N1570" s="181">
        <v>213031.83199999999</v>
      </c>
      <c r="O1570" s="181">
        <v>178618.9976</v>
      </c>
      <c r="P1570" s="181">
        <v>77.724000000000004</v>
      </c>
      <c r="Q1570" s="181">
        <v>11737726.201919999</v>
      </c>
      <c r="R1570" s="181">
        <v>175341.58479999998</v>
      </c>
      <c r="S1570" s="181">
        <v>153874.53096</v>
      </c>
      <c r="T1570" s="181">
        <v>62.483999999999995</v>
      </c>
      <c r="U1570" s="181">
        <v>22351627.554719999</v>
      </c>
      <c r="V1570" s="181">
        <v>0</v>
      </c>
    </row>
    <row r="1571" spans="1:22">
      <c r="A1571" s="2" t="s">
        <v>3160</v>
      </c>
      <c r="B1571" s="2" t="s">
        <v>3161</v>
      </c>
      <c r="C1571" s="181">
        <v>62.651536</v>
      </c>
      <c r="D1571" s="181">
        <v>7548.3719999999994</v>
      </c>
      <c r="E1571" s="181">
        <v>0</v>
      </c>
      <c r="F1571" s="181">
        <v>0</v>
      </c>
      <c r="G1571" s="181">
        <v>0</v>
      </c>
      <c r="H1571" s="181">
        <v>0</v>
      </c>
      <c r="I1571" s="181">
        <v>0</v>
      </c>
      <c r="J1571" s="181">
        <v>0</v>
      </c>
      <c r="K1571" s="181">
        <v>0</v>
      </c>
      <c r="L1571" s="181">
        <v>0</v>
      </c>
      <c r="M1571" s="181">
        <v>34130976.8992</v>
      </c>
      <c r="N1571" s="181">
        <v>449005.55359999993</v>
      </c>
      <c r="O1571" s="181">
        <v>335934.81199999998</v>
      </c>
      <c r="P1571" s="181">
        <v>67.055999999999997</v>
      </c>
      <c r="Q1571" s="181">
        <v>11071755.92096</v>
      </c>
      <c r="R1571" s="181">
        <v>272025.26240000001</v>
      </c>
      <c r="S1571" s="181">
        <v>217947.95119999998</v>
      </c>
      <c r="T1571" s="181">
        <v>38.353999999999999</v>
      </c>
      <c r="U1571" s="181">
        <v>29261069.219679996</v>
      </c>
      <c r="V1571" s="181">
        <v>0</v>
      </c>
    </row>
    <row r="1572" spans="1:22">
      <c r="A1572" s="2" t="s">
        <v>3162</v>
      </c>
      <c r="B1572" s="2" t="s">
        <v>3163</v>
      </c>
      <c r="C1572" s="181">
        <v>52.234416000000003</v>
      </c>
      <c r="D1572" s="181">
        <v>6283.8584000000001</v>
      </c>
      <c r="E1572" s="181">
        <v>0</v>
      </c>
      <c r="F1572" s="181">
        <v>0</v>
      </c>
      <c r="G1572" s="181">
        <v>0</v>
      </c>
      <c r="H1572" s="181">
        <v>0</v>
      </c>
      <c r="I1572" s="181">
        <v>0</v>
      </c>
      <c r="J1572" s="181">
        <v>0</v>
      </c>
      <c r="K1572" s="181">
        <v>0</v>
      </c>
      <c r="L1572" s="181">
        <v>0</v>
      </c>
      <c r="M1572" s="181">
        <v>29885416.358079996</v>
      </c>
      <c r="N1572" s="181">
        <v>385096.00399999996</v>
      </c>
      <c r="O1572" s="181">
        <v>293328.44559999998</v>
      </c>
      <c r="P1572" s="181">
        <v>68.833999999999989</v>
      </c>
      <c r="Q1572" s="181">
        <v>9823061.6441599987</v>
      </c>
      <c r="R1572" s="181">
        <v>234335.01519999999</v>
      </c>
      <c r="S1572" s="181">
        <v>193367.35519999999</v>
      </c>
      <c r="T1572" s="181">
        <v>39.624000000000002</v>
      </c>
      <c r="U1572" s="181">
        <v>25431740.10416</v>
      </c>
      <c r="V1572" s="181">
        <v>0</v>
      </c>
    </row>
    <row r="1573" spans="1:22">
      <c r="A1573" s="2" t="s">
        <v>3164</v>
      </c>
      <c r="B1573" s="2" t="s">
        <v>3165</v>
      </c>
      <c r="C1573" s="181">
        <v>40.775583999999995</v>
      </c>
      <c r="D1573" s="181">
        <v>4890.3127999999997</v>
      </c>
      <c r="E1573" s="181">
        <v>0</v>
      </c>
      <c r="F1573" s="181">
        <v>0</v>
      </c>
      <c r="G1573" s="181">
        <v>0</v>
      </c>
      <c r="H1573" s="181">
        <v>0</v>
      </c>
      <c r="I1573" s="181">
        <v>0</v>
      </c>
      <c r="J1573" s="181">
        <v>0</v>
      </c>
      <c r="K1573" s="181">
        <v>0</v>
      </c>
      <c r="L1573" s="181">
        <v>0</v>
      </c>
      <c r="M1573" s="181">
        <v>24432784.682719998</v>
      </c>
      <c r="N1573" s="181">
        <v>308076.80319999997</v>
      </c>
      <c r="O1573" s="181">
        <v>240889.84079999998</v>
      </c>
      <c r="P1573" s="181">
        <v>70.611999999999995</v>
      </c>
      <c r="Q1573" s="181">
        <v>8158135.9417599998</v>
      </c>
      <c r="R1573" s="181">
        <v>188451.23599999998</v>
      </c>
      <c r="S1573" s="181">
        <v>160593.22719999999</v>
      </c>
      <c r="T1573" s="181">
        <v>40.893999999999998</v>
      </c>
      <c r="U1573" s="181">
        <v>20520209.282079998</v>
      </c>
      <c r="V1573" s="181">
        <v>0</v>
      </c>
    </row>
    <row r="1574" spans="1:22">
      <c r="A1574" s="2" t="s">
        <v>3166</v>
      </c>
      <c r="B1574" s="2" t="s">
        <v>3167</v>
      </c>
      <c r="C1574" s="181">
        <v>34.674127999999996</v>
      </c>
      <c r="D1574" s="181">
        <v>4148.3787999999995</v>
      </c>
      <c r="E1574" s="181">
        <v>0</v>
      </c>
      <c r="F1574" s="181">
        <v>0</v>
      </c>
      <c r="G1574" s="181">
        <v>0</v>
      </c>
      <c r="H1574" s="181">
        <v>0</v>
      </c>
      <c r="I1574" s="181">
        <v>0</v>
      </c>
      <c r="J1574" s="181">
        <v>0</v>
      </c>
      <c r="K1574" s="181">
        <v>0</v>
      </c>
      <c r="L1574" s="181">
        <v>0</v>
      </c>
      <c r="M1574" s="181">
        <v>21227802.705599997</v>
      </c>
      <c r="N1574" s="181">
        <v>263831.7304</v>
      </c>
      <c r="O1574" s="181">
        <v>209754.4192</v>
      </c>
      <c r="P1574" s="181">
        <v>71.627999999999986</v>
      </c>
      <c r="Q1574" s="181">
        <v>7159180.5203199992</v>
      </c>
      <c r="R1574" s="181">
        <v>162395.80424</v>
      </c>
      <c r="S1574" s="181">
        <v>140601.00912</v>
      </c>
      <c r="T1574" s="181">
        <v>41.401999999999994</v>
      </c>
      <c r="U1574" s="181">
        <v>17731458.730559997</v>
      </c>
      <c r="V1574" s="181">
        <v>0</v>
      </c>
    </row>
    <row r="1575" spans="1:22">
      <c r="A1575" s="2" t="s">
        <v>3168</v>
      </c>
      <c r="B1575" s="2" t="s">
        <v>3169</v>
      </c>
      <c r="C1575" s="181">
        <v>28.275039999999997</v>
      </c>
      <c r="D1575" s="181">
        <v>3380.6383999999998</v>
      </c>
      <c r="E1575" s="181">
        <v>0</v>
      </c>
      <c r="F1575" s="181">
        <v>0</v>
      </c>
      <c r="G1575" s="181">
        <v>0</v>
      </c>
      <c r="H1575" s="181">
        <v>0</v>
      </c>
      <c r="I1575" s="181">
        <v>0</v>
      </c>
      <c r="J1575" s="181">
        <v>0</v>
      </c>
      <c r="K1575" s="181">
        <v>0</v>
      </c>
      <c r="L1575" s="181">
        <v>0</v>
      </c>
      <c r="M1575" s="181">
        <v>17689835.588</v>
      </c>
      <c r="N1575" s="181">
        <v>217947.95119999998</v>
      </c>
      <c r="O1575" s="181">
        <v>173702.87839999999</v>
      </c>
      <c r="P1575" s="181">
        <v>72.39</v>
      </c>
      <c r="Q1575" s="181">
        <v>5993732.5286399992</v>
      </c>
      <c r="R1575" s="181">
        <v>134373.92479999998</v>
      </c>
      <c r="S1575" s="181">
        <v>118150.73143999999</v>
      </c>
      <c r="T1575" s="181">
        <v>42.163999999999994</v>
      </c>
      <c r="U1575" s="181">
        <v>14692969.323679997</v>
      </c>
      <c r="V1575" s="181">
        <v>0</v>
      </c>
    </row>
    <row r="1576" spans="1:22">
      <c r="A1576" s="2" t="s">
        <v>3170</v>
      </c>
      <c r="B1576" s="2" t="s">
        <v>3171</v>
      </c>
      <c r="C1576" s="181">
        <v>21.578319999999998</v>
      </c>
      <c r="D1576" s="181">
        <v>2567.7367999999997</v>
      </c>
      <c r="E1576" s="181">
        <v>0</v>
      </c>
      <c r="F1576" s="181">
        <v>0</v>
      </c>
      <c r="G1576" s="181">
        <v>0</v>
      </c>
      <c r="H1576" s="181">
        <v>0</v>
      </c>
      <c r="I1576" s="181">
        <v>0</v>
      </c>
      <c r="J1576" s="181">
        <v>0</v>
      </c>
      <c r="K1576" s="181">
        <v>0</v>
      </c>
      <c r="L1576" s="181">
        <v>0</v>
      </c>
      <c r="M1576" s="181">
        <v>13777260.18736</v>
      </c>
      <c r="N1576" s="181">
        <v>167148.05279999998</v>
      </c>
      <c r="O1576" s="181">
        <v>135521.01927999998</v>
      </c>
      <c r="P1576" s="181">
        <v>73.151999999999987</v>
      </c>
      <c r="Q1576" s="181">
        <v>4703415.1092799995</v>
      </c>
      <c r="R1576" s="181">
        <v>103730.11511999999</v>
      </c>
      <c r="S1576" s="181">
        <v>92586.911599999992</v>
      </c>
      <c r="T1576" s="181">
        <v>42.925999999999995</v>
      </c>
      <c r="U1576" s="181">
        <v>11321494.776319999</v>
      </c>
      <c r="V1576" s="181">
        <v>0</v>
      </c>
    </row>
    <row r="1577" spans="1:22">
      <c r="A1577" s="2" t="s">
        <v>3172</v>
      </c>
      <c r="B1577" s="2" t="s">
        <v>3173</v>
      </c>
      <c r="C1577" s="181">
        <v>14.658375999999999</v>
      </c>
      <c r="D1577" s="181">
        <v>1741.932</v>
      </c>
      <c r="E1577" s="181">
        <v>0</v>
      </c>
      <c r="F1577" s="181">
        <v>0</v>
      </c>
      <c r="G1577" s="181">
        <v>0</v>
      </c>
      <c r="H1577" s="181">
        <v>0</v>
      </c>
      <c r="I1577" s="181">
        <v>0</v>
      </c>
      <c r="J1577" s="181">
        <v>0</v>
      </c>
      <c r="K1577" s="181">
        <v>0</v>
      </c>
      <c r="L1577" s="181">
        <v>0</v>
      </c>
      <c r="M1577" s="181">
        <v>9531699.6462399978</v>
      </c>
      <c r="N1577" s="181">
        <v>115037.18927999998</v>
      </c>
      <c r="O1577" s="181">
        <v>93897.87672</v>
      </c>
      <c r="P1577" s="181">
        <v>74.167999999999992</v>
      </c>
      <c r="Q1577" s="181">
        <v>3288228.2622399996</v>
      </c>
      <c r="R1577" s="181">
        <v>71447.599040000001</v>
      </c>
      <c r="S1577" s="181">
        <v>64728.902799999996</v>
      </c>
      <c r="T1577" s="181">
        <v>43.433999999999997</v>
      </c>
      <c r="U1577" s="181">
        <v>7783527.6587199988</v>
      </c>
      <c r="V1577" s="181">
        <v>0</v>
      </c>
    </row>
    <row r="1578" spans="1:22">
      <c r="A1578" s="2" t="s">
        <v>3174</v>
      </c>
      <c r="B1578" s="2" t="s">
        <v>3175</v>
      </c>
      <c r="C1578" s="181">
        <v>47.174671999999994</v>
      </c>
      <c r="D1578" s="181">
        <v>5683.8595999999998</v>
      </c>
      <c r="E1578" s="181">
        <v>0</v>
      </c>
      <c r="F1578" s="181">
        <v>0</v>
      </c>
      <c r="G1578" s="181">
        <v>0</v>
      </c>
      <c r="H1578" s="181">
        <v>0</v>
      </c>
      <c r="I1578" s="181">
        <v>0</v>
      </c>
      <c r="J1578" s="181">
        <v>0</v>
      </c>
      <c r="K1578" s="181">
        <v>0</v>
      </c>
      <c r="L1578" s="181">
        <v>0</v>
      </c>
      <c r="M1578" s="181">
        <v>24391161.540159997</v>
      </c>
      <c r="N1578" s="181">
        <v>327741.27999999997</v>
      </c>
      <c r="O1578" s="181">
        <v>239251.13439999998</v>
      </c>
      <c r="P1578" s="181">
        <v>65.531999999999996</v>
      </c>
      <c r="Q1578" s="181">
        <v>4869907.6795199988</v>
      </c>
      <c r="R1578" s="181">
        <v>157971.29696000001</v>
      </c>
      <c r="S1578" s="181">
        <v>127982.96983999998</v>
      </c>
      <c r="T1578" s="181">
        <v>29.209999999999997</v>
      </c>
      <c r="U1578" s="181">
        <v>14276737.898079997</v>
      </c>
      <c r="V1578" s="181">
        <v>0</v>
      </c>
    </row>
    <row r="1579" spans="1:22">
      <c r="A1579" s="2" t="s">
        <v>3176</v>
      </c>
      <c r="B1579" s="2" t="s">
        <v>3177</v>
      </c>
      <c r="C1579" s="181">
        <v>37.055183999999997</v>
      </c>
      <c r="D1579" s="181">
        <v>4438.7007999999996</v>
      </c>
      <c r="E1579" s="181">
        <v>0</v>
      </c>
      <c r="F1579" s="181">
        <v>0</v>
      </c>
      <c r="G1579" s="181">
        <v>0</v>
      </c>
      <c r="H1579" s="181">
        <v>0</v>
      </c>
      <c r="I1579" s="181">
        <v>0</v>
      </c>
      <c r="J1579" s="181">
        <v>0</v>
      </c>
      <c r="K1579" s="181">
        <v>0</v>
      </c>
      <c r="L1579" s="181">
        <v>0</v>
      </c>
      <c r="M1579" s="181">
        <v>20187224.141599998</v>
      </c>
      <c r="N1579" s="181">
        <v>263831.7304</v>
      </c>
      <c r="O1579" s="181">
        <v>198283.47439999998</v>
      </c>
      <c r="P1579" s="181">
        <v>67.309999999999988</v>
      </c>
      <c r="Q1579" s="181">
        <v>4141502.6847199993</v>
      </c>
      <c r="R1579" s="181">
        <v>129130.06431999999</v>
      </c>
      <c r="S1579" s="181">
        <v>108646.23431999999</v>
      </c>
      <c r="T1579" s="181">
        <v>30.479999999999997</v>
      </c>
      <c r="U1579" s="181">
        <v>11862595.6296</v>
      </c>
      <c r="V1579" s="181">
        <v>0</v>
      </c>
    </row>
    <row r="1580" spans="1:22">
      <c r="A1580" s="2" t="s">
        <v>3178</v>
      </c>
      <c r="B1580" s="2" t="s">
        <v>3179</v>
      </c>
      <c r="C1580" s="181">
        <v>31.548991999999998</v>
      </c>
      <c r="D1580" s="181">
        <v>3774.1859999999997</v>
      </c>
      <c r="E1580" s="181">
        <v>0</v>
      </c>
      <c r="F1580" s="181">
        <v>0</v>
      </c>
      <c r="G1580" s="181">
        <v>0</v>
      </c>
      <c r="H1580" s="181">
        <v>0</v>
      </c>
      <c r="I1580" s="181">
        <v>0</v>
      </c>
      <c r="J1580" s="181">
        <v>0</v>
      </c>
      <c r="K1580" s="181">
        <v>0</v>
      </c>
      <c r="L1580" s="181">
        <v>0</v>
      </c>
      <c r="M1580" s="181">
        <v>17648212.445439998</v>
      </c>
      <c r="N1580" s="181">
        <v>227780.18959999998</v>
      </c>
      <c r="O1580" s="181">
        <v>173702.87839999999</v>
      </c>
      <c r="P1580" s="181">
        <v>68.325999999999993</v>
      </c>
      <c r="Q1580" s="181">
        <v>3666998.8595360001</v>
      </c>
      <c r="R1580" s="181">
        <v>112087.51775999999</v>
      </c>
      <c r="S1580" s="181">
        <v>96192.06568</v>
      </c>
      <c r="T1580" s="181">
        <v>31.241999999999997</v>
      </c>
      <c r="U1580" s="181">
        <v>10364162.497439999</v>
      </c>
      <c r="V1580" s="181">
        <v>0</v>
      </c>
    </row>
    <row r="1581" spans="1:22">
      <c r="A1581" s="2" t="s">
        <v>3180</v>
      </c>
      <c r="B1581" s="2" t="s">
        <v>3181</v>
      </c>
      <c r="C1581" s="181">
        <v>25.745168</v>
      </c>
      <c r="D1581" s="181">
        <v>3077.4131999999995</v>
      </c>
      <c r="E1581" s="181">
        <v>0</v>
      </c>
      <c r="F1581" s="181">
        <v>0</v>
      </c>
      <c r="G1581" s="181">
        <v>0</v>
      </c>
      <c r="H1581" s="181">
        <v>0</v>
      </c>
      <c r="I1581" s="181">
        <v>0</v>
      </c>
      <c r="J1581" s="181">
        <v>0</v>
      </c>
      <c r="K1581" s="181">
        <v>0</v>
      </c>
      <c r="L1581" s="181">
        <v>0</v>
      </c>
      <c r="M1581" s="181">
        <v>14776215.608799998</v>
      </c>
      <c r="N1581" s="181">
        <v>188451.23599999998</v>
      </c>
      <c r="O1581" s="181">
        <v>145517.12831999999</v>
      </c>
      <c r="P1581" s="181">
        <v>69.341999999999999</v>
      </c>
      <c r="Q1581" s="181">
        <v>3117573.3777439999</v>
      </c>
      <c r="R1581" s="181">
        <v>93406.26479999999</v>
      </c>
      <c r="S1581" s="181">
        <v>81771.449359999999</v>
      </c>
      <c r="T1581" s="181">
        <v>31.75</v>
      </c>
      <c r="U1581" s="181">
        <v>8657613.6524799988</v>
      </c>
      <c r="V1581" s="181">
        <v>0</v>
      </c>
    </row>
    <row r="1582" spans="1:22">
      <c r="A1582" s="2" t="s">
        <v>3182</v>
      </c>
      <c r="B1582" s="2" t="s">
        <v>3183</v>
      </c>
      <c r="C1582" s="181">
        <v>19.643711999999997</v>
      </c>
      <c r="D1582" s="181">
        <v>2341.9307999999996</v>
      </c>
      <c r="E1582" s="181">
        <v>0</v>
      </c>
      <c r="F1582" s="181">
        <v>0</v>
      </c>
      <c r="G1582" s="181">
        <v>0</v>
      </c>
      <c r="H1582" s="181">
        <v>0</v>
      </c>
      <c r="I1582" s="181">
        <v>0</v>
      </c>
      <c r="J1582" s="181">
        <v>0</v>
      </c>
      <c r="K1582" s="181">
        <v>0</v>
      </c>
      <c r="L1582" s="181">
        <v>0</v>
      </c>
      <c r="M1582" s="181">
        <v>11571233.631679999</v>
      </c>
      <c r="N1582" s="181">
        <v>145353.25767999998</v>
      </c>
      <c r="O1582" s="181">
        <v>113726.22416</v>
      </c>
      <c r="P1582" s="181">
        <v>70.35799999999999</v>
      </c>
      <c r="Q1582" s="181">
        <v>2472414.6680640001</v>
      </c>
      <c r="R1582" s="181">
        <v>72594.693519999986</v>
      </c>
      <c r="S1582" s="181">
        <v>64892.77343999999</v>
      </c>
      <c r="T1582" s="181">
        <v>32.512</v>
      </c>
      <c r="U1582" s="181">
        <v>6742949.0947199995</v>
      </c>
      <c r="V1582" s="181">
        <v>0</v>
      </c>
    </row>
    <row r="1583" spans="1:22">
      <c r="A1583" s="2" t="s">
        <v>3184</v>
      </c>
      <c r="B1583" s="2" t="s">
        <v>3185</v>
      </c>
      <c r="C1583" s="181">
        <v>13.39344</v>
      </c>
      <c r="D1583" s="181">
        <v>1587.0935999999999</v>
      </c>
      <c r="E1583" s="181">
        <v>0</v>
      </c>
      <c r="F1583" s="181">
        <v>0</v>
      </c>
      <c r="G1583" s="181">
        <v>0</v>
      </c>
      <c r="H1583" s="181">
        <v>0</v>
      </c>
      <c r="I1583" s="181">
        <v>0</v>
      </c>
      <c r="J1583" s="181">
        <v>0</v>
      </c>
      <c r="K1583" s="181">
        <v>0</v>
      </c>
      <c r="L1583" s="181">
        <v>0</v>
      </c>
      <c r="M1583" s="181">
        <v>8033266.5140799992</v>
      </c>
      <c r="N1583" s="181">
        <v>100124.96103999999</v>
      </c>
      <c r="O1583" s="181">
        <v>79149.519119999997</v>
      </c>
      <c r="P1583" s="181">
        <v>71.11999999999999</v>
      </c>
      <c r="Q1583" s="181">
        <v>1748171.98752</v>
      </c>
      <c r="R1583" s="181">
        <v>50308.286479999995</v>
      </c>
      <c r="S1583" s="181">
        <v>45883.77919999999</v>
      </c>
      <c r="T1583" s="181">
        <v>33.274000000000001</v>
      </c>
      <c r="U1583" s="181">
        <v>4703415.1092799995</v>
      </c>
      <c r="V1583" s="181">
        <v>0</v>
      </c>
    </row>
    <row r="1584" spans="1:22">
      <c r="A1584" s="2" t="s">
        <v>3186</v>
      </c>
      <c r="B1584" s="2" t="s">
        <v>3187</v>
      </c>
      <c r="C1584" s="181">
        <v>33.185968000000003</v>
      </c>
      <c r="D1584" s="181">
        <v>3987.0887999999995</v>
      </c>
      <c r="E1584" s="181">
        <v>0</v>
      </c>
      <c r="F1584" s="181">
        <v>0</v>
      </c>
      <c r="G1584" s="181">
        <v>0</v>
      </c>
      <c r="H1584" s="181">
        <v>0</v>
      </c>
      <c r="I1584" s="181">
        <v>0</v>
      </c>
      <c r="J1584" s="181">
        <v>0</v>
      </c>
      <c r="K1584" s="181">
        <v>0</v>
      </c>
      <c r="L1584" s="181">
        <v>0</v>
      </c>
      <c r="M1584" s="181">
        <v>15900040.45792</v>
      </c>
      <c r="N1584" s="181">
        <v>219586.65759999998</v>
      </c>
      <c r="O1584" s="181">
        <v>156660.33184</v>
      </c>
      <c r="P1584" s="181">
        <v>63.246000000000002</v>
      </c>
      <c r="Q1584" s="181">
        <v>1552543.2174879999</v>
      </c>
      <c r="R1584" s="181">
        <v>75544.365040000004</v>
      </c>
      <c r="S1584" s="181">
        <v>61123.748719999996</v>
      </c>
      <c r="T1584" s="181">
        <v>19.735800000000001</v>
      </c>
      <c r="U1584" s="181">
        <v>5036400.2497599991</v>
      </c>
      <c r="V1584" s="181">
        <v>0</v>
      </c>
    </row>
    <row r="1585" spans="1:22">
      <c r="A1585" s="2" t="s">
        <v>3188</v>
      </c>
      <c r="B1585" s="2" t="s">
        <v>3189</v>
      </c>
      <c r="C1585" s="181">
        <v>28.275039999999997</v>
      </c>
      <c r="D1585" s="181">
        <v>3393.5415999999996</v>
      </c>
      <c r="E1585" s="181">
        <v>0</v>
      </c>
      <c r="F1585" s="181">
        <v>0</v>
      </c>
      <c r="G1585" s="181">
        <v>0</v>
      </c>
      <c r="H1585" s="181">
        <v>0</v>
      </c>
      <c r="I1585" s="181">
        <v>0</v>
      </c>
      <c r="J1585" s="181">
        <v>0</v>
      </c>
      <c r="K1585" s="181">
        <v>0</v>
      </c>
      <c r="L1585" s="181">
        <v>0</v>
      </c>
      <c r="M1585" s="181">
        <v>14026999.042719999</v>
      </c>
      <c r="N1585" s="181">
        <v>190089.94239999997</v>
      </c>
      <c r="O1585" s="181">
        <v>138142.94951999999</v>
      </c>
      <c r="P1585" s="181">
        <v>64.261999999999986</v>
      </c>
      <c r="Q1585" s="181">
        <v>1406862.2185279997</v>
      </c>
      <c r="R1585" s="181">
        <v>66531.479839999985</v>
      </c>
      <c r="S1585" s="181">
        <v>55388.27631999999</v>
      </c>
      <c r="T1585" s="181">
        <v>20.370799999999999</v>
      </c>
      <c r="U1585" s="181">
        <v>4536922.5390399992</v>
      </c>
      <c r="V1585" s="181">
        <v>0</v>
      </c>
    </row>
    <row r="1586" spans="1:22">
      <c r="A1586" s="2" t="s">
        <v>3190</v>
      </c>
      <c r="B1586" s="2" t="s">
        <v>3191</v>
      </c>
      <c r="C1586" s="181">
        <v>23.215295999999999</v>
      </c>
      <c r="D1586" s="181">
        <v>2774.1879999999996</v>
      </c>
      <c r="E1586" s="181">
        <v>0</v>
      </c>
      <c r="F1586" s="181">
        <v>0</v>
      </c>
      <c r="G1586" s="181">
        <v>0</v>
      </c>
      <c r="H1586" s="181">
        <v>0</v>
      </c>
      <c r="I1586" s="181">
        <v>0</v>
      </c>
      <c r="J1586" s="181">
        <v>0</v>
      </c>
      <c r="K1586" s="181">
        <v>0</v>
      </c>
      <c r="L1586" s="181">
        <v>0</v>
      </c>
      <c r="M1586" s="181">
        <v>11862595.6296</v>
      </c>
      <c r="N1586" s="181">
        <v>158626.77951999998</v>
      </c>
      <c r="O1586" s="181">
        <v>116675.89567999999</v>
      </c>
      <c r="P1586" s="181">
        <v>65.277999999999992</v>
      </c>
      <c r="Q1586" s="181">
        <v>1223720.3912639997</v>
      </c>
      <c r="R1586" s="181">
        <v>56207.629519999995</v>
      </c>
      <c r="S1586" s="181">
        <v>48177.968159999997</v>
      </c>
      <c r="T1586" s="181">
        <v>21.005799999999997</v>
      </c>
      <c r="U1586" s="181">
        <v>3895926.1436159993</v>
      </c>
      <c r="V1586" s="181">
        <v>0</v>
      </c>
    </row>
    <row r="1587" spans="1:22">
      <c r="A1587" s="2" t="s">
        <v>3192</v>
      </c>
      <c r="B1587" s="2" t="s">
        <v>3193</v>
      </c>
      <c r="C1587" s="181">
        <v>17.85792</v>
      </c>
      <c r="D1587" s="181">
        <v>2116.1247999999996</v>
      </c>
      <c r="E1587" s="181">
        <v>0</v>
      </c>
      <c r="F1587" s="181">
        <v>0</v>
      </c>
      <c r="G1587" s="181">
        <v>0</v>
      </c>
      <c r="H1587" s="181">
        <v>0</v>
      </c>
      <c r="I1587" s="181">
        <v>0</v>
      </c>
      <c r="J1587" s="181">
        <v>0</v>
      </c>
      <c r="K1587" s="181">
        <v>0</v>
      </c>
      <c r="L1587" s="181">
        <v>0</v>
      </c>
      <c r="M1587" s="181">
        <v>9323583.933439998</v>
      </c>
      <c r="N1587" s="181">
        <v>123066.85063999999</v>
      </c>
      <c r="O1587" s="181">
        <v>91931.429040000003</v>
      </c>
      <c r="P1587" s="181">
        <v>66.293999999999997</v>
      </c>
      <c r="Q1587" s="181">
        <v>994793.10718399996</v>
      </c>
      <c r="R1587" s="181">
        <v>44245.072800000002</v>
      </c>
      <c r="S1587" s="181">
        <v>39165.08296</v>
      </c>
      <c r="T1587" s="181">
        <v>21.6662</v>
      </c>
      <c r="U1587" s="181">
        <v>3113411.0634880001</v>
      </c>
      <c r="V1587" s="181">
        <v>0</v>
      </c>
    </row>
    <row r="1588" spans="1:22">
      <c r="A1588" s="2" t="s">
        <v>3194</v>
      </c>
      <c r="B1588" s="2" t="s">
        <v>3195</v>
      </c>
      <c r="C1588" s="181">
        <v>12.128504</v>
      </c>
      <c r="D1588" s="181">
        <v>1438.7067999999999</v>
      </c>
      <c r="E1588" s="181">
        <v>0</v>
      </c>
      <c r="F1588" s="181">
        <v>0</v>
      </c>
      <c r="G1588" s="181">
        <v>0</v>
      </c>
      <c r="H1588" s="181">
        <v>0</v>
      </c>
      <c r="I1588" s="181">
        <v>0</v>
      </c>
      <c r="J1588" s="181">
        <v>0</v>
      </c>
      <c r="K1588" s="181">
        <v>0</v>
      </c>
      <c r="L1588" s="181">
        <v>0</v>
      </c>
      <c r="M1588" s="181">
        <v>6534833.3819199987</v>
      </c>
      <c r="N1588" s="181">
        <v>85048.862160000004</v>
      </c>
      <c r="O1588" s="181">
        <v>64401.161519999994</v>
      </c>
      <c r="P1588" s="181">
        <v>67.309999999999988</v>
      </c>
      <c r="Q1588" s="181">
        <v>715918.05203199992</v>
      </c>
      <c r="R1588" s="181">
        <v>31135.421599999994</v>
      </c>
      <c r="S1588" s="181">
        <v>28185.750079999998</v>
      </c>
      <c r="T1588" s="181">
        <v>22.326599999999999</v>
      </c>
      <c r="U1588" s="181">
        <v>2206026.5556799998</v>
      </c>
      <c r="V1588" s="181">
        <v>0</v>
      </c>
    </row>
    <row r="1589" spans="1:22">
      <c r="A1589" s="2" t="s">
        <v>3196</v>
      </c>
      <c r="B1589" s="2" t="s">
        <v>3197</v>
      </c>
      <c r="C1589" s="181">
        <v>75.300895999999995</v>
      </c>
      <c r="D1589" s="181">
        <v>9032.24</v>
      </c>
      <c r="E1589" s="181">
        <v>0</v>
      </c>
      <c r="F1589" s="181">
        <v>0</v>
      </c>
      <c r="G1589" s="181">
        <v>0</v>
      </c>
      <c r="H1589" s="181">
        <v>0</v>
      </c>
      <c r="I1589" s="181">
        <v>0</v>
      </c>
      <c r="J1589" s="181">
        <v>0</v>
      </c>
      <c r="K1589" s="181">
        <v>0</v>
      </c>
      <c r="L1589" s="181">
        <v>0</v>
      </c>
      <c r="M1589" s="181">
        <v>38876015.151039995</v>
      </c>
      <c r="N1589" s="181">
        <v>542411.81839999999</v>
      </c>
      <c r="O1589" s="181">
        <v>437534.60879999993</v>
      </c>
      <c r="P1589" s="181">
        <v>65.531999999999996</v>
      </c>
      <c r="Q1589" s="181">
        <v>38876015.151039995</v>
      </c>
      <c r="R1589" s="181">
        <v>542411.81839999999</v>
      </c>
      <c r="S1589" s="181">
        <v>437534.60879999993</v>
      </c>
      <c r="T1589" s="181">
        <v>65.531999999999996</v>
      </c>
      <c r="U1589" s="181">
        <v>65764565.244799994</v>
      </c>
      <c r="V1589" s="181">
        <v>0</v>
      </c>
    </row>
    <row r="1590" spans="1:22">
      <c r="A1590" s="2" t="s">
        <v>3198</v>
      </c>
      <c r="B1590" s="2" t="s">
        <v>3199</v>
      </c>
      <c r="C1590" s="181">
        <v>62.353903999999993</v>
      </c>
      <c r="D1590" s="181">
        <v>7483.8559999999998</v>
      </c>
      <c r="E1590" s="181">
        <v>0</v>
      </c>
      <c r="F1590" s="181">
        <v>0</v>
      </c>
      <c r="G1590" s="181">
        <v>0</v>
      </c>
      <c r="H1590" s="181">
        <v>0</v>
      </c>
      <c r="I1590" s="181">
        <v>0</v>
      </c>
      <c r="J1590" s="181">
        <v>0</v>
      </c>
      <c r="K1590" s="181">
        <v>0</v>
      </c>
      <c r="L1590" s="181">
        <v>0</v>
      </c>
      <c r="M1590" s="181">
        <v>33506629.760799997</v>
      </c>
      <c r="N1590" s="181">
        <v>457199.08559999993</v>
      </c>
      <c r="O1590" s="181">
        <v>376902.47199999995</v>
      </c>
      <c r="P1590" s="181">
        <v>66.801999999999992</v>
      </c>
      <c r="Q1590" s="181">
        <v>33506629.760799997</v>
      </c>
      <c r="R1590" s="181">
        <v>457199.08559999993</v>
      </c>
      <c r="S1590" s="181">
        <v>376902.47199999995</v>
      </c>
      <c r="T1590" s="181">
        <v>66.801999999999992</v>
      </c>
      <c r="U1590" s="181">
        <v>55358779.604799993</v>
      </c>
      <c r="V1590" s="181">
        <v>0</v>
      </c>
    </row>
    <row r="1591" spans="1:22">
      <c r="A1591" s="2" t="s">
        <v>3200</v>
      </c>
      <c r="B1591" s="2" t="s">
        <v>3201</v>
      </c>
      <c r="C1591" s="181">
        <v>48.365199999999994</v>
      </c>
      <c r="D1591" s="181">
        <v>5787.0852000000004</v>
      </c>
      <c r="E1591" s="181">
        <v>0</v>
      </c>
      <c r="F1591" s="181">
        <v>0</v>
      </c>
      <c r="G1591" s="181">
        <v>0</v>
      </c>
      <c r="H1591" s="181">
        <v>0</v>
      </c>
      <c r="I1591" s="181">
        <v>0</v>
      </c>
      <c r="J1591" s="181">
        <v>0</v>
      </c>
      <c r="K1591" s="181">
        <v>0</v>
      </c>
      <c r="L1591" s="181">
        <v>0</v>
      </c>
      <c r="M1591" s="181">
        <v>27055042.663999997</v>
      </c>
      <c r="N1591" s="181">
        <v>362154.11439999996</v>
      </c>
      <c r="O1591" s="181">
        <v>304799.39039999997</v>
      </c>
      <c r="P1591" s="181">
        <v>68.325999999999993</v>
      </c>
      <c r="Q1591" s="181">
        <v>27055042.663999997</v>
      </c>
      <c r="R1591" s="181">
        <v>362154.11439999996</v>
      </c>
      <c r="S1591" s="181">
        <v>304799.39039999997</v>
      </c>
      <c r="T1591" s="181">
        <v>68.325999999999993</v>
      </c>
      <c r="U1591" s="181">
        <v>43704299.687999994</v>
      </c>
      <c r="V1591" s="181">
        <v>0</v>
      </c>
    </row>
    <row r="1592" spans="1:22">
      <c r="A1592" s="2" t="s">
        <v>3202</v>
      </c>
      <c r="B1592" s="2" t="s">
        <v>3203</v>
      </c>
      <c r="C1592" s="181">
        <v>40.924399999999999</v>
      </c>
      <c r="D1592" s="181">
        <v>4896.7644</v>
      </c>
      <c r="E1592" s="181">
        <v>0</v>
      </c>
      <c r="F1592" s="181">
        <v>0</v>
      </c>
      <c r="G1592" s="181">
        <v>0</v>
      </c>
      <c r="H1592" s="181">
        <v>0</v>
      </c>
      <c r="I1592" s="181">
        <v>0</v>
      </c>
      <c r="J1592" s="181">
        <v>0</v>
      </c>
      <c r="K1592" s="181">
        <v>0</v>
      </c>
      <c r="L1592" s="181">
        <v>0</v>
      </c>
      <c r="M1592" s="181">
        <v>23350582.976159997</v>
      </c>
      <c r="N1592" s="181">
        <v>309715.50959999993</v>
      </c>
      <c r="O1592" s="181">
        <v>262193.02399999998</v>
      </c>
      <c r="P1592" s="181">
        <v>69.088000000000008</v>
      </c>
      <c r="Q1592" s="181">
        <v>23350582.976159997</v>
      </c>
      <c r="R1592" s="181">
        <v>309715.50959999993</v>
      </c>
      <c r="S1592" s="181">
        <v>262193.02399999998</v>
      </c>
      <c r="T1592" s="181">
        <v>69.088000000000008</v>
      </c>
      <c r="U1592" s="181">
        <v>37335958.876319997</v>
      </c>
      <c r="V1592" s="181">
        <v>0</v>
      </c>
    </row>
    <row r="1593" spans="1:22">
      <c r="A1593" s="2" t="s">
        <v>3204</v>
      </c>
      <c r="B1593" s="2" t="s">
        <v>3205</v>
      </c>
      <c r="C1593" s="181">
        <v>33.334783999999999</v>
      </c>
      <c r="D1593" s="181">
        <v>3980.6371999999997</v>
      </c>
      <c r="E1593" s="181">
        <v>0</v>
      </c>
      <c r="F1593" s="181">
        <v>0</v>
      </c>
      <c r="G1593" s="181">
        <v>0</v>
      </c>
      <c r="H1593" s="181">
        <v>0</v>
      </c>
      <c r="I1593" s="181">
        <v>0</v>
      </c>
      <c r="J1593" s="181">
        <v>0</v>
      </c>
      <c r="K1593" s="181">
        <v>0</v>
      </c>
      <c r="L1593" s="181">
        <v>0</v>
      </c>
      <c r="M1593" s="181">
        <v>19354761.290399998</v>
      </c>
      <c r="N1593" s="181">
        <v>253999.49199999997</v>
      </c>
      <c r="O1593" s="181">
        <v>217947.95119999998</v>
      </c>
      <c r="P1593" s="181">
        <v>69.849999999999994</v>
      </c>
      <c r="Q1593" s="181">
        <v>19354761.290399998</v>
      </c>
      <c r="R1593" s="181">
        <v>253999.49199999997</v>
      </c>
      <c r="S1593" s="181">
        <v>217947.95119999998</v>
      </c>
      <c r="T1593" s="181">
        <v>69.849999999999994</v>
      </c>
      <c r="U1593" s="181">
        <v>30593009.781599998</v>
      </c>
      <c r="V1593" s="181">
        <v>0</v>
      </c>
    </row>
    <row r="1594" spans="1:22">
      <c r="A1594" s="2" t="s">
        <v>3206</v>
      </c>
      <c r="B1594" s="2" t="s">
        <v>3207</v>
      </c>
      <c r="C1594" s="181">
        <v>25.447535999999999</v>
      </c>
      <c r="D1594" s="181">
        <v>3012.8971999999999</v>
      </c>
      <c r="E1594" s="181">
        <v>0</v>
      </c>
      <c r="F1594" s="181">
        <v>0</v>
      </c>
      <c r="G1594" s="181">
        <v>0</v>
      </c>
      <c r="H1594" s="181">
        <v>0</v>
      </c>
      <c r="I1594" s="181">
        <v>0</v>
      </c>
      <c r="J1594" s="181">
        <v>0</v>
      </c>
      <c r="K1594" s="181">
        <v>0</v>
      </c>
      <c r="L1594" s="181">
        <v>0</v>
      </c>
      <c r="M1594" s="181">
        <v>14984331.321599998</v>
      </c>
      <c r="N1594" s="181">
        <v>195006.06159999999</v>
      </c>
      <c r="O1594" s="181">
        <v>168786.7592</v>
      </c>
      <c r="P1594" s="181">
        <v>70.35799999999999</v>
      </c>
      <c r="Q1594" s="181">
        <v>14984331.321599998</v>
      </c>
      <c r="R1594" s="181">
        <v>195006.06159999999</v>
      </c>
      <c r="S1594" s="181">
        <v>168786.7592</v>
      </c>
      <c r="T1594" s="181">
        <v>70.35799999999999</v>
      </c>
      <c r="U1594" s="181">
        <v>23350582.976159997</v>
      </c>
      <c r="V1594" s="181">
        <v>0</v>
      </c>
    </row>
    <row r="1595" spans="1:22">
      <c r="A1595" s="2" t="s">
        <v>3208</v>
      </c>
      <c r="B1595" s="2" t="s">
        <v>3209</v>
      </c>
      <c r="C1595" s="181">
        <v>62.651536</v>
      </c>
      <c r="D1595" s="181">
        <v>7548.3719999999994</v>
      </c>
      <c r="E1595" s="181">
        <v>0</v>
      </c>
      <c r="F1595" s="181">
        <v>0</v>
      </c>
      <c r="G1595" s="181">
        <v>0</v>
      </c>
      <c r="H1595" s="181">
        <v>0</v>
      </c>
      <c r="I1595" s="181">
        <v>0</v>
      </c>
      <c r="J1595" s="181">
        <v>0</v>
      </c>
      <c r="K1595" s="181">
        <v>0</v>
      </c>
      <c r="L1595" s="181">
        <v>0</v>
      </c>
      <c r="M1595" s="181">
        <v>28886460.936639998</v>
      </c>
      <c r="N1595" s="181">
        <v>419508.83840000001</v>
      </c>
      <c r="O1595" s="181">
        <v>324463.86719999998</v>
      </c>
      <c r="P1595" s="181">
        <v>61.722000000000001</v>
      </c>
      <c r="Q1595" s="181">
        <v>16898995.879359998</v>
      </c>
      <c r="R1595" s="181">
        <v>331018.69279999996</v>
      </c>
      <c r="S1595" s="181">
        <v>265470.43679999997</v>
      </c>
      <c r="T1595" s="181">
        <v>47.244</v>
      </c>
      <c r="U1595" s="181">
        <v>36836481.165599994</v>
      </c>
      <c r="V1595" s="181">
        <v>0</v>
      </c>
    </row>
    <row r="1596" spans="1:22">
      <c r="A1596" s="2" t="s">
        <v>3210</v>
      </c>
      <c r="B1596" s="2" t="s">
        <v>3211</v>
      </c>
      <c r="C1596" s="181">
        <v>52.234416000000003</v>
      </c>
      <c r="D1596" s="181">
        <v>6283.8584000000001</v>
      </c>
      <c r="E1596" s="181">
        <v>0</v>
      </c>
      <c r="F1596" s="181">
        <v>0</v>
      </c>
      <c r="G1596" s="181">
        <v>0</v>
      </c>
      <c r="H1596" s="181">
        <v>0</v>
      </c>
      <c r="I1596" s="181">
        <v>0</v>
      </c>
      <c r="J1596" s="181">
        <v>0</v>
      </c>
      <c r="K1596" s="181">
        <v>0</v>
      </c>
      <c r="L1596" s="181">
        <v>0</v>
      </c>
      <c r="M1596" s="181">
        <v>25223624.39136</v>
      </c>
      <c r="N1596" s="181">
        <v>358876.70159999997</v>
      </c>
      <c r="O1596" s="181">
        <v>283496.2072</v>
      </c>
      <c r="P1596" s="181">
        <v>63.5</v>
      </c>
      <c r="Q1596" s="181">
        <v>14817838.751359999</v>
      </c>
      <c r="R1596" s="181">
        <v>283496.2072</v>
      </c>
      <c r="S1596" s="181">
        <v>232696.30879999997</v>
      </c>
      <c r="T1596" s="181">
        <v>48.513999999999996</v>
      </c>
      <c r="U1596" s="181">
        <v>31550342.060479995</v>
      </c>
      <c r="V1596" s="181">
        <v>0</v>
      </c>
    </row>
    <row r="1597" spans="1:22">
      <c r="A1597" s="2" t="s">
        <v>3212</v>
      </c>
      <c r="B1597" s="2" t="s">
        <v>3213</v>
      </c>
      <c r="C1597" s="181">
        <v>40.775583999999995</v>
      </c>
      <c r="D1597" s="181">
        <v>4890.3127999999997</v>
      </c>
      <c r="E1597" s="181">
        <v>0</v>
      </c>
      <c r="F1597" s="181">
        <v>0</v>
      </c>
      <c r="G1597" s="181">
        <v>0</v>
      </c>
      <c r="H1597" s="181">
        <v>0</v>
      </c>
      <c r="I1597" s="181">
        <v>0</v>
      </c>
      <c r="J1597" s="181">
        <v>0</v>
      </c>
      <c r="K1597" s="181">
        <v>0</v>
      </c>
      <c r="L1597" s="181">
        <v>0</v>
      </c>
      <c r="M1597" s="181">
        <v>20603455.567199998</v>
      </c>
      <c r="N1597" s="181">
        <v>286773.62</v>
      </c>
      <c r="O1597" s="181">
        <v>231057.60239999997</v>
      </c>
      <c r="P1597" s="181">
        <v>65.024000000000001</v>
      </c>
      <c r="Q1597" s="181">
        <v>12195580.770079998</v>
      </c>
      <c r="R1597" s="181">
        <v>226141.48319999999</v>
      </c>
      <c r="S1597" s="181">
        <v>191728.64879999997</v>
      </c>
      <c r="T1597" s="181">
        <v>50.037999999999997</v>
      </c>
      <c r="U1597" s="181">
        <v>25223624.39136</v>
      </c>
      <c r="V1597" s="181">
        <v>0</v>
      </c>
    </row>
    <row r="1598" spans="1:22">
      <c r="A1598" s="2" t="s">
        <v>3214</v>
      </c>
      <c r="B1598" s="2" t="s">
        <v>3215</v>
      </c>
      <c r="C1598" s="181">
        <v>34.674127999999996</v>
      </c>
      <c r="D1598" s="181">
        <v>4148.3787999999995</v>
      </c>
      <c r="E1598" s="181">
        <v>0</v>
      </c>
      <c r="F1598" s="181">
        <v>0</v>
      </c>
      <c r="G1598" s="181">
        <v>0</v>
      </c>
      <c r="H1598" s="181">
        <v>0</v>
      </c>
      <c r="I1598" s="181">
        <v>0</v>
      </c>
      <c r="J1598" s="181">
        <v>0</v>
      </c>
      <c r="K1598" s="181">
        <v>0</v>
      </c>
      <c r="L1598" s="181">
        <v>0</v>
      </c>
      <c r="M1598" s="181">
        <v>17897951.300799999</v>
      </c>
      <c r="N1598" s="181">
        <v>245805.95999999996</v>
      </c>
      <c r="O1598" s="181">
        <v>201560.8872</v>
      </c>
      <c r="P1598" s="181">
        <v>65.785999999999987</v>
      </c>
      <c r="Q1598" s="181">
        <v>10613901.352799999</v>
      </c>
      <c r="R1598" s="181">
        <v>195006.06159999999</v>
      </c>
      <c r="S1598" s="181">
        <v>167148.05279999998</v>
      </c>
      <c r="T1598" s="181">
        <v>50.545999999999999</v>
      </c>
      <c r="U1598" s="181">
        <v>21685657.273759998</v>
      </c>
      <c r="V1598" s="181">
        <v>0</v>
      </c>
    </row>
    <row r="1599" spans="1:22">
      <c r="A1599" s="2" t="s">
        <v>3216</v>
      </c>
      <c r="B1599" s="2" t="s">
        <v>3217</v>
      </c>
      <c r="C1599" s="181">
        <v>28.275039999999997</v>
      </c>
      <c r="D1599" s="181">
        <v>3380.6383999999998</v>
      </c>
      <c r="E1599" s="181">
        <v>0</v>
      </c>
      <c r="F1599" s="181">
        <v>0</v>
      </c>
      <c r="G1599" s="181">
        <v>0</v>
      </c>
      <c r="H1599" s="181">
        <v>0</v>
      </c>
      <c r="I1599" s="181">
        <v>0</v>
      </c>
      <c r="J1599" s="181">
        <v>0</v>
      </c>
      <c r="K1599" s="181">
        <v>0</v>
      </c>
      <c r="L1599" s="181">
        <v>0</v>
      </c>
      <c r="M1599" s="181">
        <v>14942708.179039998</v>
      </c>
      <c r="N1599" s="181">
        <v>203199.59359999999</v>
      </c>
      <c r="O1599" s="181">
        <v>167148.05279999998</v>
      </c>
      <c r="P1599" s="181">
        <v>66.548000000000002</v>
      </c>
      <c r="Q1599" s="181">
        <v>8865729.3652799986</v>
      </c>
      <c r="R1599" s="181">
        <v>161084.83911999999</v>
      </c>
      <c r="S1599" s="181">
        <v>139781.65591999999</v>
      </c>
      <c r="T1599" s="181">
        <v>51.308</v>
      </c>
      <c r="U1599" s="181">
        <v>17856328.158239998</v>
      </c>
      <c r="V1599" s="181">
        <v>0</v>
      </c>
    </row>
    <row r="1600" spans="1:22">
      <c r="A1600" s="2" t="s">
        <v>3218</v>
      </c>
      <c r="B1600" s="2" t="s">
        <v>3219</v>
      </c>
      <c r="C1600" s="181">
        <v>21.578319999999998</v>
      </c>
      <c r="D1600" s="181">
        <v>2567.7367999999997</v>
      </c>
      <c r="E1600" s="181">
        <v>0</v>
      </c>
      <c r="F1600" s="181">
        <v>0</v>
      </c>
      <c r="G1600" s="181">
        <v>0</v>
      </c>
      <c r="H1600" s="181">
        <v>0</v>
      </c>
      <c r="I1600" s="181">
        <v>0</v>
      </c>
      <c r="J1600" s="181">
        <v>0</v>
      </c>
      <c r="K1600" s="181">
        <v>0</v>
      </c>
      <c r="L1600" s="181">
        <v>0</v>
      </c>
      <c r="M1600" s="181">
        <v>11612856.774239998</v>
      </c>
      <c r="N1600" s="181">
        <v>156004.84927999997</v>
      </c>
      <c r="O1600" s="181">
        <v>130441.02943999998</v>
      </c>
      <c r="P1600" s="181">
        <v>67.309999999999988</v>
      </c>
      <c r="Q1600" s="181">
        <v>6909441.6649599997</v>
      </c>
      <c r="R1600" s="181">
        <v>124050.07448</v>
      </c>
      <c r="S1600" s="181">
        <v>108973.97559999999</v>
      </c>
      <c r="T1600" s="181">
        <v>52.069999999999993</v>
      </c>
      <c r="U1600" s="181">
        <v>13694013.902239999</v>
      </c>
      <c r="V1600" s="181">
        <v>0</v>
      </c>
    </row>
    <row r="1601" spans="1:22">
      <c r="A1601" s="2" t="s">
        <v>3220</v>
      </c>
      <c r="B1601" s="2" t="s">
        <v>3221</v>
      </c>
      <c r="C1601" s="181">
        <v>14.658375999999999</v>
      </c>
      <c r="D1601" s="181">
        <v>1741.932</v>
      </c>
      <c r="E1601" s="181">
        <v>0</v>
      </c>
      <c r="F1601" s="181">
        <v>0</v>
      </c>
      <c r="G1601" s="181">
        <v>0</v>
      </c>
      <c r="H1601" s="181">
        <v>0</v>
      </c>
      <c r="I1601" s="181">
        <v>0</v>
      </c>
      <c r="J1601" s="181">
        <v>0</v>
      </c>
      <c r="K1601" s="181">
        <v>0</v>
      </c>
      <c r="L1601" s="181">
        <v>0</v>
      </c>
      <c r="M1601" s="181">
        <v>8033266.5140799992</v>
      </c>
      <c r="N1601" s="181">
        <v>107007.52791999999</v>
      </c>
      <c r="O1601" s="181">
        <v>90456.593279999986</v>
      </c>
      <c r="P1601" s="181">
        <v>68.072000000000003</v>
      </c>
      <c r="Q1601" s="181">
        <v>4828284.5369599992</v>
      </c>
      <c r="R1601" s="181">
        <v>85212.732799999998</v>
      </c>
      <c r="S1601" s="181">
        <v>75872.106319999992</v>
      </c>
      <c r="T1601" s="181">
        <v>52.577999999999996</v>
      </c>
      <c r="U1601" s="181">
        <v>9365207.0759999994</v>
      </c>
      <c r="V1601" s="181">
        <v>0</v>
      </c>
    </row>
    <row r="1602" spans="1:22">
      <c r="A1602" s="2" t="s">
        <v>3222</v>
      </c>
      <c r="B1602" s="2" t="s">
        <v>3223</v>
      </c>
      <c r="C1602" s="181">
        <v>47.174671999999994</v>
      </c>
      <c r="D1602" s="181">
        <v>5683.8595999999998</v>
      </c>
      <c r="E1602" s="181">
        <v>0</v>
      </c>
      <c r="F1602" s="181">
        <v>0</v>
      </c>
      <c r="G1602" s="181">
        <v>0</v>
      </c>
      <c r="H1602" s="181">
        <v>0</v>
      </c>
      <c r="I1602" s="181">
        <v>0</v>
      </c>
      <c r="J1602" s="181">
        <v>0</v>
      </c>
      <c r="K1602" s="181">
        <v>0</v>
      </c>
      <c r="L1602" s="181">
        <v>0</v>
      </c>
      <c r="M1602" s="181">
        <v>21102933.27792</v>
      </c>
      <c r="N1602" s="181">
        <v>308076.80319999997</v>
      </c>
      <c r="O1602" s="181">
        <v>237612.42799999999</v>
      </c>
      <c r="P1602" s="181">
        <v>60.959999999999994</v>
      </c>
      <c r="Q1602" s="181">
        <v>8615990.5099199992</v>
      </c>
      <c r="R1602" s="181">
        <v>206477.00639999998</v>
      </c>
      <c r="S1602" s="181">
        <v>170425.4656</v>
      </c>
      <c r="T1602" s="181">
        <v>38.862000000000002</v>
      </c>
      <c r="U1602" s="181">
        <v>21019686.992799997</v>
      </c>
      <c r="V1602" s="181">
        <v>0</v>
      </c>
    </row>
    <row r="1603" spans="1:22">
      <c r="A1603" s="2" t="s">
        <v>3224</v>
      </c>
      <c r="B1603" s="2" t="s">
        <v>3225</v>
      </c>
      <c r="C1603" s="181">
        <v>37.055183999999997</v>
      </c>
      <c r="D1603" s="181">
        <v>4438.7007999999996</v>
      </c>
      <c r="E1603" s="181">
        <v>0</v>
      </c>
      <c r="F1603" s="181">
        <v>0</v>
      </c>
      <c r="G1603" s="181">
        <v>0</v>
      </c>
      <c r="H1603" s="181">
        <v>0</v>
      </c>
      <c r="I1603" s="181">
        <v>0</v>
      </c>
      <c r="J1603" s="181">
        <v>0</v>
      </c>
      <c r="K1603" s="181">
        <v>0</v>
      </c>
      <c r="L1603" s="181">
        <v>0</v>
      </c>
      <c r="M1603" s="181">
        <v>17398473.590079997</v>
      </c>
      <c r="N1603" s="181">
        <v>247444.66639999996</v>
      </c>
      <c r="O1603" s="181">
        <v>195006.06159999999</v>
      </c>
      <c r="P1603" s="181">
        <v>62.483999999999995</v>
      </c>
      <c r="Q1603" s="181">
        <v>7200803.6628799997</v>
      </c>
      <c r="R1603" s="181">
        <v>167148.05279999998</v>
      </c>
      <c r="S1603" s="181">
        <v>141420.36231999999</v>
      </c>
      <c r="T1603" s="181">
        <v>40.131999999999998</v>
      </c>
      <c r="U1603" s="181">
        <v>17065488.4496</v>
      </c>
      <c r="V1603" s="181">
        <v>0</v>
      </c>
    </row>
    <row r="1604" spans="1:22">
      <c r="A1604" s="2" t="s">
        <v>3226</v>
      </c>
      <c r="B1604" s="2" t="s">
        <v>3227</v>
      </c>
      <c r="C1604" s="181">
        <v>31.548991999999998</v>
      </c>
      <c r="D1604" s="181">
        <v>3774.1859999999997</v>
      </c>
      <c r="E1604" s="181">
        <v>0</v>
      </c>
      <c r="F1604" s="181">
        <v>0</v>
      </c>
      <c r="G1604" s="181">
        <v>0</v>
      </c>
      <c r="H1604" s="181">
        <v>0</v>
      </c>
      <c r="I1604" s="181">
        <v>0</v>
      </c>
      <c r="J1604" s="181">
        <v>0</v>
      </c>
      <c r="K1604" s="181">
        <v>0</v>
      </c>
      <c r="L1604" s="181">
        <v>0</v>
      </c>
      <c r="M1604" s="181">
        <v>15192447.034399999</v>
      </c>
      <c r="N1604" s="181">
        <v>214670.53839999996</v>
      </c>
      <c r="O1604" s="181">
        <v>170425.4656</v>
      </c>
      <c r="P1604" s="181">
        <v>63.5</v>
      </c>
      <c r="Q1604" s="181">
        <v>6326717.6691199988</v>
      </c>
      <c r="R1604" s="181">
        <v>144697.77511999998</v>
      </c>
      <c r="S1604" s="181">
        <v>124213.94511999999</v>
      </c>
      <c r="T1604" s="181">
        <v>40.893999999999998</v>
      </c>
      <c r="U1604" s="181">
        <v>14734592.466239998</v>
      </c>
      <c r="V1604" s="181">
        <v>0</v>
      </c>
    </row>
    <row r="1605" spans="1:22">
      <c r="A1605" s="2" t="s">
        <v>3228</v>
      </c>
      <c r="B1605" s="2" t="s">
        <v>3229</v>
      </c>
      <c r="C1605" s="181">
        <v>25.745168</v>
      </c>
      <c r="D1605" s="181">
        <v>3077.4131999999995</v>
      </c>
      <c r="E1605" s="181">
        <v>0</v>
      </c>
      <c r="F1605" s="181">
        <v>0</v>
      </c>
      <c r="G1605" s="181">
        <v>0</v>
      </c>
      <c r="H1605" s="181">
        <v>0</v>
      </c>
      <c r="I1605" s="181">
        <v>0</v>
      </c>
      <c r="J1605" s="181">
        <v>0</v>
      </c>
      <c r="K1605" s="181">
        <v>0</v>
      </c>
      <c r="L1605" s="181">
        <v>0</v>
      </c>
      <c r="M1605" s="181">
        <v>12695058.480799999</v>
      </c>
      <c r="N1605" s="181">
        <v>176980.29120000001</v>
      </c>
      <c r="O1605" s="181">
        <v>142895.19808</v>
      </c>
      <c r="P1605" s="181">
        <v>64.261999999999986</v>
      </c>
      <c r="Q1605" s="181">
        <v>5327762.24768</v>
      </c>
      <c r="R1605" s="181">
        <v>120117.17911999999</v>
      </c>
      <c r="S1605" s="181">
        <v>104549.46831999999</v>
      </c>
      <c r="T1605" s="181">
        <v>41.655999999999992</v>
      </c>
      <c r="U1605" s="181">
        <v>12195580.770079998</v>
      </c>
      <c r="V1605" s="181">
        <v>0</v>
      </c>
    </row>
    <row r="1606" spans="1:22">
      <c r="A1606" s="2" t="s">
        <v>3230</v>
      </c>
      <c r="B1606" s="2" t="s">
        <v>3231</v>
      </c>
      <c r="C1606" s="181">
        <v>19.643711999999997</v>
      </c>
      <c r="D1606" s="181">
        <v>2341.9307999999996</v>
      </c>
      <c r="E1606" s="181">
        <v>0</v>
      </c>
      <c r="F1606" s="181">
        <v>0</v>
      </c>
      <c r="G1606" s="181">
        <v>0</v>
      </c>
      <c r="H1606" s="181">
        <v>0</v>
      </c>
      <c r="I1606" s="181">
        <v>0</v>
      </c>
      <c r="J1606" s="181">
        <v>0</v>
      </c>
      <c r="K1606" s="181">
        <v>0</v>
      </c>
      <c r="L1606" s="181">
        <v>0</v>
      </c>
      <c r="M1606" s="181">
        <v>9906307.9292799998</v>
      </c>
      <c r="N1606" s="181">
        <v>136504.24312</v>
      </c>
      <c r="O1606" s="181">
        <v>111595.90583999998</v>
      </c>
      <c r="P1606" s="181">
        <v>65.024000000000001</v>
      </c>
      <c r="Q1606" s="181">
        <v>4162314.2559999996</v>
      </c>
      <c r="R1606" s="181">
        <v>92914.652879999994</v>
      </c>
      <c r="S1606" s="181">
        <v>82263.06127999998</v>
      </c>
      <c r="T1606" s="181">
        <v>42.163999999999994</v>
      </c>
      <c r="U1606" s="181">
        <v>9448453.3611199986</v>
      </c>
      <c r="V1606" s="181">
        <v>0</v>
      </c>
    </row>
    <row r="1607" spans="1:22">
      <c r="A1607" s="2" t="s">
        <v>3232</v>
      </c>
      <c r="B1607" s="2" t="s">
        <v>3233</v>
      </c>
      <c r="C1607" s="181">
        <v>13.39344</v>
      </c>
      <c r="D1607" s="181">
        <v>1587.0935999999999</v>
      </c>
      <c r="E1607" s="181">
        <v>0</v>
      </c>
      <c r="F1607" s="181">
        <v>0</v>
      </c>
      <c r="G1607" s="181">
        <v>0</v>
      </c>
      <c r="H1607" s="181">
        <v>0</v>
      </c>
      <c r="I1607" s="181">
        <v>0</v>
      </c>
      <c r="J1607" s="181">
        <v>0</v>
      </c>
      <c r="K1607" s="181">
        <v>0</v>
      </c>
      <c r="L1607" s="181">
        <v>0</v>
      </c>
      <c r="M1607" s="181">
        <v>6909441.6649599997</v>
      </c>
      <c r="N1607" s="181">
        <v>93897.87672</v>
      </c>
      <c r="O1607" s="181">
        <v>77510.812720000002</v>
      </c>
      <c r="P1607" s="181">
        <v>65.785999999999987</v>
      </c>
      <c r="Q1607" s="181">
        <v>2926106.921968</v>
      </c>
      <c r="R1607" s="181">
        <v>64073.420239999999</v>
      </c>
      <c r="S1607" s="181">
        <v>57518.594639999988</v>
      </c>
      <c r="T1607" s="181">
        <v>42.925999999999995</v>
      </c>
      <c r="U1607" s="181">
        <v>6493210.2393599991</v>
      </c>
      <c r="V1607" s="181">
        <v>0</v>
      </c>
    </row>
    <row r="1608" spans="1:22">
      <c r="A1608" s="2" t="s">
        <v>3234</v>
      </c>
      <c r="B1608" s="2" t="s">
        <v>3235</v>
      </c>
      <c r="C1608" s="181">
        <v>42.114927999999999</v>
      </c>
      <c r="D1608" s="181">
        <v>5083.8607999999995</v>
      </c>
      <c r="E1608" s="181">
        <v>0</v>
      </c>
      <c r="F1608" s="181">
        <v>0</v>
      </c>
      <c r="G1608" s="181">
        <v>0</v>
      </c>
      <c r="H1608" s="181">
        <v>0</v>
      </c>
      <c r="I1608" s="181">
        <v>0</v>
      </c>
      <c r="J1608" s="181">
        <v>0</v>
      </c>
      <c r="K1608" s="181">
        <v>0</v>
      </c>
      <c r="L1608" s="181">
        <v>0</v>
      </c>
      <c r="M1608" s="181">
        <v>16940619.021919999</v>
      </c>
      <c r="N1608" s="181">
        <v>258915.61119999998</v>
      </c>
      <c r="O1608" s="181">
        <v>190089.94239999997</v>
      </c>
      <c r="P1608" s="181">
        <v>57.657999999999994</v>
      </c>
      <c r="Q1608" s="181">
        <v>4245560.5411199993</v>
      </c>
      <c r="R1608" s="181">
        <v>138634.56143999999</v>
      </c>
      <c r="S1608" s="181">
        <v>111432.03519999998</v>
      </c>
      <c r="T1608" s="181">
        <v>28.955999999999996</v>
      </c>
      <c r="U1608" s="181">
        <v>11904218.772159999</v>
      </c>
      <c r="V1608" s="181">
        <v>0</v>
      </c>
    </row>
    <row r="1609" spans="1:22">
      <c r="A1609" s="2" t="s">
        <v>3236</v>
      </c>
      <c r="B1609" s="2" t="s">
        <v>3237</v>
      </c>
      <c r="C1609" s="181">
        <v>33.185968000000003</v>
      </c>
      <c r="D1609" s="181">
        <v>3987.0887999999995</v>
      </c>
      <c r="E1609" s="181">
        <v>0</v>
      </c>
      <c r="F1609" s="181">
        <v>0</v>
      </c>
      <c r="G1609" s="181">
        <v>0</v>
      </c>
      <c r="H1609" s="181">
        <v>0</v>
      </c>
      <c r="I1609" s="181">
        <v>0</v>
      </c>
      <c r="J1609" s="181">
        <v>0</v>
      </c>
      <c r="K1609" s="181">
        <v>0</v>
      </c>
      <c r="L1609" s="181">
        <v>0</v>
      </c>
      <c r="M1609" s="181">
        <v>14193491.61296</v>
      </c>
      <c r="N1609" s="181">
        <v>209754.4192</v>
      </c>
      <c r="O1609" s="181">
        <v>159446.13271999999</v>
      </c>
      <c r="P1609" s="181">
        <v>59.69</v>
      </c>
      <c r="Q1609" s="181">
        <v>3625375.716976</v>
      </c>
      <c r="R1609" s="181">
        <v>113890.09479999999</v>
      </c>
      <c r="S1609" s="181">
        <v>95208.841839999979</v>
      </c>
      <c r="T1609" s="181">
        <v>30.225999999999996</v>
      </c>
      <c r="U1609" s="181">
        <v>9947931.0718399975</v>
      </c>
      <c r="V1609" s="181">
        <v>0</v>
      </c>
    </row>
    <row r="1610" spans="1:22">
      <c r="A1610" s="2" t="s">
        <v>3238</v>
      </c>
      <c r="B1610" s="2" t="s">
        <v>3239</v>
      </c>
      <c r="C1610" s="181">
        <v>28.275039999999997</v>
      </c>
      <c r="D1610" s="181">
        <v>3393.5415999999996</v>
      </c>
      <c r="E1610" s="181">
        <v>0</v>
      </c>
      <c r="F1610" s="181">
        <v>0</v>
      </c>
      <c r="G1610" s="181">
        <v>0</v>
      </c>
      <c r="H1610" s="181">
        <v>0</v>
      </c>
      <c r="I1610" s="181">
        <v>0</v>
      </c>
      <c r="J1610" s="181">
        <v>0</v>
      </c>
      <c r="K1610" s="181">
        <v>0</v>
      </c>
      <c r="L1610" s="181">
        <v>0</v>
      </c>
      <c r="M1610" s="181">
        <v>12445319.625439998</v>
      </c>
      <c r="N1610" s="181">
        <v>181896.41039999996</v>
      </c>
      <c r="O1610" s="181">
        <v>139945.52655999997</v>
      </c>
      <c r="P1610" s="181">
        <v>60.451999999999991</v>
      </c>
      <c r="Q1610" s="181">
        <v>3221631.2341439999</v>
      </c>
      <c r="R1610" s="181">
        <v>99141.737199999989</v>
      </c>
      <c r="S1610" s="181">
        <v>84557.250239999994</v>
      </c>
      <c r="T1610" s="181">
        <v>30.733999999999998</v>
      </c>
      <c r="U1610" s="181">
        <v>8699236.7950399984</v>
      </c>
      <c r="V1610" s="181">
        <v>0</v>
      </c>
    </row>
    <row r="1611" spans="1:22">
      <c r="A1611" s="2" t="s">
        <v>3240</v>
      </c>
      <c r="B1611" s="2" t="s">
        <v>3241</v>
      </c>
      <c r="C1611" s="181">
        <v>23.215295999999999</v>
      </c>
      <c r="D1611" s="181">
        <v>2774.1879999999996</v>
      </c>
      <c r="E1611" s="181">
        <v>0</v>
      </c>
      <c r="F1611" s="181">
        <v>0</v>
      </c>
      <c r="G1611" s="181">
        <v>0</v>
      </c>
      <c r="H1611" s="181">
        <v>0</v>
      </c>
      <c r="I1611" s="181">
        <v>0</v>
      </c>
      <c r="J1611" s="181">
        <v>0</v>
      </c>
      <c r="K1611" s="181">
        <v>0</v>
      </c>
      <c r="L1611" s="181">
        <v>0</v>
      </c>
      <c r="M1611" s="181">
        <v>10489031.925119998</v>
      </c>
      <c r="N1611" s="181">
        <v>151088.73008000001</v>
      </c>
      <c r="O1611" s="181">
        <v>117822.99016</v>
      </c>
      <c r="P1611" s="181">
        <v>61.467999999999996</v>
      </c>
      <c r="Q1611" s="181">
        <v>2747127.4089599997</v>
      </c>
      <c r="R1611" s="181">
        <v>82918.543839999984</v>
      </c>
      <c r="S1611" s="181">
        <v>72103.081600000005</v>
      </c>
      <c r="T1611" s="181">
        <v>31.495999999999999</v>
      </c>
      <c r="U1611" s="181">
        <v>7284049.9479999989</v>
      </c>
      <c r="V1611" s="181">
        <v>0</v>
      </c>
    </row>
    <row r="1612" spans="1:22">
      <c r="A1612" s="2" t="s">
        <v>3242</v>
      </c>
      <c r="B1612" s="2" t="s">
        <v>3243</v>
      </c>
      <c r="C1612" s="181">
        <v>17.85792</v>
      </c>
      <c r="D1612" s="181">
        <v>2116.1247999999996</v>
      </c>
      <c r="E1612" s="181">
        <v>0</v>
      </c>
      <c r="F1612" s="181">
        <v>0</v>
      </c>
      <c r="G1612" s="181">
        <v>0</v>
      </c>
      <c r="H1612" s="181">
        <v>0</v>
      </c>
      <c r="I1612" s="181">
        <v>0</v>
      </c>
      <c r="J1612" s="181">
        <v>0</v>
      </c>
      <c r="K1612" s="181">
        <v>0</v>
      </c>
      <c r="L1612" s="181">
        <v>0</v>
      </c>
      <c r="M1612" s="181">
        <v>8241382.226879999</v>
      </c>
      <c r="N1612" s="181">
        <v>117003.63695999999</v>
      </c>
      <c r="O1612" s="181">
        <v>92586.911599999992</v>
      </c>
      <c r="P1612" s="181">
        <v>62.230000000000004</v>
      </c>
      <c r="Q1612" s="181">
        <v>2181052.6701440001</v>
      </c>
      <c r="R1612" s="181">
        <v>64565.032159999995</v>
      </c>
      <c r="S1612" s="181">
        <v>57354.723999999995</v>
      </c>
      <c r="T1612" s="181">
        <v>32.003999999999998</v>
      </c>
      <c r="U1612" s="181">
        <v>5702370.5307199992</v>
      </c>
      <c r="V1612" s="181">
        <v>0</v>
      </c>
    </row>
    <row r="1613" spans="1:22">
      <c r="A1613" s="2" t="s">
        <v>3244</v>
      </c>
      <c r="B1613" s="2" t="s">
        <v>3245</v>
      </c>
      <c r="C1613" s="181">
        <v>12.128504</v>
      </c>
      <c r="D1613" s="181">
        <v>1438.7067999999999</v>
      </c>
      <c r="E1613" s="181">
        <v>0</v>
      </c>
      <c r="F1613" s="181">
        <v>0</v>
      </c>
      <c r="G1613" s="181">
        <v>0</v>
      </c>
      <c r="H1613" s="181">
        <v>0</v>
      </c>
      <c r="I1613" s="181">
        <v>0</v>
      </c>
      <c r="J1613" s="181">
        <v>0</v>
      </c>
      <c r="K1613" s="181">
        <v>0</v>
      </c>
      <c r="L1613" s="181">
        <v>0</v>
      </c>
      <c r="M1613" s="181">
        <v>5743993.6732799998</v>
      </c>
      <c r="N1613" s="181">
        <v>80788.225519999993</v>
      </c>
      <c r="O1613" s="181">
        <v>64728.902799999996</v>
      </c>
      <c r="P1613" s="181">
        <v>63.246000000000002</v>
      </c>
      <c r="Q1613" s="181">
        <v>1544218.5889759997</v>
      </c>
      <c r="R1613" s="181">
        <v>44736.684719999997</v>
      </c>
      <c r="S1613" s="181">
        <v>40639.918719999994</v>
      </c>
      <c r="T1613" s="181">
        <v>32.765999999999998</v>
      </c>
      <c r="U1613" s="181">
        <v>3945873.914688</v>
      </c>
      <c r="V1613" s="181">
        <v>0</v>
      </c>
    </row>
    <row r="1614" spans="1:22">
      <c r="A1614" s="2" t="s">
        <v>3246</v>
      </c>
      <c r="B1614" s="2" t="s">
        <v>3247</v>
      </c>
      <c r="C1614" s="181">
        <v>62.651536</v>
      </c>
      <c r="D1614" s="181">
        <v>7548.3719999999994</v>
      </c>
      <c r="E1614" s="181">
        <v>0</v>
      </c>
      <c r="F1614" s="181">
        <v>0</v>
      </c>
      <c r="G1614" s="181">
        <v>0</v>
      </c>
      <c r="H1614" s="181">
        <v>0</v>
      </c>
      <c r="I1614" s="181">
        <v>0</v>
      </c>
      <c r="J1614" s="181">
        <v>0</v>
      </c>
      <c r="K1614" s="181">
        <v>0</v>
      </c>
      <c r="L1614" s="181">
        <v>0</v>
      </c>
      <c r="M1614" s="181">
        <v>22975974.693119999</v>
      </c>
      <c r="N1614" s="181">
        <v>380179.88479999994</v>
      </c>
      <c r="O1614" s="181">
        <v>301521.97759999993</v>
      </c>
      <c r="P1614" s="181">
        <v>55.117999999999995</v>
      </c>
      <c r="Q1614" s="181">
        <v>22975974.693119999</v>
      </c>
      <c r="R1614" s="181">
        <v>380179.88479999994</v>
      </c>
      <c r="S1614" s="181">
        <v>301521.97759999993</v>
      </c>
      <c r="T1614" s="181">
        <v>55.117999999999995</v>
      </c>
      <c r="U1614" s="181">
        <v>39500362.289439999</v>
      </c>
      <c r="V1614" s="181">
        <v>0</v>
      </c>
    </row>
    <row r="1615" spans="1:22">
      <c r="A1615" s="2" t="s">
        <v>3248</v>
      </c>
      <c r="B1615" s="2" t="s">
        <v>3249</v>
      </c>
      <c r="C1615" s="181">
        <v>52.234416000000003</v>
      </c>
      <c r="D1615" s="181">
        <v>6283.8584000000001</v>
      </c>
      <c r="E1615" s="181">
        <v>0</v>
      </c>
      <c r="F1615" s="181">
        <v>0</v>
      </c>
      <c r="G1615" s="181">
        <v>0</v>
      </c>
      <c r="H1615" s="181">
        <v>0</v>
      </c>
      <c r="I1615" s="181">
        <v>0</v>
      </c>
      <c r="J1615" s="181">
        <v>0</v>
      </c>
      <c r="K1615" s="181">
        <v>0</v>
      </c>
      <c r="L1615" s="181">
        <v>0</v>
      </c>
      <c r="M1615" s="181">
        <v>20103977.856479999</v>
      </c>
      <c r="N1615" s="181">
        <v>324463.86719999998</v>
      </c>
      <c r="O1615" s="181">
        <v>263831.7304</v>
      </c>
      <c r="P1615" s="181">
        <v>56.641999999999996</v>
      </c>
      <c r="Q1615" s="181">
        <v>20103977.856479999</v>
      </c>
      <c r="R1615" s="181">
        <v>324463.86719999998</v>
      </c>
      <c r="S1615" s="181">
        <v>263831.7304</v>
      </c>
      <c r="T1615" s="181">
        <v>56.641999999999996</v>
      </c>
      <c r="U1615" s="181">
        <v>33756368.616159998</v>
      </c>
      <c r="V1615" s="181">
        <v>0</v>
      </c>
    </row>
    <row r="1616" spans="1:22">
      <c r="A1616" s="2" t="s">
        <v>3250</v>
      </c>
      <c r="B1616" s="2" t="s">
        <v>3251</v>
      </c>
      <c r="C1616" s="181">
        <v>40.775583999999995</v>
      </c>
      <c r="D1616" s="181">
        <v>4890.3127999999997</v>
      </c>
      <c r="E1616" s="181">
        <v>0</v>
      </c>
      <c r="F1616" s="181">
        <v>0</v>
      </c>
      <c r="G1616" s="181">
        <v>0</v>
      </c>
      <c r="H1616" s="181">
        <v>0</v>
      </c>
      <c r="I1616" s="181">
        <v>0</v>
      </c>
      <c r="J1616" s="181">
        <v>0</v>
      </c>
      <c r="K1616" s="181">
        <v>0</v>
      </c>
      <c r="L1616" s="181">
        <v>0</v>
      </c>
      <c r="M1616" s="181">
        <v>16441141.311199998</v>
      </c>
      <c r="N1616" s="181">
        <v>258915.61119999998</v>
      </c>
      <c r="O1616" s="181">
        <v>216309.24479999996</v>
      </c>
      <c r="P1616" s="181">
        <v>57.911999999999992</v>
      </c>
      <c r="Q1616" s="181">
        <v>16441141.311199998</v>
      </c>
      <c r="R1616" s="181">
        <v>258915.61119999998</v>
      </c>
      <c r="S1616" s="181">
        <v>216309.24479999996</v>
      </c>
      <c r="T1616" s="181">
        <v>57.911999999999992</v>
      </c>
      <c r="U1616" s="181">
        <v>26888550.093759995</v>
      </c>
      <c r="V1616" s="181">
        <v>0</v>
      </c>
    </row>
    <row r="1617" spans="1:22">
      <c r="A1617" s="2" t="s">
        <v>3252</v>
      </c>
      <c r="B1617" s="2" t="s">
        <v>3253</v>
      </c>
      <c r="C1617" s="181">
        <v>34.674127999999996</v>
      </c>
      <c r="D1617" s="181">
        <v>4148.3787999999995</v>
      </c>
      <c r="E1617" s="181">
        <v>0</v>
      </c>
      <c r="F1617" s="181">
        <v>0</v>
      </c>
      <c r="G1617" s="181">
        <v>0</v>
      </c>
      <c r="H1617" s="181">
        <v>0</v>
      </c>
      <c r="I1617" s="181">
        <v>0</v>
      </c>
      <c r="J1617" s="181">
        <v>0</v>
      </c>
      <c r="K1617" s="181">
        <v>0</v>
      </c>
      <c r="L1617" s="181">
        <v>0</v>
      </c>
      <c r="M1617" s="181">
        <v>14276737.898079997</v>
      </c>
      <c r="N1617" s="181">
        <v>222864.07039999997</v>
      </c>
      <c r="O1617" s="181">
        <v>186812.52959999998</v>
      </c>
      <c r="P1617" s="181">
        <v>58.673999999999999</v>
      </c>
      <c r="Q1617" s="181">
        <v>14276737.898079997</v>
      </c>
      <c r="R1617" s="181">
        <v>222864.07039999997</v>
      </c>
      <c r="S1617" s="181">
        <v>186812.52959999998</v>
      </c>
      <c r="T1617" s="181">
        <v>58.673999999999999</v>
      </c>
      <c r="U1617" s="181">
        <v>23059220.978239998</v>
      </c>
      <c r="V1617" s="181">
        <v>0</v>
      </c>
    </row>
    <row r="1618" spans="1:22">
      <c r="A1618" s="2" t="s">
        <v>3254</v>
      </c>
      <c r="B1618" s="5" t="s">
        <v>3255</v>
      </c>
      <c r="C1618" s="181">
        <v>28.275039999999997</v>
      </c>
      <c r="D1618" s="181">
        <v>3380.6383999999998</v>
      </c>
      <c r="E1618" s="181">
        <v>0</v>
      </c>
      <c r="F1618" s="181">
        <v>0</v>
      </c>
      <c r="G1618" s="181">
        <v>0</v>
      </c>
      <c r="H1618" s="181">
        <v>0</v>
      </c>
      <c r="I1618" s="181">
        <v>0</v>
      </c>
      <c r="J1618" s="181">
        <v>0</v>
      </c>
      <c r="K1618" s="181">
        <v>0</v>
      </c>
      <c r="L1618" s="181">
        <v>0</v>
      </c>
      <c r="M1618" s="181">
        <v>11904218.772159999</v>
      </c>
      <c r="N1618" s="181">
        <v>183535.11679999996</v>
      </c>
      <c r="O1618" s="181">
        <v>156332.59055999998</v>
      </c>
      <c r="P1618" s="181">
        <v>59.435999999999993</v>
      </c>
      <c r="Q1618" s="181">
        <v>11904218.772159999</v>
      </c>
      <c r="R1618" s="181">
        <v>183535.11679999996</v>
      </c>
      <c r="S1618" s="181">
        <v>156332.59055999998</v>
      </c>
      <c r="T1618" s="181">
        <v>59.435999999999993</v>
      </c>
      <c r="U1618" s="181">
        <v>18980153.00736</v>
      </c>
      <c r="V1618" s="181">
        <v>0</v>
      </c>
    </row>
    <row r="1619" spans="1:22">
      <c r="A1619" s="2" t="s">
        <v>3256</v>
      </c>
      <c r="B1619" s="2" t="s">
        <v>3257</v>
      </c>
      <c r="C1619" s="181">
        <v>21.578319999999998</v>
      </c>
      <c r="D1619" s="181">
        <v>2567.7367999999997</v>
      </c>
      <c r="E1619" s="181">
        <v>0</v>
      </c>
      <c r="F1619" s="181">
        <v>0</v>
      </c>
      <c r="G1619" s="181">
        <v>0</v>
      </c>
      <c r="H1619" s="181">
        <v>0</v>
      </c>
      <c r="I1619" s="181">
        <v>0</v>
      </c>
      <c r="J1619" s="181">
        <v>0</v>
      </c>
      <c r="K1619" s="181">
        <v>0</v>
      </c>
      <c r="L1619" s="181">
        <v>0</v>
      </c>
      <c r="M1619" s="181">
        <v>9281960.7908800002</v>
      </c>
      <c r="N1619" s="181">
        <v>141420.36231999999</v>
      </c>
      <c r="O1619" s="181">
        <v>121592.01487999999</v>
      </c>
      <c r="P1619" s="181">
        <v>60.198</v>
      </c>
      <c r="Q1619" s="181">
        <v>9281960.7908800002</v>
      </c>
      <c r="R1619" s="181">
        <v>141420.36231999999</v>
      </c>
      <c r="S1619" s="181">
        <v>121592.01487999999</v>
      </c>
      <c r="T1619" s="181">
        <v>60.198</v>
      </c>
      <c r="U1619" s="181">
        <v>14568099.895999998</v>
      </c>
      <c r="V1619" s="181">
        <v>0</v>
      </c>
    </row>
    <row r="1620" spans="1:22">
      <c r="A1620" s="2" t="s">
        <v>3258</v>
      </c>
      <c r="B1620" s="2" t="s">
        <v>3259</v>
      </c>
      <c r="C1620" s="181">
        <v>14.658375999999999</v>
      </c>
      <c r="D1620" s="181">
        <v>1741.932</v>
      </c>
      <c r="E1620" s="181">
        <v>0</v>
      </c>
      <c r="F1620" s="181">
        <v>0</v>
      </c>
      <c r="G1620" s="181">
        <v>0</v>
      </c>
      <c r="H1620" s="181">
        <v>0</v>
      </c>
      <c r="I1620" s="181">
        <v>0</v>
      </c>
      <c r="J1620" s="181">
        <v>0</v>
      </c>
      <c r="K1620" s="181">
        <v>0</v>
      </c>
      <c r="L1620" s="181">
        <v>0</v>
      </c>
      <c r="M1620" s="181">
        <v>6451587.0967999995</v>
      </c>
      <c r="N1620" s="181">
        <v>97011.418879999983</v>
      </c>
      <c r="O1620" s="181">
        <v>84393.3796</v>
      </c>
      <c r="P1620" s="181">
        <v>60.706000000000003</v>
      </c>
      <c r="Q1620" s="181">
        <v>6451587.0967999995</v>
      </c>
      <c r="R1620" s="181">
        <v>97011.418879999983</v>
      </c>
      <c r="S1620" s="181">
        <v>84393.3796</v>
      </c>
      <c r="T1620" s="181">
        <v>60.706000000000003</v>
      </c>
      <c r="U1620" s="181">
        <v>9947931.0718399975</v>
      </c>
      <c r="V1620" s="181">
        <v>0</v>
      </c>
    </row>
    <row r="1621" spans="1:22">
      <c r="A1621" s="2" t="s">
        <v>3260</v>
      </c>
      <c r="B1621" s="2" t="s">
        <v>3261</v>
      </c>
      <c r="C1621" s="181">
        <v>37.055183999999997</v>
      </c>
      <c r="D1621" s="181">
        <v>4438.7007999999996</v>
      </c>
      <c r="E1621" s="181">
        <v>0</v>
      </c>
      <c r="F1621" s="181">
        <v>0</v>
      </c>
      <c r="G1621" s="181">
        <v>0</v>
      </c>
      <c r="H1621" s="181">
        <v>0</v>
      </c>
      <c r="I1621" s="181">
        <v>0</v>
      </c>
      <c r="J1621" s="181">
        <v>0</v>
      </c>
      <c r="K1621" s="181">
        <v>0</v>
      </c>
      <c r="L1621" s="181">
        <v>0</v>
      </c>
      <c r="M1621" s="181">
        <v>14110245.327839999</v>
      </c>
      <c r="N1621" s="181">
        <v>226141.48319999999</v>
      </c>
      <c r="O1621" s="181">
        <v>185173.82319999998</v>
      </c>
      <c r="P1621" s="181">
        <v>56.388000000000005</v>
      </c>
      <c r="Q1621" s="181">
        <v>10613901.352799999</v>
      </c>
      <c r="R1621" s="181">
        <v>199922.18079999997</v>
      </c>
      <c r="S1621" s="181">
        <v>167148.05279999998</v>
      </c>
      <c r="T1621" s="181">
        <v>48.767999999999994</v>
      </c>
      <c r="U1621" s="181">
        <v>20020731.571359999</v>
      </c>
      <c r="V1621" s="181">
        <v>0</v>
      </c>
    </row>
    <row r="1622" spans="1:22">
      <c r="A1622" s="2" t="s">
        <v>3262</v>
      </c>
      <c r="B1622" s="2" t="s">
        <v>3263</v>
      </c>
      <c r="C1622" s="181">
        <v>31.548991999999998</v>
      </c>
      <c r="D1622" s="181">
        <v>3774.1859999999997</v>
      </c>
      <c r="E1622" s="181">
        <v>0</v>
      </c>
      <c r="F1622" s="181">
        <v>0</v>
      </c>
      <c r="G1622" s="181">
        <v>0</v>
      </c>
      <c r="H1622" s="181">
        <v>0</v>
      </c>
      <c r="I1622" s="181">
        <v>0</v>
      </c>
      <c r="J1622" s="181">
        <v>0</v>
      </c>
      <c r="K1622" s="181">
        <v>0</v>
      </c>
      <c r="L1622" s="181">
        <v>0</v>
      </c>
      <c r="M1622" s="181">
        <v>12320450.197759999</v>
      </c>
      <c r="N1622" s="181">
        <v>195006.06159999999</v>
      </c>
      <c r="O1622" s="181">
        <v>161412.58039999998</v>
      </c>
      <c r="P1622" s="181">
        <v>57.15</v>
      </c>
      <c r="Q1622" s="181">
        <v>9281960.7908800002</v>
      </c>
      <c r="R1622" s="181">
        <v>172064.17199999999</v>
      </c>
      <c r="S1622" s="181">
        <v>146008.74023999998</v>
      </c>
      <c r="T1622" s="181">
        <v>49.529999999999994</v>
      </c>
      <c r="U1622" s="181">
        <v>17231981.019839998</v>
      </c>
      <c r="V1622" s="181">
        <v>0</v>
      </c>
    </row>
    <row r="1623" spans="1:22">
      <c r="A1623" s="2" t="s">
        <v>3264</v>
      </c>
      <c r="B1623" s="2" t="s">
        <v>3265</v>
      </c>
      <c r="C1623" s="181">
        <v>25.745168</v>
      </c>
      <c r="D1623" s="181">
        <v>3077.4131999999995</v>
      </c>
      <c r="E1623" s="181">
        <v>0</v>
      </c>
      <c r="F1623" s="181">
        <v>0</v>
      </c>
      <c r="G1623" s="181">
        <v>0</v>
      </c>
      <c r="H1623" s="181">
        <v>0</v>
      </c>
      <c r="I1623" s="181">
        <v>0</v>
      </c>
      <c r="J1623" s="181">
        <v>0</v>
      </c>
      <c r="K1623" s="181">
        <v>0</v>
      </c>
      <c r="L1623" s="181">
        <v>0</v>
      </c>
      <c r="M1623" s="181">
        <v>10280916.212319998</v>
      </c>
      <c r="N1623" s="181">
        <v>161740.32167999996</v>
      </c>
      <c r="O1623" s="181">
        <v>135193.27799999999</v>
      </c>
      <c r="P1623" s="181">
        <v>57.911999999999992</v>
      </c>
      <c r="Q1623" s="181">
        <v>7783527.6587199988</v>
      </c>
      <c r="R1623" s="181">
        <v>142895.19808</v>
      </c>
      <c r="S1623" s="181">
        <v>122411.36807999999</v>
      </c>
      <c r="T1623" s="181">
        <v>50.291999999999994</v>
      </c>
      <c r="U1623" s="181">
        <v>14235114.755519999</v>
      </c>
      <c r="V1623" s="181">
        <v>0</v>
      </c>
    </row>
    <row r="1624" spans="1:22">
      <c r="A1624" s="2" t="s">
        <v>3266</v>
      </c>
      <c r="B1624" s="2" t="s">
        <v>3267</v>
      </c>
      <c r="C1624" s="181">
        <v>19.643711999999997</v>
      </c>
      <c r="D1624" s="181">
        <v>2341.9307999999996</v>
      </c>
      <c r="E1624" s="181">
        <v>0</v>
      </c>
      <c r="F1624" s="181">
        <v>0</v>
      </c>
      <c r="G1624" s="181">
        <v>0</v>
      </c>
      <c r="H1624" s="181">
        <v>0</v>
      </c>
      <c r="I1624" s="181">
        <v>0</v>
      </c>
      <c r="J1624" s="181">
        <v>0</v>
      </c>
      <c r="K1624" s="181">
        <v>0</v>
      </c>
      <c r="L1624" s="181">
        <v>0</v>
      </c>
      <c r="M1624" s="181">
        <v>8033266.5140799992</v>
      </c>
      <c r="N1624" s="181">
        <v>124869.42767999999</v>
      </c>
      <c r="O1624" s="181">
        <v>105532.69215999999</v>
      </c>
      <c r="P1624" s="181">
        <v>58.673999999999999</v>
      </c>
      <c r="Q1624" s="181">
        <v>6076978.8137599993</v>
      </c>
      <c r="R1624" s="181">
        <v>110284.94072</v>
      </c>
      <c r="S1624" s="181">
        <v>95700.453759999989</v>
      </c>
      <c r="T1624" s="181">
        <v>51.053999999999995</v>
      </c>
      <c r="U1624" s="181">
        <v>10946886.493279999</v>
      </c>
      <c r="V1624" s="181">
        <v>0</v>
      </c>
    </row>
    <row r="1625" spans="1:22">
      <c r="A1625" s="2" t="s">
        <v>3268</v>
      </c>
      <c r="B1625" s="2" t="s">
        <v>3269</v>
      </c>
      <c r="C1625" s="181">
        <v>42.114927999999999</v>
      </c>
      <c r="D1625" s="181">
        <v>5083.8607999999995</v>
      </c>
      <c r="E1625" s="181">
        <v>0</v>
      </c>
      <c r="F1625" s="181">
        <v>0</v>
      </c>
      <c r="G1625" s="181">
        <v>0</v>
      </c>
      <c r="H1625" s="181">
        <v>0</v>
      </c>
      <c r="I1625" s="181">
        <v>0</v>
      </c>
      <c r="J1625" s="181">
        <v>0</v>
      </c>
      <c r="K1625" s="181">
        <v>0</v>
      </c>
      <c r="L1625" s="181">
        <v>0</v>
      </c>
      <c r="M1625" s="181">
        <v>14151868.470399998</v>
      </c>
      <c r="N1625" s="181">
        <v>239251.13439999998</v>
      </c>
      <c r="O1625" s="181">
        <v>185173.82319999998</v>
      </c>
      <c r="P1625" s="181">
        <v>52.832000000000001</v>
      </c>
      <c r="Q1625" s="181">
        <v>7408919.3756799996</v>
      </c>
      <c r="R1625" s="181">
        <v>180257.70399999997</v>
      </c>
      <c r="S1625" s="181">
        <v>145680.99896</v>
      </c>
      <c r="T1625" s="181">
        <v>38.099999999999994</v>
      </c>
      <c r="U1625" s="181">
        <v>16774126.451679997</v>
      </c>
      <c r="V1625" s="181">
        <v>0</v>
      </c>
    </row>
    <row r="1626" spans="1:22">
      <c r="A1626" s="2" t="s">
        <v>3270</v>
      </c>
      <c r="B1626" s="2" t="s">
        <v>3271</v>
      </c>
      <c r="C1626" s="181">
        <v>33.185968000000003</v>
      </c>
      <c r="D1626" s="181">
        <v>3987.0887999999995</v>
      </c>
      <c r="E1626" s="181">
        <v>0</v>
      </c>
      <c r="F1626" s="181">
        <v>0</v>
      </c>
      <c r="G1626" s="181">
        <v>0</v>
      </c>
      <c r="H1626" s="181">
        <v>0</v>
      </c>
      <c r="I1626" s="181">
        <v>0</v>
      </c>
      <c r="J1626" s="181">
        <v>0</v>
      </c>
      <c r="K1626" s="181">
        <v>0</v>
      </c>
      <c r="L1626" s="181">
        <v>0</v>
      </c>
      <c r="M1626" s="181">
        <v>11779349.344479999</v>
      </c>
      <c r="N1626" s="181">
        <v>195006.06159999999</v>
      </c>
      <c r="O1626" s="181">
        <v>154530.01351999998</v>
      </c>
      <c r="P1626" s="181">
        <v>54.356000000000002</v>
      </c>
      <c r="Q1626" s="181">
        <v>6201848.2414399991</v>
      </c>
      <c r="R1626" s="181">
        <v>146500.35215999998</v>
      </c>
      <c r="S1626" s="181">
        <v>122411.36807999999</v>
      </c>
      <c r="T1626" s="181">
        <v>39.369999999999997</v>
      </c>
      <c r="U1626" s="181">
        <v>13652390.759679997</v>
      </c>
      <c r="V1626" s="181">
        <v>0</v>
      </c>
    </row>
    <row r="1627" spans="1:22">
      <c r="A1627" s="2" t="s">
        <v>3272</v>
      </c>
      <c r="B1627" s="2" t="s">
        <v>3273</v>
      </c>
      <c r="C1627" s="181">
        <v>28.275039999999997</v>
      </c>
      <c r="D1627" s="181">
        <v>3393.5415999999996</v>
      </c>
      <c r="E1627" s="181">
        <v>0</v>
      </c>
      <c r="F1627" s="181">
        <v>0</v>
      </c>
      <c r="G1627" s="181">
        <v>0</v>
      </c>
      <c r="H1627" s="181">
        <v>0</v>
      </c>
      <c r="I1627" s="181">
        <v>0</v>
      </c>
      <c r="J1627" s="181">
        <v>0</v>
      </c>
      <c r="K1627" s="181">
        <v>0</v>
      </c>
      <c r="L1627" s="181">
        <v>0</v>
      </c>
      <c r="M1627" s="181">
        <v>10322539.35488</v>
      </c>
      <c r="N1627" s="181">
        <v>168786.7592</v>
      </c>
      <c r="O1627" s="181">
        <v>135521.01927999998</v>
      </c>
      <c r="P1627" s="181">
        <v>55.117999999999995</v>
      </c>
      <c r="Q1627" s="181">
        <v>5494254.8179199994</v>
      </c>
      <c r="R1627" s="181">
        <v>126999.74599999998</v>
      </c>
      <c r="S1627" s="181">
        <v>107826.88111999999</v>
      </c>
      <c r="T1627" s="181">
        <v>40.131999999999998</v>
      </c>
      <c r="U1627" s="181">
        <v>11820972.487039998</v>
      </c>
      <c r="V1627" s="181">
        <v>0</v>
      </c>
    </row>
    <row r="1628" spans="1:22">
      <c r="A1628" s="2" t="s">
        <v>3274</v>
      </c>
      <c r="B1628" s="2" t="s">
        <v>3275</v>
      </c>
      <c r="C1628" s="181">
        <v>23.215295999999999</v>
      </c>
      <c r="D1628" s="181">
        <v>2774.1879999999996</v>
      </c>
      <c r="E1628" s="181">
        <v>0</v>
      </c>
      <c r="F1628" s="181">
        <v>0</v>
      </c>
      <c r="G1628" s="181">
        <v>0</v>
      </c>
      <c r="H1628" s="181">
        <v>0</v>
      </c>
      <c r="I1628" s="181">
        <v>0</v>
      </c>
      <c r="J1628" s="181">
        <v>0</v>
      </c>
      <c r="K1628" s="181">
        <v>0</v>
      </c>
      <c r="L1628" s="181">
        <v>0</v>
      </c>
      <c r="M1628" s="181">
        <v>8699236.7950399984</v>
      </c>
      <c r="N1628" s="181">
        <v>139781.65591999999</v>
      </c>
      <c r="O1628" s="181">
        <v>114053.96543999999</v>
      </c>
      <c r="P1628" s="181">
        <v>55.88</v>
      </c>
      <c r="Q1628" s="181">
        <v>4620168.8241599994</v>
      </c>
      <c r="R1628" s="181">
        <v>105696.5628</v>
      </c>
      <c r="S1628" s="181">
        <v>91112.07583999999</v>
      </c>
      <c r="T1628" s="181">
        <v>40.893999999999998</v>
      </c>
      <c r="U1628" s="181">
        <v>9823061.6441599987</v>
      </c>
      <c r="V1628" s="181">
        <v>0</v>
      </c>
    </row>
    <row r="1629" spans="1:22">
      <c r="A1629" s="2" t="s">
        <v>3276</v>
      </c>
      <c r="B1629" s="2" t="s">
        <v>3277</v>
      </c>
      <c r="C1629" s="181">
        <v>17.85792</v>
      </c>
      <c r="D1629" s="181">
        <v>2116.1247999999996</v>
      </c>
      <c r="E1629" s="181">
        <v>0</v>
      </c>
      <c r="F1629" s="181">
        <v>0</v>
      </c>
      <c r="G1629" s="181">
        <v>0</v>
      </c>
      <c r="H1629" s="181">
        <v>0</v>
      </c>
      <c r="I1629" s="181">
        <v>0</v>
      </c>
      <c r="J1629" s="181">
        <v>0</v>
      </c>
      <c r="K1629" s="181">
        <v>0</v>
      </c>
      <c r="L1629" s="181">
        <v>0</v>
      </c>
      <c r="M1629" s="181">
        <v>6826195.3798399987</v>
      </c>
      <c r="N1629" s="181">
        <v>108154.62239999998</v>
      </c>
      <c r="O1629" s="181">
        <v>89473.369439999995</v>
      </c>
      <c r="P1629" s="181">
        <v>56.641999999999996</v>
      </c>
      <c r="Q1629" s="181">
        <v>3646187.2882559993</v>
      </c>
      <c r="R1629" s="181">
        <v>81935.319999999992</v>
      </c>
      <c r="S1629" s="181">
        <v>71775.340319999988</v>
      </c>
      <c r="T1629" s="181">
        <v>41.401999999999994</v>
      </c>
      <c r="U1629" s="181">
        <v>7575411.9459199989</v>
      </c>
      <c r="V1629" s="181">
        <v>0</v>
      </c>
    </row>
    <row r="1630" spans="1:22">
      <c r="A1630" s="2" t="s">
        <v>3278</v>
      </c>
      <c r="B1630" s="2" t="s">
        <v>3279</v>
      </c>
      <c r="C1630" s="181">
        <v>12.128504</v>
      </c>
      <c r="D1630" s="181">
        <v>1438.7067999999999</v>
      </c>
      <c r="E1630" s="181">
        <v>0</v>
      </c>
      <c r="F1630" s="181">
        <v>0</v>
      </c>
      <c r="G1630" s="181">
        <v>0</v>
      </c>
      <c r="H1630" s="181">
        <v>0</v>
      </c>
      <c r="I1630" s="181">
        <v>0</v>
      </c>
      <c r="J1630" s="181">
        <v>0</v>
      </c>
      <c r="K1630" s="181">
        <v>0</v>
      </c>
      <c r="L1630" s="181">
        <v>0</v>
      </c>
      <c r="M1630" s="181">
        <v>4745038.25184</v>
      </c>
      <c r="N1630" s="181">
        <v>74725.011839999992</v>
      </c>
      <c r="O1630" s="181">
        <v>62434.713839999997</v>
      </c>
      <c r="P1630" s="181">
        <v>57.403999999999989</v>
      </c>
      <c r="Q1630" s="181">
        <v>2559823.2674400001</v>
      </c>
      <c r="R1630" s="181">
        <v>56699.241439999991</v>
      </c>
      <c r="S1630" s="181">
        <v>50472.157119999996</v>
      </c>
      <c r="T1630" s="181">
        <v>42.163999999999994</v>
      </c>
      <c r="U1630" s="181">
        <v>5244515.962559999</v>
      </c>
      <c r="V1630" s="181">
        <v>0</v>
      </c>
    </row>
    <row r="1631" spans="1:22">
      <c r="A1631" s="2" t="s">
        <v>3280</v>
      </c>
      <c r="B1631" s="2" t="s">
        <v>3281</v>
      </c>
      <c r="C1631" s="181">
        <v>37.055183999999997</v>
      </c>
      <c r="D1631" s="181">
        <v>4483.8620000000001</v>
      </c>
      <c r="E1631" s="181">
        <v>0</v>
      </c>
      <c r="F1631" s="181">
        <v>0</v>
      </c>
      <c r="G1631" s="181">
        <v>0</v>
      </c>
      <c r="H1631" s="181">
        <v>0</v>
      </c>
      <c r="I1631" s="181">
        <v>0</v>
      </c>
      <c r="J1631" s="181">
        <v>0</v>
      </c>
      <c r="K1631" s="181">
        <v>0</v>
      </c>
      <c r="L1631" s="181">
        <v>0</v>
      </c>
      <c r="M1631" s="181">
        <v>11155002.206079999</v>
      </c>
      <c r="N1631" s="181">
        <v>198283.47439999998</v>
      </c>
      <c r="O1631" s="181">
        <v>146664.22279999999</v>
      </c>
      <c r="P1631" s="181">
        <v>50.037999999999997</v>
      </c>
      <c r="Q1631" s="181">
        <v>3617051.0884639993</v>
      </c>
      <c r="R1631" s="181">
        <v>119297.82591999999</v>
      </c>
      <c r="S1631" s="181">
        <v>94881.100559999992</v>
      </c>
      <c r="T1631" s="181">
        <v>28.448</v>
      </c>
      <c r="U1631" s="181">
        <v>9614945.9313599989</v>
      </c>
      <c r="V1631" s="181">
        <v>0</v>
      </c>
    </row>
    <row r="1632" spans="1:22">
      <c r="A1632" s="2" t="s">
        <v>3282</v>
      </c>
      <c r="B1632" s="2" t="s">
        <v>3283</v>
      </c>
      <c r="C1632" s="181">
        <v>29.316751999999997</v>
      </c>
      <c r="D1632" s="181">
        <v>3535.4767999999999</v>
      </c>
      <c r="E1632" s="181">
        <v>0</v>
      </c>
      <c r="F1632" s="181">
        <v>0</v>
      </c>
      <c r="G1632" s="181">
        <v>0</v>
      </c>
      <c r="H1632" s="181">
        <v>0</v>
      </c>
      <c r="I1632" s="181">
        <v>0</v>
      </c>
      <c r="J1632" s="181">
        <v>0</v>
      </c>
      <c r="K1632" s="181">
        <v>0</v>
      </c>
      <c r="L1632" s="181">
        <v>0</v>
      </c>
      <c r="M1632" s="181">
        <v>9448453.3611199986</v>
      </c>
      <c r="N1632" s="181">
        <v>162231.93359999999</v>
      </c>
      <c r="O1632" s="181">
        <v>124050.07448</v>
      </c>
      <c r="P1632" s="181">
        <v>51.815999999999995</v>
      </c>
      <c r="Q1632" s="181">
        <v>3113411.0634880001</v>
      </c>
      <c r="R1632" s="181">
        <v>98813.995920000001</v>
      </c>
      <c r="S1632" s="181">
        <v>81771.449359999999</v>
      </c>
      <c r="T1632" s="181">
        <v>29.717999999999996</v>
      </c>
      <c r="U1632" s="181">
        <v>8033266.5140799992</v>
      </c>
      <c r="V1632" s="181">
        <v>0</v>
      </c>
    </row>
    <row r="1633" spans="1:22">
      <c r="A1633" s="2" t="s">
        <v>3284</v>
      </c>
      <c r="B1633" s="2" t="s">
        <v>3285</v>
      </c>
      <c r="C1633" s="181">
        <v>25.149903999999996</v>
      </c>
      <c r="D1633" s="181">
        <v>3019.3487999999998</v>
      </c>
      <c r="E1633" s="181">
        <v>0</v>
      </c>
      <c r="F1633" s="181">
        <v>0</v>
      </c>
      <c r="G1633" s="181">
        <v>0</v>
      </c>
      <c r="H1633" s="181">
        <v>0</v>
      </c>
      <c r="I1633" s="181">
        <v>0</v>
      </c>
      <c r="J1633" s="181">
        <v>0</v>
      </c>
      <c r="K1633" s="181">
        <v>0</v>
      </c>
      <c r="L1633" s="181">
        <v>0</v>
      </c>
      <c r="M1633" s="181">
        <v>8366251.6545599997</v>
      </c>
      <c r="N1633" s="181">
        <v>141092.62103999997</v>
      </c>
      <c r="O1633" s="181">
        <v>109629.45815999999</v>
      </c>
      <c r="P1633" s="181">
        <v>52.577999999999996</v>
      </c>
      <c r="Q1633" s="181">
        <v>2776263.6087519997</v>
      </c>
      <c r="R1633" s="181">
        <v>86359.827279999983</v>
      </c>
      <c r="S1633" s="181">
        <v>72922.434800000003</v>
      </c>
      <c r="T1633" s="181">
        <v>30.225999999999996</v>
      </c>
      <c r="U1633" s="181">
        <v>7034311.0926399985</v>
      </c>
      <c r="V1633" s="181">
        <v>0</v>
      </c>
    </row>
    <row r="1634" spans="1:22">
      <c r="A1634" s="2" t="s">
        <v>3286</v>
      </c>
      <c r="B1634" s="2" t="s">
        <v>3287</v>
      </c>
      <c r="C1634" s="181">
        <v>20.685424000000001</v>
      </c>
      <c r="D1634" s="181">
        <v>2477.4143999999997</v>
      </c>
      <c r="E1634" s="181">
        <v>0</v>
      </c>
      <c r="F1634" s="181">
        <v>0</v>
      </c>
      <c r="G1634" s="181">
        <v>0</v>
      </c>
      <c r="H1634" s="181">
        <v>0</v>
      </c>
      <c r="I1634" s="181">
        <v>0</v>
      </c>
      <c r="J1634" s="181">
        <v>0</v>
      </c>
      <c r="K1634" s="181">
        <v>0</v>
      </c>
      <c r="L1634" s="181">
        <v>0</v>
      </c>
      <c r="M1634" s="181">
        <v>7075934.2351999991</v>
      </c>
      <c r="N1634" s="181">
        <v>117822.99016</v>
      </c>
      <c r="O1634" s="181">
        <v>92750.78224</v>
      </c>
      <c r="P1634" s="181">
        <v>53.339999999999996</v>
      </c>
      <c r="Q1634" s="181">
        <v>2372519.12592</v>
      </c>
      <c r="R1634" s="181">
        <v>72266.952239999999</v>
      </c>
      <c r="S1634" s="181">
        <v>62270.843199999988</v>
      </c>
      <c r="T1634" s="181">
        <v>30.987999999999996</v>
      </c>
      <c r="U1634" s="181">
        <v>5910486.2435199991</v>
      </c>
      <c r="V1634" s="181">
        <v>0</v>
      </c>
    </row>
    <row r="1635" spans="1:22">
      <c r="A1635" s="2" t="s">
        <v>3288</v>
      </c>
      <c r="B1635" s="2" t="s">
        <v>3289</v>
      </c>
      <c r="C1635" s="181">
        <v>15.923311999999997</v>
      </c>
      <c r="D1635" s="181">
        <v>1890.3188</v>
      </c>
      <c r="E1635" s="181">
        <v>0</v>
      </c>
      <c r="F1635" s="181">
        <v>0</v>
      </c>
      <c r="G1635" s="181">
        <v>0</v>
      </c>
      <c r="H1635" s="181">
        <v>0</v>
      </c>
      <c r="I1635" s="181">
        <v>0</v>
      </c>
      <c r="J1635" s="181">
        <v>0</v>
      </c>
      <c r="K1635" s="181">
        <v>0</v>
      </c>
      <c r="L1635" s="181">
        <v>0</v>
      </c>
      <c r="M1635" s="181">
        <v>5577501.1030399995</v>
      </c>
      <c r="N1635" s="181">
        <v>91603.687759999986</v>
      </c>
      <c r="O1635" s="181">
        <v>73250.17607999999</v>
      </c>
      <c r="P1635" s="181">
        <v>54.356000000000002</v>
      </c>
      <c r="Q1635" s="181">
        <v>1893852.9864799997</v>
      </c>
      <c r="R1635" s="181">
        <v>56535.370799999997</v>
      </c>
      <c r="S1635" s="181">
        <v>49652.803919999991</v>
      </c>
      <c r="T1635" s="181">
        <v>31.75</v>
      </c>
      <c r="U1635" s="181">
        <v>4620168.8241599994</v>
      </c>
      <c r="V1635" s="181">
        <v>0</v>
      </c>
    </row>
    <row r="1636" spans="1:22">
      <c r="A1636" s="2" t="s">
        <v>3290</v>
      </c>
      <c r="B1636" s="2" t="s">
        <v>3291</v>
      </c>
      <c r="C1636" s="181">
        <v>10.863567999999999</v>
      </c>
      <c r="D1636" s="181">
        <v>1290.32</v>
      </c>
      <c r="E1636" s="181">
        <v>0</v>
      </c>
      <c r="F1636" s="181">
        <v>0</v>
      </c>
      <c r="G1636" s="181">
        <v>0</v>
      </c>
      <c r="H1636" s="181">
        <v>0</v>
      </c>
      <c r="I1636" s="181">
        <v>0</v>
      </c>
      <c r="J1636" s="181">
        <v>0</v>
      </c>
      <c r="K1636" s="181">
        <v>0</v>
      </c>
      <c r="L1636" s="181">
        <v>0</v>
      </c>
      <c r="M1636" s="181">
        <v>3925062.3434079997</v>
      </c>
      <c r="N1636" s="181">
        <v>63417.937679999995</v>
      </c>
      <c r="O1636" s="181">
        <v>51455.380959999995</v>
      </c>
      <c r="P1636" s="181">
        <v>55.117999999999995</v>
      </c>
      <c r="Q1636" s="181">
        <v>1344427.5046879998</v>
      </c>
      <c r="R1636" s="181">
        <v>39328.953599999993</v>
      </c>
      <c r="S1636" s="181">
        <v>35232.187599999997</v>
      </c>
      <c r="T1636" s="181">
        <v>32.257999999999996</v>
      </c>
      <c r="U1636" s="181">
        <v>3217468.919888</v>
      </c>
      <c r="V1636" s="181">
        <v>0</v>
      </c>
    </row>
    <row r="1637" spans="1:22">
      <c r="A1637" s="2" t="s">
        <v>3292</v>
      </c>
      <c r="B1637" s="2" t="s">
        <v>3293</v>
      </c>
      <c r="C1637" s="181">
        <v>25.596351999999996</v>
      </c>
      <c r="D1637" s="181">
        <v>3083.8647999999998</v>
      </c>
      <c r="E1637" s="181">
        <v>0</v>
      </c>
      <c r="F1637" s="181">
        <v>0</v>
      </c>
      <c r="G1637" s="181">
        <v>0</v>
      </c>
      <c r="H1637" s="181">
        <v>0</v>
      </c>
      <c r="I1637" s="181">
        <v>0</v>
      </c>
      <c r="J1637" s="181">
        <v>0</v>
      </c>
      <c r="K1637" s="181">
        <v>0</v>
      </c>
      <c r="L1637" s="181">
        <v>0</v>
      </c>
      <c r="M1637" s="181">
        <v>7117557.3777599996</v>
      </c>
      <c r="N1637" s="181">
        <v>129949.41751999999</v>
      </c>
      <c r="O1637" s="181">
        <v>93570.135439999984</v>
      </c>
      <c r="P1637" s="181">
        <v>48.005999999999993</v>
      </c>
      <c r="Q1637" s="181">
        <v>1152961.0489119999</v>
      </c>
      <c r="R1637" s="181">
        <v>56699.241439999991</v>
      </c>
      <c r="S1637" s="181">
        <v>45392.167279999994</v>
      </c>
      <c r="T1637" s="181">
        <v>19.303999999999998</v>
      </c>
      <c r="U1637" s="181">
        <v>3504668.6035519997</v>
      </c>
      <c r="V1637" s="181">
        <v>0</v>
      </c>
    </row>
    <row r="1638" spans="1:22">
      <c r="A1638" s="2" t="s">
        <v>3294</v>
      </c>
      <c r="B1638" s="2" t="s">
        <v>3295</v>
      </c>
      <c r="C1638" s="181">
        <v>22.024768000000002</v>
      </c>
      <c r="D1638" s="181">
        <v>2645.1559999999995</v>
      </c>
      <c r="E1638" s="181">
        <v>0</v>
      </c>
      <c r="F1638" s="181">
        <v>0</v>
      </c>
      <c r="G1638" s="181">
        <v>0</v>
      </c>
      <c r="H1638" s="181">
        <v>0</v>
      </c>
      <c r="I1638" s="181">
        <v>0</v>
      </c>
      <c r="J1638" s="181">
        <v>0</v>
      </c>
      <c r="K1638" s="181">
        <v>0</v>
      </c>
      <c r="L1638" s="181">
        <v>0</v>
      </c>
      <c r="M1638" s="181">
        <v>6368340.8116799993</v>
      </c>
      <c r="N1638" s="181">
        <v>113890.09479999999</v>
      </c>
      <c r="O1638" s="181">
        <v>83737.897039999996</v>
      </c>
      <c r="P1638" s="181">
        <v>49.021999999999998</v>
      </c>
      <c r="Q1638" s="181">
        <v>1048903.192512</v>
      </c>
      <c r="R1638" s="181">
        <v>50308.286479999995</v>
      </c>
      <c r="S1638" s="181">
        <v>41295.401279999998</v>
      </c>
      <c r="T1638" s="181">
        <v>19.939</v>
      </c>
      <c r="U1638" s="181">
        <v>3163358.8345599994</v>
      </c>
      <c r="V1638" s="181">
        <v>0</v>
      </c>
    </row>
    <row r="1639" spans="1:22">
      <c r="A1639" s="2" t="s">
        <v>3296</v>
      </c>
      <c r="B1639" s="2" t="s">
        <v>3297</v>
      </c>
      <c r="C1639" s="181">
        <v>18.155551999999997</v>
      </c>
      <c r="D1639" s="181">
        <v>2174.1891999999998</v>
      </c>
      <c r="E1639" s="181">
        <v>0</v>
      </c>
      <c r="F1639" s="181">
        <v>0</v>
      </c>
      <c r="G1639" s="181">
        <v>0</v>
      </c>
      <c r="H1639" s="181">
        <v>0</v>
      </c>
      <c r="I1639" s="181">
        <v>0</v>
      </c>
      <c r="J1639" s="181">
        <v>0</v>
      </c>
      <c r="K1639" s="181">
        <v>0</v>
      </c>
      <c r="L1639" s="181">
        <v>0</v>
      </c>
      <c r="M1639" s="181">
        <v>5452631.6753599998</v>
      </c>
      <c r="N1639" s="181">
        <v>95700.453759999989</v>
      </c>
      <c r="O1639" s="181">
        <v>71611.469679999995</v>
      </c>
      <c r="P1639" s="181">
        <v>50.037999999999997</v>
      </c>
      <c r="Q1639" s="181">
        <v>919871.45057599992</v>
      </c>
      <c r="R1639" s="181">
        <v>42770.237039999993</v>
      </c>
      <c r="S1639" s="181">
        <v>36215.411439999996</v>
      </c>
      <c r="T1639" s="181">
        <v>20.574000000000002</v>
      </c>
      <c r="U1639" s="181">
        <v>2726315.8376799999</v>
      </c>
      <c r="V1639" s="181">
        <v>0</v>
      </c>
    </row>
    <row r="1640" spans="1:22">
      <c r="A1640" s="2" t="s">
        <v>3298</v>
      </c>
      <c r="B1640" s="2" t="s">
        <v>3299</v>
      </c>
      <c r="C1640" s="181">
        <v>13.988704</v>
      </c>
      <c r="D1640" s="181">
        <v>1664.5128</v>
      </c>
      <c r="E1640" s="181">
        <v>0</v>
      </c>
      <c r="F1640" s="181">
        <v>0</v>
      </c>
      <c r="G1640" s="181">
        <v>0</v>
      </c>
      <c r="H1640" s="181">
        <v>0</v>
      </c>
      <c r="I1640" s="181">
        <v>0</v>
      </c>
      <c r="J1640" s="181">
        <v>0</v>
      </c>
      <c r="K1640" s="181">
        <v>0</v>
      </c>
      <c r="L1640" s="181">
        <v>0</v>
      </c>
      <c r="M1640" s="181">
        <v>4370429.9687999999</v>
      </c>
      <c r="N1640" s="181">
        <v>75052.753119999994</v>
      </c>
      <c r="O1640" s="181">
        <v>57190.853360000001</v>
      </c>
      <c r="P1640" s="181">
        <v>51.053999999999995</v>
      </c>
      <c r="Q1640" s="181">
        <v>749216.5660799999</v>
      </c>
      <c r="R1640" s="181">
        <v>33921.222479999997</v>
      </c>
      <c r="S1640" s="181">
        <v>29496.715199999999</v>
      </c>
      <c r="T1640" s="181">
        <v>21.234399999999997</v>
      </c>
      <c r="U1640" s="181">
        <v>2181052.6701440001</v>
      </c>
      <c r="V1640" s="181">
        <v>0</v>
      </c>
    </row>
    <row r="1641" spans="1:22">
      <c r="A1641" s="2" t="s">
        <v>3300</v>
      </c>
      <c r="B1641" s="2" t="s">
        <v>3301</v>
      </c>
      <c r="C1641" s="181">
        <v>9.5986320000000003</v>
      </c>
      <c r="D1641" s="181">
        <v>1141.9331999999999</v>
      </c>
      <c r="E1641" s="181">
        <v>0</v>
      </c>
      <c r="F1641" s="181">
        <v>0</v>
      </c>
      <c r="G1641" s="181">
        <v>0</v>
      </c>
      <c r="H1641" s="181">
        <v>0</v>
      </c>
      <c r="I1641" s="181">
        <v>0</v>
      </c>
      <c r="J1641" s="181">
        <v>0</v>
      </c>
      <c r="K1641" s="181">
        <v>0</v>
      </c>
      <c r="L1641" s="181">
        <v>0</v>
      </c>
      <c r="M1641" s="181">
        <v>3088437.1779519995</v>
      </c>
      <c r="N1641" s="181">
        <v>52274.734159999993</v>
      </c>
      <c r="O1641" s="181">
        <v>40476.04808</v>
      </c>
      <c r="P1641" s="181">
        <v>52.069999999999993</v>
      </c>
      <c r="Q1641" s="181">
        <v>545263.16753600002</v>
      </c>
      <c r="R1641" s="181">
        <v>23925.113439999997</v>
      </c>
      <c r="S1641" s="181">
        <v>21467.05384</v>
      </c>
      <c r="T1641" s="181">
        <v>21.869399999999999</v>
      </c>
      <c r="U1641" s="181">
        <v>1548380.9032319998</v>
      </c>
      <c r="V1641" s="181">
        <v>0</v>
      </c>
    </row>
    <row r="1642" spans="1:22">
      <c r="A1642" s="2" t="s">
        <v>3302</v>
      </c>
      <c r="B1642" s="2" t="s">
        <v>3303</v>
      </c>
      <c r="C1642" s="181">
        <v>37.055183999999997</v>
      </c>
      <c r="D1642" s="181">
        <v>4438.7007999999996</v>
      </c>
      <c r="E1642" s="181">
        <v>0</v>
      </c>
      <c r="F1642" s="181">
        <v>0</v>
      </c>
      <c r="G1642" s="181">
        <v>0</v>
      </c>
      <c r="H1642" s="181">
        <v>0</v>
      </c>
      <c r="I1642" s="181">
        <v>0</v>
      </c>
      <c r="J1642" s="181">
        <v>0</v>
      </c>
      <c r="K1642" s="181">
        <v>0</v>
      </c>
      <c r="L1642" s="181">
        <v>0</v>
      </c>
      <c r="M1642" s="181">
        <v>12362073.340319999</v>
      </c>
      <c r="N1642" s="181">
        <v>214670.53839999996</v>
      </c>
      <c r="O1642" s="181">
        <v>176980.29120000001</v>
      </c>
      <c r="P1642" s="181">
        <v>52.832000000000001</v>
      </c>
      <c r="Q1642" s="181">
        <v>12362073.340319999</v>
      </c>
      <c r="R1642" s="181">
        <v>214670.53839999996</v>
      </c>
      <c r="S1642" s="181">
        <v>176980.29120000001</v>
      </c>
      <c r="T1642" s="181">
        <v>52.832000000000001</v>
      </c>
      <c r="U1642" s="181">
        <v>20395339.854399998</v>
      </c>
      <c r="V1642" s="181">
        <v>0</v>
      </c>
    </row>
    <row r="1643" spans="1:22">
      <c r="A1643" s="2" t="s">
        <v>3304</v>
      </c>
      <c r="B1643" s="2" t="s">
        <v>3305</v>
      </c>
      <c r="C1643" s="181">
        <v>31.548991999999998</v>
      </c>
      <c r="D1643" s="181">
        <v>3774.1859999999997</v>
      </c>
      <c r="E1643" s="181">
        <v>0</v>
      </c>
      <c r="F1643" s="181">
        <v>0</v>
      </c>
      <c r="G1643" s="181">
        <v>0</v>
      </c>
      <c r="H1643" s="181">
        <v>0</v>
      </c>
      <c r="I1643" s="181">
        <v>0</v>
      </c>
      <c r="J1643" s="181">
        <v>0</v>
      </c>
      <c r="K1643" s="181">
        <v>0</v>
      </c>
      <c r="L1643" s="181">
        <v>0</v>
      </c>
      <c r="M1643" s="181">
        <v>10780393.923039999</v>
      </c>
      <c r="N1643" s="181">
        <v>185173.82319999998</v>
      </c>
      <c r="O1643" s="181">
        <v>154530.01351999998</v>
      </c>
      <c r="P1643" s="181">
        <v>53.593999999999994</v>
      </c>
      <c r="Q1643" s="181">
        <v>10780393.923039999</v>
      </c>
      <c r="R1643" s="181">
        <v>185173.82319999998</v>
      </c>
      <c r="S1643" s="181">
        <v>154530.01351999998</v>
      </c>
      <c r="T1643" s="181">
        <v>53.593999999999994</v>
      </c>
      <c r="U1643" s="181">
        <v>17564966.160319999</v>
      </c>
      <c r="V1643" s="181">
        <v>0</v>
      </c>
    </row>
    <row r="1644" spans="1:22">
      <c r="A1644" s="2" t="s">
        <v>3306</v>
      </c>
      <c r="B1644" s="2" t="s">
        <v>3307</v>
      </c>
      <c r="C1644" s="181">
        <v>25.745168</v>
      </c>
      <c r="D1644" s="181">
        <v>3077.4131999999995</v>
      </c>
      <c r="E1644" s="181">
        <v>0</v>
      </c>
      <c r="F1644" s="181">
        <v>0</v>
      </c>
      <c r="G1644" s="181">
        <v>0</v>
      </c>
      <c r="H1644" s="181">
        <v>0</v>
      </c>
      <c r="I1644" s="181">
        <v>0</v>
      </c>
      <c r="J1644" s="181">
        <v>0</v>
      </c>
      <c r="K1644" s="181">
        <v>0</v>
      </c>
      <c r="L1644" s="181">
        <v>0</v>
      </c>
      <c r="M1644" s="181">
        <v>9032221.9355199989</v>
      </c>
      <c r="N1644" s="181">
        <v>152727.43648</v>
      </c>
      <c r="O1644" s="181">
        <v>129457.80559999999</v>
      </c>
      <c r="P1644" s="181">
        <v>54.101999999999997</v>
      </c>
      <c r="Q1644" s="181">
        <v>9032221.9355199989</v>
      </c>
      <c r="R1644" s="181">
        <v>152727.43648</v>
      </c>
      <c r="S1644" s="181">
        <v>129457.80559999999</v>
      </c>
      <c r="T1644" s="181">
        <v>54.101999999999997</v>
      </c>
      <c r="U1644" s="181">
        <v>14484853.610879997</v>
      </c>
      <c r="V1644" s="181">
        <v>0</v>
      </c>
    </row>
    <row r="1645" spans="1:22">
      <c r="A1645" s="2" t="s">
        <v>3308</v>
      </c>
      <c r="B1645" s="2" t="s">
        <v>3309</v>
      </c>
      <c r="C1645" s="181">
        <v>19.643711999999997</v>
      </c>
      <c r="D1645" s="181">
        <v>2341.9307999999996</v>
      </c>
      <c r="E1645" s="181">
        <v>0</v>
      </c>
      <c r="F1645" s="181">
        <v>0</v>
      </c>
      <c r="G1645" s="181">
        <v>0</v>
      </c>
      <c r="H1645" s="181">
        <v>0</v>
      </c>
      <c r="I1645" s="181">
        <v>0</v>
      </c>
      <c r="J1645" s="181">
        <v>0</v>
      </c>
      <c r="K1645" s="181">
        <v>0</v>
      </c>
      <c r="L1645" s="181">
        <v>0</v>
      </c>
      <c r="M1645" s="181">
        <v>7075934.2351999991</v>
      </c>
      <c r="N1645" s="181">
        <v>117822.99016</v>
      </c>
      <c r="O1645" s="181">
        <v>101108.18487999999</v>
      </c>
      <c r="P1645" s="181">
        <v>54.863999999999997</v>
      </c>
      <c r="Q1645" s="181">
        <v>7075934.2351999991</v>
      </c>
      <c r="R1645" s="181">
        <v>117822.99016</v>
      </c>
      <c r="S1645" s="181">
        <v>101108.18487999999</v>
      </c>
      <c r="T1645" s="181">
        <v>54.863999999999997</v>
      </c>
      <c r="U1645" s="181">
        <v>11113379.063519999</v>
      </c>
      <c r="V1645" s="181">
        <v>0</v>
      </c>
    </row>
    <row r="1646" spans="1:22">
      <c r="A1646" s="2" t="s">
        <v>3310</v>
      </c>
      <c r="B1646" s="2" t="s">
        <v>3311</v>
      </c>
      <c r="C1646" s="181">
        <v>13.39344</v>
      </c>
      <c r="D1646" s="181">
        <v>1587.0935999999999</v>
      </c>
      <c r="E1646" s="181">
        <v>0</v>
      </c>
      <c r="F1646" s="181">
        <v>0</v>
      </c>
      <c r="G1646" s="181">
        <v>0</v>
      </c>
      <c r="H1646" s="181">
        <v>0</v>
      </c>
      <c r="I1646" s="181">
        <v>0</v>
      </c>
      <c r="J1646" s="181">
        <v>0</v>
      </c>
      <c r="K1646" s="181">
        <v>0</v>
      </c>
      <c r="L1646" s="181">
        <v>0</v>
      </c>
      <c r="M1646" s="181">
        <v>4911530.8220799994</v>
      </c>
      <c r="N1646" s="181">
        <v>81115.966799999995</v>
      </c>
      <c r="O1646" s="181">
        <v>70464.375199999995</v>
      </c>
      <c r="P1646" s="181">
        <v>55.625999999999998</v>
      </c>
      <c r="Q1646" s="181">
        <v>4911530.8220799994</v>
      </c>
      <c r="R1646" s="181">
        <v>81115.966799999995</v>
      </c>
      <c r="S1646" s="181">
        <v>70464.375199999995</v>
      </c>
      <c r="T1646" s="181">
        <v>55.625999999999998</v>
      </c>
      <c r="U1646" s="181">
        <v>7617035.0884799995</v>
      </c>
      <c r="V1646" s="181">
        <v>0</v>
      </c>
    </row>
    <row r="1647" spans="1:22">
      <c r="A1647" s="2" t="s">
        <v>3312</v>
      </c>
      <c r="B1647" s="2" t="s">
        <v>3313</v>
      </c>
      <c r="C1647" s="181">
        <v>42.114927999999999</v>
      </c>
      <c r="D1647" s="181">
        <v>5083.8607999999995</v>
      </c>
      <c r="E1647" s="181">
        <v>0</v>
      </c>
      <c r="F1647" s="181">
        <v>0</v>
      </c>
      <c r="G1647" s="181">
        <v>0</v>
      </c>
      <c r="H1647" s="181">
        <v>0</v>
      </c>
      <c r="I1647" s="181">
        <v>0</v>
      </c>
      <c r="J1647" s="181">
        <v>0</v>
      </c>
      <c r="K1647" s="181">
        <v>0</v>
      </c>
      <c r="L1647" s="181">
        <v>0</v>
      </c>
      <c r="M1647" s="181">
        <v>10822017.065599998</v>
      </c>
      <c r="N1647" s="181">
        <v>214670.53839999996</v>
      </c>
      <c r="O1647" s="181">
        <v>170425.4656</v>
      </c>
      <c r="P1647" s="181">
        <v>46.228000000000002</v>
      </c>
      <c r="Q1647" s="181">
        <v>10822017.065599998</v>
      </c>
      <c r="R1647" s="181">
        <v>214670.53839999996</v>
      </c>
      <c r="S1647" s="181">
        <v>170425.4656</v>
      </c>
      <c r="T1647" s="181">
        <v>46.228000000000002</v>
      </c>
      <c r="U1647" s="181">
        <v>18563921.58176</v>
      </c>
      <c r="V1647" s="181">
        <v>0</v>
      </c>
    </row>
    <row r="1648" spans="1:22">
      <c r="A1648" s="2" t="s">
        <v>3314</v>
      </c>
      <c r="B1648" s="2" t="s">
        <v>3315</v>
      </c>
      <c r="C1648" s="181">
        <v>33.185968000000003</v>
      </c>
      <c r="D1648" s="181">
        <v>3987.0887999999995</v>
      </c>
      <c r="E1648" s="181">
        <v>0</v>
      </c>
      <c r="F1648" s="181">
        <v>0</v>
      </c>
      <c r="G1648" s="181">
        <v>0</v>
      </c>
      <c r="H1648" s="181">
        <v>0</v>
      </c>
      <c r="I1648" s="181">
        <v>0</v>
      </c>
      <c r="J1648" s="181">
        <v>0</v>
      </c>
      <c r="K1648" s="181">
        <v>0</v>
      </c>
      <c r="L1648" s="181">
        <v>0</v>
      </c>
      <c r="M1648" s="181">
        <v>9032221.9355199989</v>
      </c>
      <c r="N1648" s="181">
        <v>173702.87839999999</v>
      </c>
      <c r="O1648" s="181">
        <v>142239.71551999997</v>
      </c>
      <c r="P1648" s="181">
        <v>47.497999999999998</v>
      </c>
      <c r="Q1648" s="181">
        <v>9032221.9355199989</v>
      </c>
      <c r="R1648" s="181">
        <v>173702.87839999999</v>
      </c>
      <c r="S1648" s="181">
        <v>142239.71551999997</v>
      </c>
      <c r="T1648" s="181">
        <v>47.497999999999998</v>
      </c>
      <c r="U1648" s="181">
        <v>15025954.464159999</v>
      </c>
      <c r="V1648" s="181">
        <v>0</v>
      </c>
    </row>
    <row r="1649" spans="1:22">
      <c r="A1649" s="2" t="s">
        <v>3316</v>
      </c>
      <c r="B1649" s="2" t="s">
        <v>3317</v>
      </c>
      <c r="C1649" s="181">
        <v>28.275039999999997</v>
      </c>
      <c r="D1649" s="181">
        <v>3393.5415999999996</v>
      </c>
      <c r="E1649" s="181">
        <v>0</v>
      </c>
      <c r="F1649" s="181">
        <v>0</v>
      </c>
      <c r="G1649" s="181">
        <v>0</v>
      </c>
      <c r="H1649" s="181">
        <v>0</v>
      </c>
      <c r="I1649" s="181">
        <v>0</v>
      </c>
      <c r="J1649" s="181">
        <v>0</v>
      </c>
      <c r="K1649" s="181">
        <v>0</v>
      </c>
      <c r="L1649" s="181">
        <v>0</v>
      </c>
      <c r="M1649" s="181">
        <v>7908397.0863999994</v>
      </c>
      <c r="N1649" s="181">
        <v>150105.50623999999</v>
      </c>
      <c r="O1649" s="181">
        <v>124869.42767999999</v>
      </c>
      <c r="P1649" s="181">
        <v>48.26</v>
      </c>
      <c r="Q1649" s="181">
        <v>7908397.0863999994</v>
      </c>
      <c r="R1649" s="181">
        <v>150105.50623999999</v>
      </c>
      <c r="S1649" s="181">
        <v>124869.42767999999</v>
      </c>
      <c r="T1649" s="181">
        <v>48.26</v>
      </c>
      <c r="U1649" s="181">
        <v>12986420.478719998</v>
      </c>
      <c r="V1649" s="181">
        <v>0</v>
      </c>
    </row>
    <row r="1650" spans="1:22">
      <c r="A1650" s="2" t="s">
        <v>3318</v>
      </c>
      <c r="B1650" s="2" t="s">
        <v>3319</v>
      </c>
      <c r="C1650" s="181">
        <v>23.215295999999999</v>
      </c>
      <c r="D1650" s="181">
        <v>2774.1879999999996</v>
      </c>
      <c r="E1650" s="181">
        <v>0</v>
      </c>
      <c r="F1650" s="181">
        <v>0</v>
      </c>
      <c r="G1650" s="181">
        <v>0</v>
      </c>
      <c r="H1650" s="181">
        <v>0</v>
      </c>
      <c r="I1650" s="181">
        <v>0</v>
      </c>
      <c r="J1650" s="181">
        <v>0</v>
      </c>
      <c r="K1650" s="181">
        <v>0</v>
      </c>
      <c r="L1650" s="181">
        <v>0</v>
      </c>
      <c r="M1650" s="181">
        <v>6659702.8095999993</v>
      </c>
      <c r="N1650" s="181">
        <v>124705.55704</v>
      </c>
      <c r="O1650" s="181">
        <v>105041.08024</v>
      </c>
      <c r="P1650" s="181">
        <v>49.021999999999998</v>
      </c>
      <c r="Q1650" s="181">
        <v>6659702.8095999993</v>
      </c>
      <c r="R1650" s="181">
        <v>124705.55704</v>
      </c>
      <c r="S1650" s="181">
        <v>105041.08024</v>
      </c>
      <c r="T1650" s="181">
        <v>49.021999999999998</v>
      </c>
      <c r="U1650" s="181">
        <v>10738770.780479999</v>
      </c>
      <c r="V1650" s="181">
        <v>0</v>
      </c>
    </row>
    <row r="1651" spans="1:22">
      <c r="A1651" s="2" t="s">
        <v>3320</v>
      </c>
      <c r="B1651" s="2" t="s">
        <v>3321</v>
      </c>
      <c r="C1651" s="181">
        <v>17.85792</v>
      </c>
      <c r="D1651" s="181">
        <v>2116.1247999999996</v>
      </c>
      <c r="E1651" s="181">
        <v>0</v>
      </c>
      <c r="F1651" s="181">
        <v>0</v>
      </c>
      <c r="G1651" s="181">
        <v>0</v>
      </c>
      <c r="H1651" s="181">
        <v>0</v>
      </c>
      <c r="I1651" s="181">
        <v>0</v>
      </c>
      <c r="J1651" s="181">
        <v>0</v>
      </c>
      <c r="K1651" s="181">
        <v>0</v>
      </c>
      <c r="L1651" s="181">
        <v>0</v>
      </c>
      <c r="M1651" s="181">
        <v>5244515.962559999</v>
      </c>
      <c r="N1651" s="181">
        <v>96519.806959999987</v>
      </c>
      <c r="O1651" s="181">
        <v>82426.931920000003</v>
      </c>
      <c r="P1651" s="181">
        <v>49.783999999999999</v>
      </c>
      <c r="Q1651" s="181">
        <v>5244515.962559999</v>
      </c>
      <c r="R1651" s="181">
        <v>96519.806959999987</v>
      </c>
      <c r="S1651" s="181">
        <v>82426.931920000003</v>
      </c>
      <c r="T1651" s="181">
        <v>49.783999999999999</v>
      </c>
      <c r="U1651" s="181">
        <v>8283005.3694399986</v>
      </c>
      <c r="V1651" s="181">
        <v>0</v>
      </c>
    </row>
    <row r="1652" spans="1:22">
      <c r="A1652" s="2" t="s">
        <v>3322</v>
      </c>
      <c r="B1652" s="2" t="s">
        <v>3323</v>
      </c>
      <c r="C1652" s="181">
        <v>12.128504</v>
      </c>
      <c r="D1652" s="181">
        <v>1438.7067999999999</v>
      </c>
      <c r="E1652" s="181">
        <v>0</v>
      </c>
      <c r="F1652" s="181">
        <v>0</v>
      </c>
      <c r="G1652" s="181">
        <v>0</v>
      </c>
      <c r="H1652" s="181">
        <v>0</v>
      </c>
      <c r="I1652" s="181">
        <v>0</v>
      </c>
      <c r="J1652" s="181">
        <v>0</v>
      </c>
      <c r="K1652" s="181">
        <v>0</v>
      </c>
      <c r="L1652" s="181">
        <v>0</v>
      </c>
      <c r="M1652" s="181">
        <v>3662836.5452799997</v>
      </c>
      <c r="N1652" s="181">
        <v>66695.350479999994</v>
      </c>
      <c r="O1652" s="181">
        <v>57682.465279999997</v>
      </c>
      <c r="P1652" s="181">
        <v>50.545999999999999</v>
      </c>
      <c r="Q1652" s="181">
        <v>3662836.5452799997</v>
      </c>
      <c r="R1652" s="181">
        <v>66695.350479999994</v>
      </c>
      <c r="S1652" s="181">
        <v>57682.465279999997</v>
      </c>
      <c r="T1652" s="181">
        <v>50.545999999999999</v>
      </c>
      <c r="U1652" s="181">
        <v>5702370.5307199992</v>
      </c>
      <c r="V1652" s="181">
        <v>0</v>
      </c>
    </row>
    <row r="1653" spans="1:22">
      <c r="A1653" s="2" t="s">
        <v>3324</v>
      </c>
      <c r="B1653" s="2" t="s">
        <v>3325</v>
      </c>
      <c r="C1653" s="181">
        <v>37.055183999999997</v>
      </c>
      <c r="D1653" s="181">
        <v>4483.8620000000001</v>
      </c>
      <c r="E1653" s="181">
        <v>0</v>
      </c>
      <c r="F1653" s="181">
        <v>0</v>
      </c>
      <c r="G1653" s="181">
        <v>0</v>
      </c>
      <c r="H1653" s="181">
        <v>0</v>
      </c>
      <c r="I1653" s="181">
        <v>0</v>
      </c>
      <c r="J1653" s="181">
        <v>0</v>
      </c>
      <c r="K1653" s="181">
        <v>0</v>
      </c>
      <c r="L1653" s="181">
        <v>0</v>
      </c>
      <c r="M1653" s="181">
        <v>8824106.222719999</v>
      </c>
      <c r="N1653" s="181">
        <v>178618.9976</v>
      </c>
      <c r="O1653" s="181">
        <v>139126.17335999999</v>
      </c>
      <c r="P1653" s="181">
        <v>44.449999999999996</v>
      </c>
      <c r="Q1653" s="181">
        <v>6201848.2414399991</v>
      </c>
      <c r="R1653" s="181">
        <v>153219.04839999997</v>
      </c>
      <c r="S1653" s="181">
        <v>121755.88551999998</v>
      </c>
      <c r="T1653" s="181">
        <v>37.083999999999996</v>
      </c>
      <c r="U1653" s="181">
        <v>12611812.19568</v>
      </c>
      <c r="V1653" s="181">
        <v>0</v>
      </c>
    </row>
    <row r="1654" spans="1:22">
      <c r="A1654" s="2" t="s">
        <v>3326</v>
      </c>
      <c r="B1654" s="2" t="s">
        <v>3327</v>
      </c>
      <c r="C1654" s="181">
        <v>29.316751999999997</v>
      </c>
      <c r="D1654" s="181">
        <v>3535.4767999999999</v>
      </c>
      <c r="E1654" s="181">
        <v>0</v>
      </c>
      <c r="F1654" s="181">
        <v>0</v>
      </c>
      <c r="G1654" s="181">
        <v>0</v>
      </c>
      <c r="H1654" s="181">
        <v>0</v>
      </c>
      <c r="I1654" s="181">
        <v>0</v>
      </c>
      <c r="J1654" s="181">
        <v>0</v>
      </c>
      <c r="K1654" s="181">
        <v>0</v>
      </c>
      <c r="L1654" s="181">
        <v>0</v>
      </c>
      <c r="M1654" s="181">
        <v>7450542.5182399983</v>
      </c>
      <c r="N1654" s="181">
        <v>146828.09344</v>
      </c>
      <c r="O1654" s="181">
        <v>117495.24887999998</v>
      </c>
      <c r="P1654" s="181">
        <v>45.973999999999997</v>
      </c>
      <c r="Q1654" s="181">
        <v>5244515.962559999</v>
      </c>
      <c r="R1654" s="181">
        <v>125688.78087999999</v>
      </c>
      <c r="S1654" s="181">
        <v>103238.50319999999</v>
      </c>
      <c r="T1654" s="181">
        <v>38.607999999999997</v>
      </c>
      <c r="U1654" s="181">
        <v>10364162.497439999</v>
      </c>
      <c r="V1654" s="181">
        <v>0</v>
      </c>
    </row>
    <row r="1655" spans="1:22">
      <c r="A1655" s="2" t="s">
        <v>3328</v>
      </c>
      <c r="B1655" s="2" t="s">
        <v>3329</v>
      </c>
      <c r="C1655" s="181">
        <v>25.149903999999996</v>
      </c>
      <c r="D1655" s="181">
        <v>3019.3487999999998</v>
      </c>
      <c r="E1655" s="181">
        <v>0</v>
      </c>
      <c r="F1655" s="181">
        <v>0</v>
      </c>
      <c r="G1655" s="181">
        <v>0</v>
      </c>
      <c r="H1655" s="181">
        <v>0</v>
      </c>
      <c r="I1655" s="181">
        <v>0</v>
      </c>
      <c r="J1655" s="181">
        <v>0</v>
      </c>
      <c r="K1655" s="181">
        <v>0</v>
      </c>
      <c r="L1655" s="181">
        <v>0</v>
      </c>
      <c r="M1655" s="181">
        <v>6576456.5244799992</v>
      </c>
      <c r="N1655" s="181">
        <v>127655.22855999999</v>
      </c>
      <c r="O1655" s="181">
        <v>103566.24447999999</v>
      </c>
      <c r="P1655" s="181">
        <v>46.735999999999997</v>
      </c>
      <c r="Q1655" s="181">
        <v>4620168.8241599994</v>
      </c>
      <c r="R1655" s="181">
        <v>109301.71687999999</v>
      </c>
      <c r="S1655" s="181">
        <v>91275.946479999999</v>
      </c>
      <c r="T1655" s="181">
        <v>39.116</v>
      </c>
      <c r="U1655" s="181">
        <v>9032221.9355199989</v>
      </c>
      <c r="V1655" s="181">
        <v>0</v>
      </c>
    </row>
    <row r="1656" spans="1:22">
      <c r="A1656" s="2" t="s">
        <v>3330</v>
      </c>
      <c r="B1656" s="2" t="s">
        <v>3331</v>
      </c>
      <c r="C1656" s="181">
        <v>20.685424000000001</v>
      </c>
      <c r="D1656" s="181">
        <v>2477.4143999999997</v>
      </c>
      <c r="E1656" s="181">
        <v>0</v>
      </c>
      <c r="F1656" s="181">
        <v>0</v>
      </c>
      <c r="G1656" s="181">
        <v>0</v>
      </c>
      <c r="H1656" s="181">
        <v>0</v>
      </c>
      <c r="I1656" s="181">
        <v>0</v>
      </c>
      <c r="J1656" s="181">
        <v>0</v>
      </c>
      <c r="K1656" s="181">
        <v>0</v>
      </c>
      <c r="L1656" s="181">
        <v>0</v>
      </c>
      <c r="M1656" s="181">
        <v>5577501.1030399995</v>
      </c>
      <c r="N1656" s="181">
        <v>106352.04535999999</v>
      </c>
      <c r="O1656" s="181">
        <v>87670.792399999991</v>
      </c>
      <c r="P1656" s="181">
        <v>47.497999999999998</v>
      </c>
      <c r="Q1656" s="181">
        <v>3937549.2861759998</v>
      </c>
      <c r="R1656" s="181">
        <v>91275.946479999999</v>
      </c>
      <c r="S1656" s="181">
        <v>77510.812720000002</v>
      </c>
      <c r="T1656" s="181">
        <v>39.878</v>
      </c>
      <c r="U1656" s="181">
        <v>7492165.6607999988</v>
      </c>
      <c r="V1656" s="181">
        <v>0</v>
      </c>
    </row>
    <row r="1657" spans="1:22">
      <c r="A1657" s="2" t="s">
        <v>3332</v>
      </c>
      <c r="B1657" s="2" t="s">
        <v>3333</v>
      </c>
      <c r="C1657" s="181">
        <v>15.923311999999997</v>
      </c>
      <c r="D1657" s="181">
        <v>1890.3188</v>
      </c>
      <c r="E1657" s="181">
        <v>0</v>
      </c>
      <c r="F1657" s="181">
        <v>0</v>
      </c>
      <c r="G1657" s="181">
        <v>0</v>
      </c>
      <c r="H1657" s="181">
        <v>0</v>
      </c>
      <c r="I1657" s="181">
        <v>0</v>
      </c>
      <c r="J1657" s="181">
        <v>0</v>
      </c>
      <c r="K1657" s="181">
        <v>0</v>
      </c>
      <c r="L1657" s="181">
        <v>0</v>
      </c>
      <c r="M1657" s="181">
        <v>4412053.1113599995</v>
      </c>
      <c r="N1657" s="181">
        <v>82754.67319999999</v>
      </c>
      <c r="O1657" s="181">
        <v>69153.410079999987</v>
      </c>
      <c r="P1657" s="181">
        <v>48.26</v>
      </c>
      <c r="Q1657" s="181">
        <v>3113411.0634880001</v>
      </c>
      <c r="R1657" s="181">
        <v>71119.857759999984</v>
      </c>
      <c r="S1657" s="181">
        <v>61287.619359999997</v>
      </c>
      <c r="T1657" s="181">
        <v>40.64</v>
      </c>
      <c r="U1657" s="181">
        <v>5827239.9583999999</v>
      </c>
      <c r="V1657" s="181">
        <v>0</v>
      </c>
    </row>
    <row r="1658" spans="1:22">
      <c r="A1658" s="2" t="s">
        <v>3334</v>
      </c>
      <c r="B1658" s="2" t="s">
        <v>3335</v>
      </c>
      <c r="C1658" s="181">
        <v>31.995439999999999</v>
      </c>
      <c r="D1658" s="181">
        <v>3883.8631999999993</v>
      </c>
      <c r="E1658" s="181">
        <v>0</v>
      </c>
      <c r="F1658" s="181">
        <v>0</v>
      </c>
      <c r="G1658" s="181">
        <v>0</v>
      </c>
      <c r="H1658" s="181">
        <v>0</v>
      </c>
      <c r="I1658" s="181">
        <v>0</v>
      </c>
      <c r="J1658" s="181">
        <v>0</v>
      </c>
      <c r="K1658" s="181">
        <v>0</v>
      </c>
      <c r="L1658" s="181">
        <v>0</v>
      </c>
      <c r="M1658" s="181">
        <v>6826195.3798399987</v>
      </c>
      <c r="N1658" s="181">
        <v>144697.77511999998</v>
      </c>
      <c r="O1658" s="181">
        <v>107663.01048</v>
      </c>
      <c r="P1658" s="181">
        <v>41.91</v>
      </c>
      <c r="Q1658" s="181">
        <v>2988541.6358079994</v>
      </c>
      <c r="R1658" s="181">
        <v>99961.090399999986</v>
      </c>
      <c r="S1658" s="181">
        <v>78330.165919999999</v>
      </c>
      <c r="T1658" s="181">
        <v>27.686</v>
      </c>
      <c r="U1658" s="181">
        <v>7325673.0905599995</v>
      </c>
      <c r="V1658" s="181">
        <v>0</v>
      </c>
    </row>
    <row r="1659" spans="1:22">
      <c r="A1659" s="2" t="s">
        <v>3336</v>
      </c>
      <c r="B1659" s="2" t="s">
        <v>3337</v>
      </c>
      <c r="C1659" s="181">
        <v>25.596351999999996</v>
      </c>
      <c r="D1659" s="181">
        <v>3083.8647999999998</v>
      </c>
      <c r="E1659" s="181">
        <v>0</v>
      </c>
      <c r="F1659" s="181">
        <v>0</v>
      </c>
      <c r="G1659" s="181">
        <v>0</v>
      </c>
      <c r="H1659" s="181">
        <v>0</v>
      </c>
      <c r="I1659" s="181">
        <v>0</v>
      </c>
      <c r="J1659" s="181">
        <v>0</v>
      </c>
      <c r="K1659" s="181">
        <v>0</v>
      </c>
      <c r="L1659" s="181">
        <v>0</v>
      </c>
      <c r="M1659" s="181">
        <v>5868863.1009599995</v>
      </c>
      <c r="N1659" s="181">
        <v>120281.04975999998</v>
      </c>
      <c r="O1659" s="181">
        <v>92586.911599999992</v>
      </c>
      <c r="P1659" s="181">
        <v>43.687999999999995</v>
      </c>
      <c r="Q1659" s="181">
        <v>2601446.4099999997</v>
      </c>
      <c r="R1659" s="181">
        <v>83574.026399999988</v>
      </c>
      <c r="S1659" s="181">
        <v>68170.186239999995</v>
      </c>
      <c r="T1659" s="181">
        <v>28.955999999999996</v>
      </c>
      <c r="U1659" s="181">
        <v>6201848.2414399991</v>
      </c>
      <c r="V1659" s="181">
        <v>0</v>
      </c>
    </row>
    <row r="1660" spans="1:22">
      <c r="A1660" s="2" t="s">
        <v>3338</v>
      </c>
      <c r="B1660" s="2" t="s">
        <v>3339</v>
      </c>
      <c r="C1660" s="181">
        <v>22.024768000000002</v>
      </c>
      <c r="D1660" s="181">
        <v>2645.1559999999995</v>
      </c>
      <c r="E1660" s="181">
        <v>0</v>
      </c>
      <c r="F1660" s="181">
        <v>0</v>
      </c>
      <c r="G1660" s="181">
        <v>0</v>
      </c>
      <c r="H1660" s="181">
        <v>0</v>
      </c>
      <c r="I1660" s="181">
        <v>0</v>
      </c>
      <c r="J1660" s="181">
        <v>0</v>
      </c>
      <c r="K1660" s="181">
        <v>0</v>
      </c>
      <c r="L1660" s="181">
        <v>0</v>
      </c>
      <c r="M1660" s="181">
        <v>5244515.962559999</v>
      </c>
      <c r="N1660" s="181">
        <v>105204.95087999999</v>
      </c>
      <c r="O1660" s="181">
        <v>82426.931920000003</v>
      </c>
      <c r="P1660" s="181">
        <v>44.449999999999996</v>
      </c>
      <c r="Q1660" s="181">
        <v>2330895.9833599995</v>
      </c>
      <c r="R1660" s="181">
        <v>73414.046719999998</v>
      </c>
      <c r="S1660" s="181">
        <v>61123.748719999996</v>
      </c>
      <c r="T1660" s="181">
        <v>29.717999999999996</v>
      </c>
      <c r="U1660" s="181">
        <v>5452631.6753599998</v>
      </c>
      <c r="V1660" s="181">
        <v>0</v>
      </c>
    </row>
    <row r="1661" spans="1:22">
      <c r="A1661" s="2" t="s">
        <v>3340</v>
      </c>
      <c r="B1661" s="2" t="s">
        <v>3341</v>
      </c>
      <c r="C1661" s="181">
        <v>18.155551999999997</v>
      </c>
      <c r="D1661" s="181">
        <v>2174.1891999999998</v>
      </c>
      <c r="E1661" s="181">
        <v>0</v>
      </c>
      <c r="F1661" s="181">
        <v>0</v>
      </c>
      <c r="G1661" s="181">
        <v>0</v>
      </c>
      <c r="H1661" s="181">
        <v>0</v>
      </c>
      <c r="I1661" s="181">
        <v>0</v>
      </c>
      <c r="J1661" s="181">
        <v>0</v>
      </c>
      <c r="K1661" s="181">
        <v>0</v>
      </c>
      <c r="L1661" s="181">
        <v>0</v>
      </c>
      <c r="M1661" s="181">
        <v>4453676.2539199991</v>
      </c>
      <c r="N1661" s="181">
        <v>88162.404319999987</v>
      </c>
      <c r="O1661" s="181">
        <v>70300.504560000001</v>
      </c>
      <c r="P1661" s="181">
        <v>45.211999999999996</v>
      </c>
      <c r="Q1661" s="181">
        <v>2002073.1571359995</v>
      </c>
      <c r="R1661" s="181">
        <v>61779.231279999993</v>
      </c>
      <c r="S1661" s="181">
        <v>52602.475439999995</v>
      </c>
      <c r="T1661" s="181">
        <v>30.225999999999996</v>
      </c>
      <c r="U1661" s="181">
        <v>4578545.6815999998</v>
      </c>
      <c r="V1661" s="181">
        <v>0</v>
      </c>
    </row>
    <row r="1662" spans="1:22">
      <c r="A1662" s="2" t="s">
        <v>3342</v>
      </c>
      <c r="B1662" s="2" t="s">
        <v>3343</v>
      </c>
      <c r="C1662" s="181">
        <v>13.988704</v>
      </c>
      <c r="D1662" s="181">
        <v>1664.5128</v>
      </c>
      <c r="E1662" s="181">
        <v>0</v>
      </c>
      <c r="F1662" s="181">
        <v>0</v>
      </c>
      <c r="G1662" s="181">
        <v>0</v>
      </c>
      <c r="H1662" s="181">
        <v>0</v>
      </c>
      <c r="I1662" s="181">
        <v>0</v>
      </c>
      <c r="J1662" s="181">
        <v>0</v>
      </c>
      <c r="K1662" s="181">
        <v>0</v>
      </c>
      <c r="L1662" s="181">
        <v>0</v>
      </c>
      <c r="M1662" s="181">
        <v>3550454.0603679996</v>
      </c>
      <c r="N1662" s="181">
        <v>68989.539439999993</v>
      </c>
      <c r="O1662" s="181">
        <v>55879.88824</v>
      </c>
      <c r="P1662" s="181">
        <v>46.228000000000002</v>
      </c>
      <c r="Q1662" s="181">
        <v>1602490.98856</v>
      </c>
      <c r="R1662" s="181">
        <v>48505.709439999991</v>
      </c>
      <c r="S1662" s="181">
        <v>42114.754479999996</v>
      </c>
      <c r="T1662" s="181">
        <v>30.987999999999996</v>
      </c>
      <c r="U1662" s="181">
        <v>3596239.517184</v>
      </c>
      <c r="V1662" s="181">
        <v>0</v>
      </c>
    </row>
    <row r="1663" spans="1:22">
      <c r="A1663" s="2" t="s">
        <v>3344</v>
      </c>
      <c r="B1663" s="2" t="s">
        <v>3345</v>
      </c>
      <c r="C1663" s="181">
        <v>9.5986320000000003</v>
      </c>
      <c r="D1663" s="181">
        <v>1141.9331999999999</v>
      </c>
      <c r="E1663" s="181">
        <v>0</v>
      </c>
      <c r="F1663" s="181">
        <v>0</v>
      </c>
      <c r="G1663" s="181">
        <v>0</v>
      </c>
      <c r="H1663" s="181">
        <v>0</v>
      </c>
      <c r="I1663" s="181">
        <v>0</v>
      </c>
      <c r="J1663" s="181">
        <v>0</v>
      </c>
      <c r="K1663" s="181">
        <v>0</v>
      </c>
      <c r="L1663" s="181">
        <v>0</v>
      </c>
      <c r="M1663" s="181">
        <v>2509875.4963679998</v>
      </c>
      <c r="N1663" s="181">
        <v>48014.097519999996</v>
      </c>
      <c r="O1663" s="181">
        <v>39492.824240000002</v>
      </c>
      <c r="P1663" s="181">
        <v>46.99</v>
      </c>
      <c r="Q1663" s="181">
        <v>1144636.4203999999</v>
      </c>
      <c r="R1663" s="181">
        <v>33921.222479999997</v>
      </c>
      <c r="S1663" s="181">
        <v>29988.327119999998</v>
      </c>
      <c r="T1663" s="181">
        <v>31.75</v>
      </c>
      <c r="U1663" s="181">
        <v>2505713.1821119995</v>
      </c>
      <c r="V1663" s="181">
        <v>0</v>
      </c>
    </row>
    <row r="1664" spans="1:22">
      <c r="A1664" s="2" t="s">
        <v>3346</v>
      </c>
      <c r="B1664" s="2" t="s">
        <v>3347</v>
      </c>
      <c r="C1664" s="181">
        <v>16.816208</v>
      </c>
      <c r="D1664" s="181">
        <v>2025.8024</v>
      </c>
      <c r="E1664" s="181">
        <v>0</v>
      </c>
      <c r="F1664" s="181">
        <v>0</v>
      </c>
      <c r="G1664" s="181">
        <v>0</v>
      </c>
      <c r="H1664" s="181">
        <v>0</v>
      </c>
      <c r="I1664" s="181">
        <v>0</v>
      </c>
      <c r="J1664" s="181">
        <v>0</v>
      </c>
      <c r="K1664" s="181">
        <v>0</v>
      </c>
      <c r="L1664" s="181">
        <v>0</v>
      </c>
      <c r="M1664" s="181">
        <v>3912575.4006399997</v>
      </c>
      <c r="N1664" s="181">
        <v>79149.519119999997</v>
      </c>
      <c r="O1664" s="181">
        <v>61615.360639999992</v>
      </c>
      <c r="P1664" s="181">
        <v>43.942</v>
      </c>
      <c r="Q1664" s="181">
        <v>1302804.3621279998</v>
      </c>
      <c r="R1664" s="181">
        <v>48341.838799999998</v>
      </c>
      <c r="S1664" s="181">
        <v>40967.659999999996</v>
      </c>
      <c r="T1664" s="181">
        <v>25.374599999999997</v>
      </c>
      <c r="U1664" s="181">
        <v>3300715.2050079997</v>
      </c>
      <c r="V1664" s="181">
        <v>0</v>
      </c>
    </row>
    <row r="1665" spans="1:22">
      <c r="A1665" s="2" t="s">
        <v>3348</v>
      </c>
      <c r="B1665" s="2" t="s">
        <v>3349</v>
      </c>
      <c r="C1665" s="181">
        <v>13.0511632</v>
      </c>
      <c r="D1665" s="181">
        <v>1554.8356000000001</v>
      </c>
      <c r="E1665" s="181">
        <v>0</v>
      </c>
      <c r="F1665" s="181">
        <v>0</v>
      </c>
      <c r="G1665" s="181">
        <v>0</v>
      </c>
      <c r="H1665" s="181">
        <v>0</v>
      </c>
      <c r="I1665" s="181">
        <v>0</v>
      </c>
      <c r="J1665" s="181">
        <v>0</v>
      </c>
      <c r="K1665" s="181">
        <v>0</v>
      </c>
      <c r="L1665" s="181">
        <v>0</v>
      </c>
      <c r="M1665" s="181">
        <v>3125898.0062559997</v>
      </c>
      <c r="N1665" s="181">
        <v>62106.972559999995</v>
      </c>
      <c r="O1665" s="181">
        <v>49325.062639999989</v>
      </c>
      <c r="P1665" s="181">
        <v>44.957999999999998</v>
      </c>
      <c r="Q1665" s="181">
        <v>1053065.5067679998</v>
      </c>
      <c r="R1665" s="181">
        <v>38181.859120000001</v>
      </c>
      <c r="S1665" s="181">
        <v>33265.739919999993</v>
      </c>
      <c r="T1665" s="181">
        <v>25.907999999999998</v>
      </c>
      <c r="U1665" s="181">
        <v>2605608.7242559996</v>
      </c>
      <c r="V1665" s="181">
        <v>0</v>
      </c>
    </row>
    <row r="1666" spans="1:22">
      <c r="A1666" s="2" t="s">
        <v>3350</v>
      </c>
      <c r="B1666" s="2" t="s">
        <v>3351</v>
      </c>
      <c r="C1666" s="181">
        <v>8.9587231999999997</v>
      </c>
      <c r="D1666" s="181">
        <v>1064.5139999999999</v>
      </c>
      <c r="E1666" s="181">
        <v>0</v>
      </c>
      <c r="F1666" s="181">
        <v>0</v>
      </c>
      <c r="G1666" s="181">
        <v>0</v>
      </c>
      <c r="H1666" s="181">
        <v>0</v>
      </c>
      <c r="I1666" s="181">
        <v>0</v>
      </c>
      <c r="J1666" s="181">
        <v>0</v>
      </c>
      <c r="K1666" s="181">
        <v>0</v>
      </c>
      <c r="L1666" s="181">
        <v>0</v>
      </c>
      <c r="M1666" s="181">
        <v>2222675.8127039997</v>
      </c>
      <c r="N1666" s="181">
        <v>43425.719599999997</v>
      </c>
      <c r="O1666" s="181">
        <v>35068.316959999996</v>
      </c>
      <c r="P1666" s="181">
        <v>45.72</v>
      </c>
      <c r="Q1666" s="181">
        <v>757541.19459199999</v>
      </c>
      <c r="R1666" s="181">
        <v>26874.784959999997</v>
      </c>
      <c r="S1666" s="181">
        <v>23925.113439999997</v>
      </c>
      <c r="T1666" s="181">
        <v>26.669999999999998</v>
      </c>
      <c r="U1666" s="181">
        <v>1831418.2726399999</v>
      </c>
      <c r="V1666" s="181">
        <v>0</v>
      </c>
    </row>
    <row r="1667" spans="1:22">
      <c r="A1667" s="2" t="s">
        <v>3352</v>
      </c>
      <c r="B1667" s="2" t="s">
        <v>3353</v>
      </c>
      <c r="C1667" s="181">
        <v>21.727135999999998</v>
      </c>
      <c r="D1667" s="181">
        <v>2638.7043999999996</v>
      </c>
      <c r="E1667" s="181">
        <v>0</v>
      </c>
      <c r="F1667" s="181">
        <v>0</v>
      </c>
      <c r="G1667" s="181">
        <v>0</v>
      </c>
      <c r="H1667" s="181">
        <v>0</v>
      </c>
      <c r="I1667" s="181">
        <v>0</v>
      </c>
      <c r="J1667" s="181">
        <v>0</v>
      </c>
      <c r="K1667" s="181">
        <v>0</v>
      </c>
      <c r="L1667" s="181">
        <v>0</v>
      </c>
      <c r="M1667" s="181">
        <v>4328806.8262399994</v>
      </c>
      <c r="N1667" s="181">
        <v>93570.135439999984</v>
      </c>
      <c r="O1667" s="181">
        <v>67842.444959999993</v>
      </c>
      <c r="P1667" s="181">
        <v>40.386000000000003</v>
      </c>
      <c r="Q1667" s="181">
        <v>949007.6503679998</v>
      </c>
      <c r="R1667" s="181">
        <v>47194.744319999991</v>
      </c>
      <c r="S1667" s="181">
        <v>37362.505919999996</v>
      </c>
      <c r="T1667" s="181">
        <v>18.999199999999998</v>
      </c>
      <c r="U1667" s="181">
        <v>2751289.723216</v>
      </c>
      <c r="V1667" s="181">
        <v>0</v>
      </c>
    </row>
    <row r="1668" spans="1:22">
      <c r="A1668" s="2" t="s">
        <v>3354</v>
      </c>
      <c r="B1668" s="2" t="s">
        <v>3355</v>
      </c>
      <c r="C1668" s="181">
        <v>18.899631999999997</v>
      </c>
      <c r="D1668" s="181">
        <v>2270.9631999999997</v>
      </c>
      <c r="E1668" s="181">
        <v>0</v>
      </c>
      <c r="F1668" s="181">
        <v>0</v>
      </c>
      <c r="G1668" s="181">
        <v>0</v>
      </c>
      <c r="H1668" s="181">
        <v>0</v>
      </c>
      <c r="I1668" s="181">
        <v>0</v>
      </c>
      <c r="J1668" s="181">
        <v>0</v>
      </c>
      <c r="K1668" s="181">
        <v>0</v>
      </c>
      <c r="L1668" s="181">
        <v>0</v>
      </c>
      <c r="M1668" s="181">
        <v>3891763.8293599994</v>
      </c>
      <c r="N1668" s="181">
        <v>82754.67319999999</v>
      </c>
      <c r="O1668" s="181">
        <v>61287.619359999997</v>
      </c>
      <c r="P1668" s="181">
        <v>41.401999999999994</v>
      </c>
      <c r="Q1668" s="181">
        <v>874085.99375999998</v>
      </c>
      <c r="R1668" s="181">
        <v>42114.754479999996</v>
      </c>
      <c r="S1668" s="181">
        <v>34412.8344</v>
      </c>
      <c r="T1668" s="181">
        <v>19.608799999999999</v>
      </c>
      <c r="U1668" s="181">
        <v>2493226.2393439999</v>
      </c>
      <c r="V1668" s="181">
        <v>0</v>
      </c>
    </row>
    <row r="1669" spans="1:22">
      <c r="A1669" s="2" t="s">
        <v>3356</v>
      </c>
      <c r="B1669" s="2" t="s">
        <v>3357</v>
      </c>
      <c r="C1669" s="181">
        <v>15.625679999999999</v>
      </c>
      <c r="D1669" s="181">
        <v>1877.4156</v>
      </c>
      <c r="E1669" s="181">
        <v>0</v>
      </c>
      <c r="F1669" s="181">
        <v>0</v>
      </c>
      <c r="G1669" s="181">
        <v>0</v>
      </c>
      <c r="H1669" s="181">
        <v>0</v>
      </c>
      <c r="I1669" s="181">
        <v>0</v>
      </c>
      <c r="J1669" s="181">
        <v>0</v>
      </c>
      <c r="K1669" s="181">
        <v>0</v>
      </c>
      <c r="L1669" s="181">
        <v>0</v>
      </c>
      <c r="M1669" s="181">
        <v>3363149.9188479995</v>
      </c>
      <c r="N1669" s="181">
        <v>69972.763279999985</v>
      </c>
      <c r="O1669" s="181">
        <v>52930.216719999997</v>
      </c>
      <c r="P1669" s="181">
        <v>42.417999999999999</v>
      </c>
      <c r="Q1669" s="181">
        <v>765865.82310399995</v>
      </c>
      <c r="R1669" s="181">
        <v>36051.540800000002</v>
      </c>
      <c r="S1669" s="181">
        <v>30152.197759999999</v>
      </c>
      <c r="T1669" s="181">
        <v>20.2438</v>
      </c>
      <c r="U1669" s="181">
        <v>2151916.4703519996</v>
      </c>
      <c r="V1669" s="181">
        <v>0</v>
      </c>
    </row>
    <row r="1670" spans="1:22">
      <c r="A1670" s="2" t="s">
        <v>3358</v>
      </c>
      <c r="B1670" s="2" t="s">
        <v>3359</v>
      </c>
      <c r="C1670" s="181">
        <v>12.0987408</v>
      </c>
      <c r="D1670" s="181">
        <v>1445.1584</v>
      </c>
      <c r="E1670" s="181">
        <v>0</v>
      </c>
      <c r="F1670" s="181">
        <v>0</v>
      </c>
      <c r="G1670" s="181">
        <v>0</v>
      </c>
      <c r="H1670" s="181">
        <v>0</v>
      </c>
      <c r="I1670" s="181">
        <v>0</v>
      </c>
      <c r="J1670" s="181">
        <v>0</v>
      </c>
      <c r="K1670" s="181">
        <v>0</v>
      </c>
      <c r="L1670" s="181">
        <v>0</v>
      </c>
      <c r="M1670" s="181">
        <v>2705504.2663999996</v>
      </c>
      <c r="N1670" s="181">
        <v>55224.405679999996</v>
      </c>
      <c r="O1670" s="181">
        <v>42606.366399999999</v>
      </c>
      <c r="P1670" s="181">
        <v>43.18</v>
      </c>
      <c r="Q1670" s="181">
        <v>628509.45265599992</v>
      </c>
      <c r="R1670" s="181">
        <v>28677.361999999997</v>
      </c>
      <c r="S1670" s="181">
        <v>24744.466639999999</v>
      </c>
      <c r="T1670" s="181">
        <v>20.904199999999996</v>
      </c>
      <c r="U1670" s="181">
        <v>1727360.4162399999</v>
      </c>
      <c r="V1670" s="181">
        <v>0</v>
      </c>
    </row>
    <row r="1671" spans="1:22">
      <c r="A1671" s="2" t="s">
        <v>3360</v>
      </c>
      <c r="B1671" s="2" t="s">
        <v>3361</v>
      </c>
      <c r="C1671" s="181">
        <v>8.3336959999999998</v>
      </c>
      <c r="D1671" s="181">
        <v>993.54639999999995</v>
      </c>
      <c r="E1671" s="181">
        <v>0</v>
      </c>
      <c r="F1671" s="181">
        <v>0</v>
      </c>
      <c r="G1671" s="181">
        <v>0</v>
      </c>
      <c r="H1671" s="181">
        <v>0</v>
      </c>
      <c r="I1671" s="181">
        <v>0</v>
      </c>
      <c r="J1671" s="181">
        <v>0</v>
      </c>
      <c r="K1671" s="181">
        <v>0</v>
      </c>
      <c r="L1671" s="181">
        <v>0</v>
      </c>
      <c r="M1671" s="181">
        <v>1935476.12904</v>
      </c>
      <c r="N1671" s="181">
        <v>38837.341679999998</v>
      </c>
      <c r="O1671" s="181">
        <v>30479.939039999997</v>
      </c>
      <c r="P1671" s="181">
        <v>44.195999999999998</v>
      </c>
      <c r="Q1671" s="181">
        <v>457854.56815999997</v>
      </c>
      <c r="R1671" s="181">
        <v>20319.959359999997</v>
      </c>
      <c r="S1671" s="181">
        <v>18025.770400000001</v>
      </c>
      <c r="T1671" s="181">
        <v>21.539199999999997</v>
      </c>
      <c r="U1671" s="181">
        <v>1227882.7055199998</v>
      </c>
      <c r="V1671" s="181">
        <v>0</v>
      </c>
    </row>
    <row r="1672" spans="1:22">
      <c r="A1672" s="2" t="s">
        <v>3362</v>
      </c>
      <c r="B1672" s="2" t="s">
        <v>3363</v>
      </c>
      <c r="C1672" s="181">
        <v>37.055183999999997</v>
      </c>
      <c r="D1672" s="181">
        <v>4483.8620000000001</v>
      </c>
      <c r="E1672" s="181">
        <v>0</v>
      </c>
      <c r="F1672" s="181">
        <v>0</v>
      </c>
      <c r="G1672" s="181">
        <v>0</v>
      </c>
      <c r="H1672" s="181">
        <v>0</v>
      </c>
      <c r="I1672" s="181">
        <v>0</v>
      </c>
      <c r="J1672" s="181">
        <v>0</v>
      </c>
      <c r="K1672" s="181">
        <v>0</v>
      </c>
      <c r="L1672" s="181">
        <v>0</v>
      </c>
      <c r="M1672" s="181">
        <v>7533788.8033600003</v>
      </c>
      <c r="N1672" s="181">
        <v>167148.05279999998</v>
      </c>
      <c r="O1672" s="181">
        <v>131588.12391999998</v>
      </c>
      <c r="P1672" s="181">
        <v>40.893999999999998</v>
      </c>
      <c r="Q1672" s="181">
        <v>7533788.8033600003</v>
      </c>
      <c r="R1672" s="181">
        <v>167148.05279999998</v>
      </c>
      <c r="S1672" s="181">
        <v>131588.12391999998</v>
      </c>
      <c r="T1672" s="181">
        <v>40.893999999999998</v>
      </c>
      <c r="U1672" s="181">
        <v>13028043.62128</v>
      </c>
      <c r="V1672" s="181">
        <v>0</v>
      </c>
    </row>
    <row r="1673" spans="1:22">
      <c r="A1673" s="2" t="s">
        <v>3364</v>
      </c>
      <c r="B1673" s="2" t="s">
        <v>3365</v>
      </c>
      <c r="C1673" s="181">
        <v>29.316751999999997</v>
      </c>
      <c r="D1673" s="181">
        <v>3535.4767999999999</v>
      </c>
      <c r="E1673" s="181">
        <v>0</v>
      </c>
      <c r="F1673" s="181">
        <v>0</v>
      </c>
      <c r="G1673" s="181">
        <v>0</v>
      </c>
      <c r="H1673" s="181">
        <v>0</v>
      </c>
      <c r="I1673" s="181">
        <v>0</v>
      </c>
      <c r="J1673" s="181">
        <v>0</v>
      </c>
      <c r="K1673" s="181">
        <v>0</v>
      </c>
      <c r="L1673" s="181">
        <v>0</v>
      </c>
      <c r="M1673" s="181">
        <v>6368340.8116799993</v>
      </c>
      <c r="N1673" s="181">
        <v>136995.85503999997</v>
      </c>
      <c r="O1673" s="181">
        <v>111268.16455999999</v>
      </c>
      <c r="P1673" s="181">
        <v>42.417999999999999</v>
      </c>
      <c r="Q1673" s="181">
        <v>6368340.8116799993</v>
      </c>
      <c r="R1673" s="181">
        <v>136995.85503999997</v>
      </c>
      <c r="S1673" s="181">
        <v>111268.16455999999</v>
      </c>
      <c r="T1673" s="181">
        <v>42.417999999999999</v>
      </c>
      <c r="U1673" s="181">
        <v>10697147.637919998</v>
      </c>
      <c r="V1673" s="181">
        <v>0</v>
      </c>
    </row>
    <row r="1674" spans="1:22">
      <c r="A1674" s="2" t="s">
        <v>3366</v>
      </c>
      <c r="B1674" s="2" t="s">
        <v>3367</v>
      </c>
      <c r="C1674" s="181">
        <v>25.149903999999996</v>
      </c>
      <c r="D1674" s="181">
        <v>3019.3487999999998</v>
      </c>
      <c r="E1674" s="181">
        <v>0</v>
      </c>
      <c r="F1674" s="181">
        <v>0</v>
      </c>
      <c r="G1674" s="181">
        <v>0</v>
      </c>
      <c r="H1674" s="181">
        <v>0</v>
      </c>
      <c r="I1674" s="181">
        <v>0</v>
      </c>
      <c r="J1674" s="181">
        <v>0</v>
      </c>
      <c r="K1674" s="181">
        <v>0</v>
      </c>
      <c r="L1674" s="181">
        <v>0</v>
      </c>
      <c r="M1674" s="181">
        <v>5619124.2455999991</v>
      </c>
      <c r="N1674" s="181">
        <v>119133.95527999998</v>
      </c>
      <c r="O1674" s="181">
        <v>98322.383999999991</v>
      </c>
      <c r="P1674" s="181">
        <v>43.18</v>
      </c>
      <c r="Q1674" s="181">
        <v>5619124.2455999991</v>
      </c>
      <c r="R1674" s="181">
        <v>119133.95527999998</v>
      </c>
      <c r="S1674" s="181">
        <v>98322.383999999991</v>
      </c>
      <c r="T1674" s="181">
        <v>43.18</v>
      </c>
      <c r="U1674" s="181">
        <v>9281960.7908800002</v>
      </c>
      <c r="V1674" s="181">
        <v>0</v>
      </c>
    </row>
    <row r="1675" spans="1:22">
      <c r="A1675" s="2" t="s">
        <v>3368</v>
      </c>
      <c r="B1675" s="2" t="s">
        <v>3369</v>
      </c>
      <c r="C1675" s="181">
        <v>20.685424000000001</v>
      </c>
      <c r="D1675" s="181">
        <v>2477.4143999999997</v>
      </c>
      <c r="E1675" s="181">
        <v>0</v>
      </c>
      <c r="F1675" s="181">
        <v>0</v>
      </c>
      <c r="G1675" s="181">
        <v>0</v>
      </c>
      <c r="H1675" s="181">
        <v>0</v>
      </c>
      <c r="I1675" s="181">
        <v>0</v>
      </c>
      <c r="J1675" s="181">
        <v>0</v>
      </c>
      <c r="K1675" s="181">
        <v>0</v>
      </c>
      <c r="L1675" s="181">
        <v>0</v>
      </c>
      <c r="M1675" s="181">
        <v>4745038.25184</v>
      </c>
      <c r="N1675" s="181">
        <v>99305.607839999982</v>
      </c>
      <c r="O1675" s="181">
        <v>83246.28512</v>
      </c>
      <c r="P1675" s="181">
        <v>43.942</v>
      </c>
      <c r="Q1675" s="181">
        <v>4745038.25184</v>
      </c>
      <c r="R1675" s="181">
        <v>99305.607839999982</v>
      </c>
      <c r="S1675" s="181">
        <v>83246.28512</v>
      </c>
      <c r="T1675" s="181">
        <v>43.942</v>
      </c>
      <c r="U1675" s="181">
        <v>7700281.3735999996</v>
      </c>
      <c r="V1675" s="181">
        <v>0</v>
      </c>
    </row>
    <row r="1676" spans="1:22">
      <c r="A1676" s="2" t="s">
        <v>3370</v>
      </c>
      <c r="B1676" s="2" t="s">
        <v>3371</v>
      </c>
      <c r="C1676" s="181">
        <v>15.923311999999997</v>
      </c>
      <c r="D1676" s="181">
        <v>1890.3188</v>
      </c>
      <c r="E1676" s="181">
        <v>0</v>
      </c>
      <c r="F1676" s="181">
        <v>0</v>
      </c>
      <c r="G1676" s="181">
        <v>0</v>
      </c>
      <c r="H1676" s="181">
        <v>0</v>
      </c>
      <c r="I1676" s="181">
        <v>0</v>
      </c>
      <c r="J1676" s="181">
        <v>0</v>
      </c>
      <c r="K1676" s="181">
        <v>0</v>
      </c>
      <c r="L1676" s="181">
        <v>0</v>
      </c>
      <c r="M1676" s="181">
        <v>3754407.4589119996</v>
      </c>
      <c r="N1676" s="181">
        <v>77183.071439999985</v>
      </c>
      <c r="O1676" s="181">
        <v>65712.126639999988</v>
      </c>
      <c r="P1676" s="181">
        <v>44.449999999999996</v>
      </c>
      <c r="Q1676" s="181">
        <v>3754407.4589119996</v>
      </c>
      <c r="R1676" s="181">
        <v>77183.071439999985</v>
      </c>
      <c r="S1676" s="181">
        <v>65712.126639999988</v>
      </c>
      <c r="T1676" s="181">
        <v>44.449999999999996</v>
      </c>
      <c r="U1676" s="181">
        <v>5993732.5286399992</v>
      </c>
      <c r="V1676" s="181">
        <v>0</v>
      </c>
    </row>
    <row r="1677" spans="1:22">
      <c r="A1677" s="2" t="s">
        <v>3372</v>
      </c>
      <c r="B1677" s="2" t="s">
        <v>3373</v>
      </c>
      <c r="C1677" s="181">
        <v>10.863567999999999</v>
      </c>
      <c r="D1677" s="181">
        <v>1290.32</v>
      </c>
      <c r="E1677" s="181">
        <v>0</v>
      </c>
      <c r="F1677" s="181">
        <v>0</v>
      </c>
      <c r="G1677" s="181">
        <v>0</v>
      </c>
      <c r="H1677" s="181">
        <v>0</v>
      </c>
      <c r="I1677" s="181">
        <v>0</v>
      </c>
      <c r="J1677" s="181">
        <v>0</v>
      </c>
      <c r="K1677" s="181">
        <v>0</v>
      </c>
      <c r="L1677" s="181">
        <v>0</v>
      </c>
      <c r="M1677" s="181">
        <v>2643069.5525599997</v>
      </c>
      <c r="N1677" s="181">
        <v>53585.699279999993</v>
      </c>
      <c r="O1677" s="181">
        <v>46211.520479999992</v>
      </c>
      <c r="P1677" s="181">
        <v>45.211999999999996</v>
      </c>
      <c r="Q1677" s="181">
        <v>2643069.5525599997</v>
      </c>
      <c r="R1677" s="181">
        <v>53585.699279999993</v>
      </c>
      <c r="S1677" s="181">
        <v>46211.520479999992</v>
      </c>
      <c r="T1677" s="181">
        <v>45.211999999999996</v>
      </c>
      <c r="U1677" s="181">
        <v>4129015.7419519997</v>
      </c>
      <c r="V1677" s="181">
        <v>0</v>
      </c>
    </row>
    <row r="1678" spans="1:22">
      <c r="A1678" s="2" t="s">
        <v>3374</v>
      </c>
      <c r="B1678" s="2" t="s">
        <v>3375</v>
      </c>
      <c r="C1678" s="181">
        <v>31.995439999999999</v>
      </c>
      <c r="D1678" s="181">
        <v>3883.8631999999993</v>
      </c>
      <c r="E1678" s="181">
        <v>0</v>
      </c>
      <c r="F1678" s="181">
        <v>0</v>
      </c>
      <c r="G1678" s="181">
        <v>0</v>
      </c>
      <c r="H1678" s="181">
        <v>0</v>
      </c>
      <c r="I1678" s="181">
        <v>0</v>
      </c>
      <c r="J1678" s="181">
        <v>0</v>
      </c>
      <c r="K1678" s="181">
        <v>0</v>
      </c>
      <c r="L1678" s="181">
        <v>0</v>
      </c>
      <c r="M1678" s="181">
        <v>4953153.9646399999</v>
      </c>
      <c r="N1678" s="181">
        <v>126180.39279999999</v>
      </c>
      <c r="O1678" s="181">
        <v>97830.772079999981</v>
      </c>
      <c r="P1678" s="181">
        <v>35.813999999999993</v>
      </c>
      <c r="Q1678" s="181">
        <v>4953153.9646399999</v>
      </c>
      <c r="R1678" s="181">
        <v>126180.39279999999</v>
      </c>
      <c r="S1678" s="181">
        <v>97830.772079999981</v>
      </c>
      <c r="T1678" s="181">
        <v>35.813999999999993</v>
      </c>
      <c r="U1678" s="181">
        <v>8740859.9375999998</v>
      </c>
      <c r="V1678" s="181">
        <v>0</v>
      </c>
    </row>
    <row r="1679" spans="1:22">
      <c r="A1679" s="2" t="s">
        <v>3376</v>
      </c>
      <c r="B1679" s="2" t="s">
        <v>3377</v>
      </c>
      <c r="C1679" s="181">
        <v>25.596351999999996</v>
      </c>
      <c r="D1679" s="181">
        <v>3083.8647999999998</v>
      </c>
      <c r="E1679" s="181">
        <v>0</v>
      </c>
      <c r="F1679" s="181">
        <v>0</v>
      </c>
      <c r="G1679" s="181">
        <v>0</v>
      </c>
      <c r="H1679" s="181">
        <v>0</v>
      </c>
      <c r="I1679" s="181">
        <v>0</v>
      </c>
      <c r="J1679" s="181">
        <v>0</v>
      </c>
      <c r="K1679" s="181">
        <v>0</v>
      </c>
      <c r="L1679" s="181">
        <v>0</v>
      </c>
      <c r="M1679" s="181">
        <v>4287183.6836799998</v>
      </c>
      <c r="N1679" s="181">
        <v>104713.33895999998</v>
      </c>
      <c r="O1679" s="181">
        <v>84065.638319999984</v>
      </c>
      <c r="P1679" s="181">
        <v>37.337999999999994</v>
      </c>
      <c r="Q1679" s="181">
        <v>4287183.6836799998</v>
      </c>
      <c r="R1679" s="181">
        <v>104713.33895999998</v>
      </c>
      <c r="S1679" s="181">
        <v>84065.638319999984</v>
      </c>
      <c r="T1679" s="181">
        <v>37.337999999999994</v>
      </c>
      <c r="U1679" s="181">
        <v>7284049.9479999989</v>
      </c>
      <c r="V1679" s="181">
        <v>0</v>
      </c>
    </row>
    <row r="1680" spans="1:22">
      <c r="A1680" s="2" t="s">
        <v>3378</v>
      </c>
      <c r="B1680" s="2" t="s">
        <v>3379</v>
      </c>
      <c r="C1680" s="181">
        <v>22.024768000000002</v>
      </c>
      <c r="D1680" s="181">
        <v>2645.1559999999995</v>
      </c>
      <c r="E1680" s="181">
        <v>0</v>
      </c>
      <c r="F1680" s="181">
        <v>0</v>
      </c>
      <c r="G1680" s="181">
        <v>0</v>
      </c>
      <c r="H1680" s="181">
        <v>0</v>
      </c>
      <c r="I1680" s="181">
        <v>0</v>
      </c>
      <c r="J1680" s="181">
        <v>0</v>
      </c>
      <c r="K1680" s="181">
        <v>0</v>
      </c>
      <c r="L1680" s="181">
        <v>0</v>
      </c>
      <c r="M1680" s="181">
        <v>3804355.2299839999</v>
      </c>
      <c r="N1680" s="181">
        <v>91603.687759999986</v>
      </c>
      <c r="O1680" s="181">
        <v>74888.88248</v>
      </c>
      <c r="P1680" s="181">
        <v>37.845999999999997</v>
      </c>
      <c r="Q1680" s="181">
        <v>3804355.2299839999</v>
      </c>
      <c r="R1680" s="181">
        <v>91603.687759999986</v>
      </c>
      <c r="S1680" s="181">
        <v>74888.88248</v>
      </c>
      <c r="T1680" s="181">
        <v>37.845999999999997</v>
      </c>
      <c r="U1680" s="181">
        <v>6368340.8116799993</v>
      </c>
      <c r="V1680" s="181">
        <v>0</v>
      </c>
    </row>
    <row r="1681" spans="1:22">
      <c r="A1681" s="2" t="s">
        <v>3380</v>
      </c>
      <c r="B1681" s="2" t="s">
        <v>3381</v>
      </c>
      <c r="C1681" s="181">
        <v>18.155551999999997</v>
      </c>
      <c r="D1681" s="181">
        <v>2174.1891999999998</v>
      </c>
      <c r="E1681" s="181">
        <v>0</v>
      </c>
      <c r="F1681" s="181">
        <v>0</v>
      </c>
      <c r="G1681" s="181">
        <v>0</v>
      </c>
      <c r="H1681" s="181">
        <v>0</v>
      </c>
      <c r="I1681" s="181">
        <v>0</v>
      </c>
      <c r="J1681" s="181">
        <v>0</v>
      </c>
      <c r="K1681" s="181">
        <v>0</v>
      </c>
      <c r="L1681" s="181">
        <v>0</v>
      </c>
      <c r="M1681" s="181">
        <v>3246605.1196799995</v>
      </c>
      <c r="N1681" s="181">
        <v>76855.330159999998</v>
      </c>
      <c r="O1681" s="181">
        <v>63909.549599999991</v>
      </c>
      <c r="P1681" s="181">
        <v>38.607999999999997</v>
      </c>
      <c r="Q1681" s="181">
        <v>3246605.1196799995</v>
      </c>
      <c r="R1681" s="181">
        <v>76855.330159999998</v>
      </c>
      <c r="S1681" s="181">
        <v>63909.549599999991</v>
      </c>
      <c r="T1681" s="181">
        <v>38.607999999999997</v>
      </c>
      <c r="U1681" s="181">
        <v>5327762.24768</v>
      </c>
      <c r="V1681" s="181">
        <v>0</v>
      </c>
    </row>
    <row r="1682" spans="1:22">
      <c r="A1682" s="2" t="s">
        <v>3382</v>
      </c>
      <c r="B1682" s="2" t="s">
        <v>3383</v>
      </c>
      <c r="C1682" s="181">
        <v>13.988704</v>
      </c>
      <c r="D1682" s="181">
        <v>1664.5128</v>
      </c>
      <c r="E1682" s="181">
        <v>0</v>
      </c>
      <c r="F1682" s="181">
        <v>0</v>
      </c>
      <c r="G1682" s="181">
        <v>0</v>
      </c>
      <c r="H1682" s="181">
        <v>0</v>
      </c>
      <c r="I1682" s="181">
        <v>0</v>
      </c>
      <c r="J1682" s="181">
        <v>0</v>
      </c>
      <c r="K1682" s="181">
        <v>0</v>
      </c>
      <c r="L1682" s="181">
        <v>0</v>
      </c>
      <c r="M1682" s="181">
        <v>2584797.1529759998</v>
      </c>
      <c r="N1682" s="181">
        <v>60140.52487999999</v>
      </c>
      <c r="O1682" s="181">
        <v>50799.898399999998</v>
      </c>
      <c r="P1682" s="181">
        <v>39.369999999999997</v>
      </c>
      <c r="Q1682" s="181">
        <v>2584797.1529759998</v>
      </c>
      <c r="R1682" s="181">
        <v>60140.52487999999</v>
      </c>
      <c r="S1682" s="181">
        <v>50799.898399999998</v>
      </c>
      <c r="T1682" s="181">
        <v>39.369999999999997</v>
      </c>
      <c r="U1682" s="181">
        <v>4145664.9989760001</v>
      </c>
      <c r="V1682" s="181">
        <v>0</v>
      </c>
    </row>
    <row r="1683" spans="1:22">
      <c r="A1683" s="2" t="s">
        <v>3384</v>
      </c>
      <c r="B1683" s="2" t="s">
        <v>3385</v>
      </c>
      <c r="C1683" s="181">
        <v>9.5986320000000003</v>
      </c>
      <c r="D1683" s="181">
        <v>1141.9331999999999</v>
      </c>
      <c r="E1683" s="181">
        <v>0</v>
      </c>
      <c r="F1683" s="181">
        <v>0</v>
      </c>
      <c r="G1683" s="181">
        <v>0</v>
      </c>
      <c r="H1683" s="181">
        <v>0</v>
      </c>
      <c r="I1683" s="181">
        <v>0</v>
      </c>
      <c r="J1683" s="181">
        <v>0</v>
      </c>
      <c r="K1683" s="181">
        <v>0</v>
      </c>
      <c r="L1683" s="181">
        <v>0</v>
      </c>
      <c r="M1683" s="181">
        <v>1831418.2726399999</v>
      </c>
      <c r="N1683" s="181">
        <v>41950.883839999995</v>
      </c>
      <c r="O1683" s="181">
        <v>36051.540800000002</v>
      </c>
      <c r="P1683" s="181">
        <v>40.131999999999998</v>
      </c>
      <c r="Q1683" s="181">
        <v>1831418.2726399999</v>
      </c>
      <c r="R1683" s="181">
        <v>41950.883839999995</v>
      </c>
      <c r="S1683" s="181">
        <v>36051.540800000002</v>
      </c>
      <c r="T1683" s="181">
        <v>40.131999999999998</v>
      </c>
      <c r="U1683" s="181">
        <v>2876159.1508959997</v>
      </c>
      <c r="V1683" s="181">
        <v>0</v>
      </c>
    </row>
    <row r="1684" spans="1:22">
      <c r="A1684" s="2" t="s">
        <v>3386</v>
      </c>
      <c r="B1684" s="2" t="s">
        <v>3387</v>
      </c>
      <c r="C1684" s="181">
        <v>21.727135999999998</v>
      </c>
      <c r="D1684" s="181">
        <v>2638.7043999999996</v>
      </c>
      <c r="E1684" s="181">
        <v>0</v>
      </c>
      <c r="F1684" s="181">
        <v>0</v>
      </c>
      <c r="G1684" s="181">
        <v>0</v>
      </c>
      <c r="H1684" s="181">
        <v>0</v>
      </c>
      <c r="I1684" s="181">
        <v>0</v>
      </c>
      <c r="J1684" s="181">
        <v>0</v>
      </c>
      <c r="K1684" s="181">
        <v>0</v>
      </c>
      <c r="L1684" s="181">
        <v>0</v>
      </c>
      <c r="M1684" s="181">
        <v>3300715.2050079997</v>
      </c>
      <c r="N1684" s="181">
        <v>83901.76767999999</v>
      </c>
      <c r="O1684" s="181">
        <v>65056.644079999998</v>
      </c>
      <c r="P1684" s="181">
        <v>35.305999999999997</v>
      </c>
      <c r="Q1684" s="181">
        <v>2085319.4422559997</v>
      </c>
      <c r="R1684" s="181">
        <v>68497.927519999983</v>
      </c>
      <c r="S1684" s="181">
        <v>54732.793759999993</v>
      </c>
      <c r="T1684" s="181">
        <v>28.194000000000003</v>
      </c>
      <c r="U1684" s="181">
        <v>4412053.1113599995</v>
      </c>
      <c r="V1684" s="181">
        <v>0</v>
      </c>
    </row>
    <row r="1685" spans="1:22">
      <c r="A1685" s="2" t="s">
        <v>3388</v>
      </c>
      <c r="B1685" s="2" t="s">
        <v>3389</v>
      </c>
      <c r="C1685" s="181">
        <v>18.899631999999997</v>
      </c>
      <c r="D1685" s="181">
        <v>2270.9631999999997</v>
      </c>
      <c r="E1685" s="181">
        <v>0</v>
      </c>
      <c r="F1685" s="181">
        <v>0</v>
      </c>
      <c r="G1685" s="181">
        <v>0</v>
      </c>
      <c r="H1685" s="181">
        <v>0</v>
      </c>
      <c r="I1685" s="181">
        <v>0</v>
      </c>
      <c r="J1685" s="181">
        <v>0</v>
      </c>
      <c r="K1685" s="181">
        <v>0</v>
      </c>
      <c r="L1685" s="181">
        <v>0</v>
      </c>
      <c r="M1685" s="181">
        <v>2971892.3787839995</v>
      </c>
      <c r="N1685" s="181">
        <v>73905.658639999994</v>
      </c>
      <c r="O1685" s="181">
        <v>58501.818479999994</v>
      </c>
      <c r="P1685" s="181">
        <v>36.067999999999998</v>
      </c>
      <c r="Q1685" s="181">
        <v>1881366.0437119997</v>
      </c>
      <c r="R1685" s="181">
        <v>60468.266159999992</v>
      </c>
      <c r="S1685" s="181">
        <v>49488.933279999997</v>
      </c>
      <c r="T1685" s="181">
        <v>28.701999999999995</v>
      </c>
      <c r="U1685" s="181">
        <v>3916737.7148959995</v>
      </c>
      <c r="V1685" s="181">
        <v>0</v>
      </c>
    </row>
    <row r="1686" spans="1:22">
      <c r="A1686" s="2" t="s">
        <v>3390</v>
      </c>
      <c r="B1686" s="2" t="s">
        <v>3391</v>
      </c>
      <c r="C1686" s="181">
        <v>15.625679999999999</v>
      </c>
      <c r="D1686" s="181">
        <v>1877.4156</v>
      </c>
      <c r="E1686" s="181">
        <v>0</v>
      </c>
      <c r="F1686" s="181">
        <v>0</v>
      </c>
      <c r="G1686" s="181">
        <v>0</v>
      </c>
      <c r="H1686" s="181">
        <v>0</v>
      </c>
      <c r="I1686" s="181">
        <v>0</v>
      </c>
      <c r="J1686" s="181">
        <v>0</v>
      </c>
      <c r="K1686" s="181">
        <v>0</v>
      </c>
      <c r="L1686" s="181">
        <v>0</v>
      </c>
      <c r="M1686" s="181">
        <v>2559823.2674400001</v>
      </c>
      <c r="N1686" s="181">
        <v>62434.713839999997</v>
      </c>
      <c r="O1686" s="181">
        <v>50308.286479999995</v>
      </c>
      <c r="P1686" s="181">
        <v>36.83</v>
      </c>
      <c r="Q1686" s="181">
        <v>1627464.8740959999</v>
      </c>
      <c r="R1686" s="181">
        <v>51127.63968</v>
      </c>
      <c r="S1686" s="181">
        <v>42770.237039999993</v>
      </c>
      <c r="T1686" s="181">
        <v>29.463999999999995</v>
      </c>
      <c r="U1686" s="181">
        <v>3313202.1477759997</v>
      </c>
      <c r="V1686" s="181">
        <v>0</v>
      </c>
    </row>
    <row r="1687" spans="1:22">
      <c r="A1687" s="2" t="s">
        <v>3392</v>
      </c>
      <c r="B1687" s="2" t="s">
        <v>3393</v>
      </c>
      <c r="C1687" s="181">
        <v>12.0987408</v>
      </c>
      <c r="D1687" s="181">
        <v>1445.1584</v>
      </c>
      <c r="E1687" s="181">
        <v>0</v>
      </c>
      <c r="F1687" s="181">
        <v>0</v>
      </c>
      <c r="G1687" s="181">
        <v>0</v>
      </c>
      <c r="H1687" s="181">
        <v>0</v>
      </c>
      <c r="I1687" s="181">
        <v>0</v>
      </c>
      <c r="J1687" s="181">
        <v>0</v>
      </c>
      <c r="K1687" s="181">
        <v>0</v>
      </c>
      <c r="L1687" s="181">
        <v>0</v>
      </c>
      <c r="M1687" s="181">
        <v>2052020.9282079998</v>
      </c>
      <c r="N1687" s="181">
        <v>49161.191999999995</v>
      </c>
      <c r="O1687" s="181">
        <v>40476.04808</v>
      </c>
      <c r="P1687" s="181">
        <v>37.845999999999997</v>
      </c>
      <c r="Q1687" s="181">
        <v>1315291.3048959998</v>
      </c>
      <c r="R1687" s="181">
        <v>40312.177439999992</v>
      </c>
      <c r="S1687" s="181">
        <v>34412.8344</v>
      </c>
      <c r="T1687" s="181">
        <v>30.225999999999996</v>
      </c>
      <c r="U1687" s="181">
        <v>2605608.7242559996</v>
      </c>
      <c r="V1687" s="181">
        <v>0</v>
      </c>
    </row>
    <row r="1688" spans="1:22">
      <c r="A1688" s="2" t="s">
        <v>3394</v>
      </c>
      <c r="B1688" s="2" t="s">
        <v>3395</v>
      </c>
      <c r="C1688" s="181">
        <v>8.3336959999999998</v>
      </c>
      <c r="D1688" s="181">
        <v>993.54639999999995</v>
      </c>
      <c r="E1688" s="181">
        <v>0</v>
      </c>
      <c r="F1688" s="181">
        <v>0</v>
      </c>
      <c r="G1688" s="181">
        <v>0</v>
      </c>
      <c r="H1688" s="181">
        <v>0</v>
      </c>
      <c r="I1688" s="181">
        <v>0</v>
      </c>
      <c r="J1688" s="181">
        <v>0</v>
      </c>
      <c r="K1688" s="181">
        <v>0</v>
      </c>
      <c r="L1688" s="181">
        <v>0</v>
      </c>
      <c r="M1688" s="181">
        <v>1465134.6181119999</v>
      </c>
      <c r="N1688" s="181">
        <v>34576.705039999993</v>
      </c>
      <c r="O1688" s="181">
        <v>28841.232639999998</v>
      </c>
      <c r="P1688" s="181">
        <v>38.607999999999997</v>
      </c>
      <c r="Q1688" s="181">
        <v>944845.33611199993</v>
      </c>
      <c r="R1688" s="181">
        <v>28349.620719999995</v>
      </c>
      <c r="S1688" s="181">
        <v>24744.466639999999</v>
      </c>
      <c r="T1688" s="181">
        <v>30.733999999999998</v>
      </c>
      <c r="U1688" s="181">
        <v>1823093.6441279997</v>
      </c>
      <c r="V1688" s="181">
        <v>0</v>
      </c>
    </row>
    <row r="1689" spans="1:22">
      <c r="A1689" s="2" t="s">
        <v>3396</v>
      </c>
      <c r="B1689" s="2" t="s">
        <v>3397</v>
      </c>
      <c r="C1689" s="181">
        <v>17.262656</v>
      </c>
      <c r="D1689" s="181">
        <v>2083.8667999999998</v>
      </c>
      <c r="E1689" s="181">
        <v>0</v>
      </c>
      <c r="F1689" s="181">
        <v>0</v>
      </c>
      <c r="G1689" s="181">
        <v>0</v>
      </c>
      <c r="H1689" s="181">
        <v>0</v>
      </c>
      <c r="I1689" s="181">
        <v>0</v>
      </c>
      <c r="J1689" s="181">
        <v>0</v>
      </c>
      <c r="K1689" s="181">
        <v>0</v>
      </c>
      <c r="L1689" s="181">
        <v>0</v>
      </c>
      <c r="M1689" s="181">
        <v>2551498.6389279999</v>
      </c>
      <c r="N1689" s="181">
        <v>65056.644079999998</v>
      </c>
      <c r="O1689" s="181">
        <v>50308.286479999995</v>
      </c>
      <c r="P1689" s="181">
        <v>35.051999999999992</v>
      </c>
      <c r="Q1689" s="181">
        <v>1202908.8199839999</v>
      </c>
      <c r="R1689" s="181">
        <v>46703.132399999995</v>
      </c>
      <c r="S1689" s="181">
        <v>38017.988479999993</v>
      </c>
      <c r="T1689" s="181">
        <v>24.053799999999999</v>
      </c>
      <c r="U1689" s="181">
        <v>2817886.7513119997</v>
      </c>
      <c r="V1689" s="181">
        <v>0</v>
      </c>
    </row>
    <row r="1690" spans="1:22">
      <c r="A1690" s="2" t="s">
        <v>3398</v>
      </c>
      <c r="B1690" s="2" t="s">
        <v>3399</v>
      </c>
      <c r="C1690" s="181">
        <v>14.330980800000001</v>
      </c>
      <c r="D1690" s="181">
        <v>1722.5771999999999</v>
      </c>
      <c r="E1690" s="181">
        <v>0</v>
      </c>
      <c r="F1690" s="181">
        <v>0</v>
      </c>
      <c r="G1690" s="181">
        <v>0</v>
      </c>
      <c r="H1690" s="181">
        <v>0</v>
      </c>
      <c r="I1690" s="181">
        <v>0</v>
      </c>
      <c r="J1690" s="181">
        <v>0</v>
      </c>
      <c r="K1690" s="181">
        <v>0</v>
      </c>
      <c r="L1690" s="181">
        <v>0</v>
      </c>
      <c r="M1690" s="181">
        <v>2214351.184192</v>
      </c>
      <c r="N1690" s="181">
        <v>55388.27631999999</v>
      </c>
      <c r="O1690" s="181">
        <v>43589.590239999998</v>
      </c>
      <c r="P1690" s="181">
        <v>35.813999999999993</v>
      </c>
      <c r="Q1690" s="181">
        <v>1053065.5067679998</v>
      </c>
      <c r="R1690" s="181">
        <v>39820.565519999996</v>
      </c>
      <c r="S1690" s="181">
        <v>33101.869279999999</v>
      </c>
      <c r="T1690" s="181">
        <v>24.714199999999998</v>
      </c>
      <c r="U1690" s="181">
        <v>2405817.6399679999</v>
      </c>
      <c r="V1690" s="181">
        <v>0</v>
      </c>
    </row>
    <row r="1691" spans="1:22">
      <c r="A1691" s="2" t="s">
        <v>3400</v>
      </c>
      <c r="B1691" s="2" t="s">
        <v>3401</v>
      </c>
      <c r="C1691" s="181">
        <v>11.1463184</v>
      </c>
      <c r="D1691" s="181">
        <v>1329.0296000000001</v>
      </c>
      <c r="E1691" s="181">
        <v>0</v>
      </c>
      <c r="F1691" s="181">
        <v>0</v>
      </c>
      <c r="G1691" s="181">
        <v>0</v>
      </c>
      <c r="H1691" s="181">
        <v>0</v>
      </c>
      <c r="I1691" s="181">
        <v>0</v>
      </c>
      <c r="J1691" s="181">
        <v>0</v>
      </c>
      <c r="K1691" s="181">
        <v>0</v>
      </c>
      <c r="L1691" s="181">
        <v>0</v>
      </c>
      <c r="M1691" s="181">
        <v>1789795.1300799998</v>
      </c>
      <c r="N1691" s="181">
        <v>43753.460879999991</v>
      </c>
      <c r="O1691" s="181">
        <v>35232.187599999997</v>
      </c>
      <c r="P1691" s="181">
        <v>36.575999999999993</v>
      </c>
      <c r="Q1691" s="181">
        <v>857436.73673599993</v>
      </c>
      <c r="R1691" s="181">
        <v>31627.033519999997</v>
      </c>
      <c r="S1691" s="181">
        <v>27038.655599999995</v>
      </c>
      <c r="T1691" s="181">
        <v>25.374599999999997</v>
      </c>
      <c r="U1691" s="181">
        <v>1910502.2435039997</v>
      </c>
      <c r="V1691" s="181">
        <v>0</v>
      </c>
    </row>
    <row r="1692" spans="1:22">
      <c r="A1692" s="2" t="s">
        <v>3402</v>
      </c>
      <c r="B1692" s="2" t="s">
        <v>3403</v>
      </c>
      <c r="C1692" s="181">
        <v>18.006736</v>
      </c>
      <c r="D1692" s="181">
        <v>2187.0924</v>
      </c>
      <c r="E1692" s="181">
        <v>0</v>
      </c>
      <c r="F1692" s="181">
        <v>0</v>
      </c>
      <c r="G1692" s="181">
        <v>0</v>
      </c>
      <c r="H1692" s="181">
        <v>0</v>
      </c>
      <c r="I1692" s="181">
        <v>0</v>
      </c>
      <c r="J1692" s="181">
        <v>0</v>
      </c>
      <c r="K1692" s="181">
        <v>0</v>
      </c>
      <c r="L1692" s="181">
        <v>0</v>
      </c>
      <c r="M1692" s="181">
        <v>2330895.9833599995</v>
      </c>
      <c r="N1692" s="181">
        <v>62926.325759999992</v>
      </c>
      <c r="O1692" s="181">
        <v>45883.77919999999</v>
      </c>
      <c r="P1692" s="181">
        <v>32.765999999999998</v>
      </c>
      <c r="Q1692" s="181">
        <v>749216.5660799999</v>
      </c>
      <c r="R1692" s="181">
        <v>37854.117839999999</v>
      </c>
      <c r="S1692" s="181">
        <v>29496.715199999999</v>
      </c>
      <c r="T1692" s="181">
        <v>18.516599999999997</v>
      </c>
      <c r="U1692" s="181">
        <v>2010397.7856479997</v>
      </c>
      <c r="V1692" s="181">
        <v>0</v>
      </c>
    </row>
    <row r="1693" spans="1:22">
      <c r="A1693" s="2" t="s">
        <v>3404</v>
      </c>
      <c r="B1693" s="2" t="s">
        <v>3405</v>
      </c>
      <c r="C1693" s="181">
        <v>15.625679999999999</v>
      </c>
      <c r="D1693" s="181">
        <v>1896.7703999999999</v>
      </c>
      <c r="E1693" s="181">
        <v>0</v>
      </c>
      <c r="F1693" s="181">
        <v>0</v>
      </c>
      <c r="G1693" s="181">
        <v>0</v>
      </c>
      <c r="H1693" s="181">
        <v>0</v>
      </c>
      <c r="I1693" s="181">
        <v>0</v>
      </c>
      <c r="J1693" s="181">
        <v>0</v>
      </c>
      <c r="K1693" s="181">
        <v>0</v>
      </c>
      <c r="L1693" s="181">
        <v>0</v>
      </c>
      <c r="M1693" s="181">
        <v>2135267.2133279997</v>
      </c>
      <c r="N1693" s="181">
        <v>56207.629519999995</v>
      </c>
      <c r="O1693" s="181">
        <v>41950.883839999995</v>
      </c>
      <c r="P1693" s="181">
        <v>33.527999999999999</v>
      </c>
      <c r="Q1693" s="181">
        <v>695106.48075199989</v>
      </c>
      <c r="R1693" s="181">
        <v>34085.093119999998</v>
      </c>
      <c r="S1693" s="181">
        <v>27366.396879999997</v>
      </c>
      <c r="T1693" s="181">
        <v>19.151599999999998</v>
      </c>
      <c r="U1693" s="181">
        <v>1831418.2726399999</v>
      </c>
      <c r="V1693" s="181">
        <v>0</v>
      </c>
    </row>
    <row r="1694" spans="1:22">
      <c r="A1694" s="2" t="s">
        <v>3406</v>
      </c>
      <c r="B1694" s="2" t="s">
        <v>3407</v>
      </c>
      <c r="C1694" s="181">
        <v>13.066044799999998</v>
      </c>
      <c r="D1694" s="181">
        <v>1574.1904</v>
      </c>
      <c r="E1694" s="181">
        <v>0</v>
      </c>
      <c r="F1694" s="181">
        <v>0</v>
      </c>
      <c r="G1694" s="181">
        <v>0</v>
      </c>
      <c r="H1694" s="181">
        <v>0</v>
      </c>
      <c r="I1694" s="181">
        <v>0</v>
      </c>
      <c r="J1694" s="181">
        <v>0</v>
      </c>
      <c r="K1694" s="181">
        <v>0</v>
      </c>
      <c r="L1694" s="181">
        <v>0</v>
      </c>
      <c r="M1694" s="181">
        <v>1868879.1009439998</v>
      </c>
      <c r="N1694" s="181">
        <v>48177.968159999997</v>
      </c>
      <c r="O1694" s="181">
        <v>36870.894</v>
      </c>
      <c r="P1694" s="181">
        <v>34.544000000000004</v>
      </c>
      <c r="Q1694" s="181">
        <v>616022.50988799997</v>
      </c>
      <c r="R1694" s="181">
        <v>29332.844559999998</v>
      </c>
      <c r="S1694" s="181">
        <v>24252.854719999996</v>
      </c>
      <c r="T1694" s="181">
        <v>19.7866</v>
      </c>
      <c r="U1694" s="181">
        <v>1590004.0457919997</v>
      </c>
      <c r="V1694" s="181">
        <v>0</v>
      </c>
    </row>
    <row r="1695" spans="1:22">
      <c r="A1695" s="2" t="s">
        <v>3408</v>
      </c>
      <c r="B1695" s="2" t="s">
        <v>3409</v>
      </c>
      <c r="C1695" s="181">
        <v>10.193895999999999</v>
      </c>
      <c r="D1695" s="181">
        <v>1219.3524</v>
      </c>
      <c r="E1695" s="181">
        <v>0</v>
      </c>
      <c r="F1695" s="181">
        <v>0</v>
      </c>
      <c r="G1695" s="181">
        <v>0</v>
      </c>
      <c r="H1695" s="181">
        <v>0</v>
      </c>
      <c r="I1695" s="181">
        <v>0</v>
      </c>
      <c r="J1695" s="181">
        <v>0</v>
      </c>
      <c r="K1695" s="181">
        <v>0</v>
      </c>
      <c r="L1695" s="181">
        <v>0</v>
      </c>
      <c r="M1695" s="181">
        <v>1523407.0176959999</v>
      </c>
      <c r="N1695" s="181">
        <v>38345.729759999995</v>
      </c>
      <c r="O1695" s="181">
        <v>29988.327119999998</v>
      </c>
      <c r="P1695" s="181">
        <v>35.305999999999997</v>
      </c>
      <c r="Q1695" s="181">
        <v>507802.33923199994</v>
      </c>
      <c r="R1695" s="181">
        <v>23433.501519999998</v>
      </c>
      <c r="S1695" s="181">
        <v>19992.218079999999</v>
      </c>
      <c r="T1695" s="181">
        <v>20.421600000000002</v>
      </c>
      <c r="U1695" s="181">
        <v>1281992.790848</v>
      </c>
      <c r="V1695" s="181">
        <v>0</v>
      </c>
    </row>
    <row r="1696" spans="1:22">
      <c r="A1696" s="2" t="s">
        <v>3410</v>
      </c>
      <c r="B1696" s="2" t="s">
        <v>3411</v>
      </c>
      <c r="C1696" s="181">
        <v>7.0687599999999993</v>
      </c>
      <c r="D1696" s="181">
        <v>838.70799999999997</v>
      </c>
      <c r="E1696" s="181">
        <v>0</v>
      </c>
      <c r="F1696" s="181">
        <v>0</v>
      </c>
      <c r="G1696" s="181">
        <v>0</v>
      </c>
      <c r="H1696" s="181">
        <v>0</v>
      </c>
      <c r="I1696" s="181">
        <v>0</v>
      </c>
      <c r="J1696" s="181">
        <v>0</v>
      </c>
      <c r="K1696" s="181">
        <v>0</v>
      </c>
      <c r="L1696" s="181">
        <v>0</v>
      </c>
      <c r="M1696" s="181">
        <v>1103013.2778399999</v>
      </c>
      <c r="N1696" s="181">
        <v>27202.526239999996</v>
      </c>
      <c r="O1696" s="181">
        <v>21630.924479999998</v>
      </c>
      <c r="P1696" s="181">
        <v>36.321999999999996</v>
      </c>
      <c r="Q1696" s="181">
        <v>373775.82018879999</v>
      </c>
      <c r="R1696" s="181">
        <v>16714.80528</v>
      </c>
      <c r="S1696" s="181">
        <v>14715.583471999998</v>
      </c>
      <c r="T1696" s="181">
        <v>21.081999999999997</v>
      </c>
      <c r="U1696" s="181">
        <v>915709.13631999993</v>
      </c>
      <c r="V1696" s="181">
        <v>0</v>
      </c>
    </row>
    <row r="1697" spans="1:22">
      <c r="A1697" s="2" t="s">
        <v>3412</v>
      </c>
      <c r="B1697" s="2" t="s">
        <v>3413</v>
      </c>
      <c r="C1697" s="181">
        <v>21.727135999999998</v>
      </c>
      <c r="D1697" s="181">
        <v>2638.7043999999996</v>
      </c>
      <c r="E1697" s="181">
        <v>0</v>
      </c>
      <c r="F1697" s="181">
        <v>0</v>
      </c>
      <c r="G1697" s="181">
        <v>0</v>
      </c>
      <c r="H1697" s="181">
        <v>0</v>
      </c>
      <c r="I1697" s="181">
        <v>0</v>
      </c>
      <c r="J1697" s="181">
        <v>0</v>
      </c>
      <c r="K1697" s="181">
        <v>0</v>
      </c>
      <c r="L1697" s="181">
        <v>0</v>
      </c>
      <c r="M1697" s="181">
        <v>2701341.9521439997</v>
      </c>
      <c r="N1697" s="181">
        <v>76855.330159999998</v>
      </c>
      <c r="O1697" s="181">
        <v>60796.007439999994</v>
      </c>
      <c r="P1697" s="181">
        <v>32.003999999999998</v>
      </c>
      <c r="Q1697" s="181">
        <v>2701341.9521439997</v>
      </c>
      <c r="R1697" s="181">
        <v>76855.330159999998</v>
      </c>
      <c r="S1697" s="181">
        <v>60796.007439999994</v>
      </c>
      <c r="T1697" s="181">
        <v>32.003999999999998</v>
      </c>
      <c r="U1697" s="181">
        <v>4661791.966719999</v>
      </c>
      <c r="V1697" s="181">
        <v>0</v>
      </c>
    </row>
    <row r="1698" spans="1:22">
      <c r="A1698" s="2" t="s">
        <v>3414</v>
      </c>
      <c r="B1698" s="2" t="s">
        <v>3415</v>
      </c>
      <c r="C1698" s="181">
        <v>18.899631999999997</v>
      </c>
      <c r="D1698" s="181">
        <v>2270.9631999999997</v>
      </c>
      <c r="E1698" s="181">
        <v>0</v>
      </c>
      <c r="F1698" s="181">
        <v>0</v>
      </c>
      <c r="G1698" s="181">
        <v>0</v>
      </c>
      <c r="H1698" s="181">
        <v>0</v>
      </c>
      <c r="I1698" s="181">
        <v>0</v>
      </c>
      <c r="J1698" s="181">
        <v>0</v>
      </c>
      <c r="K1698" s="181">
        <v>0</v>
      </c>
      <c r="L1698" s="181">
        <v>0</v>
      </c>
      <c r="M1698" s="181">
        <v>2430791.5255039996</v>
      </c>
      <c r="N1698" s="181">
        <v>67842.444959999993</v>
      </c>
      <c r="O1698" s="181">
        <v>54732.793759999993</v>
      </c>
      <c r="P1698" s="181">
        <v>32.765999999999998</v>
      </c>
      <c r="Q1698" s="181">
        <v>2430791.5255039996</v>
      </c>
      <c r="R1698" s="181">
        <v>67842.444959999993</v>
      </c>
      <c r="S1698" s="181">
        <v>54732.793759999993</v>
      </c>
      <c r="T1698" s="181">
        <v>32.765999999999998</v>
      </c>
      <c r="U1698" s="181">
        <v>4116528.7991839997</v>
      </c>
      <c r="V1698" s="181">
        <v>0</v>
      </c>
    </row>
    <row r="1699" spans="1:22">
      <c r="A1699" s="2" t="s">
        <v>3416</v>
      </c>
      <c r="B1699" s="2" t="s">
        <v>3417</v>
      </c>
      <c r="C1699" s="181">
        <v>15.625679999999999</v>
      </c>
      <c r="D1699" s="181">
        <v>1877.4156</v>
      </c>
      <c r="E1699" s="181">
        <v>0</v>
      </c>
      <c r="F1699" s="181">
        <v>0</v>
      </c>
      <c r="G1699" s="181">
        <v>0</v>
      </c>
      <c r="H1699" s="181">
        <v>0</v>
      </c>
      <c r="I1699" s="181">
        <v>0</v>
      </c>
      <c r="J1699" s="181">
        <v>0</v>
      </c>
      <c r="K1699" s="181">
        <v>0</v>
      </c>
      <c r="L1699" s="181">
        <v>0</v>
      </c>
      <c r="M1699" s="181">
        <v>2097806.385024</v>
      </c>
      <c r="N1699" s="181">
        <v>57354.723999999995</v>
      </c>
      <c r="O1699" s="181">
        <v>47194.744319999991</v>
      </c>
      <c r="P1699" s="181">
        <v>33.527999999999999</v>
      </c>
      <c r="Q1699" s="181">
        <v>2097806.385024</v>
      </c>
      <c r="R1699" s="181">
        <v>57354.723999999995</v>
      </c>
      <c r="S1699" s="181">
        <v>47194.744319999991</v>
      </c>
      <c r="T1699" s="181">
        <v>33.527999999999999</v>
      </c>
      <c r="U1699" s="181">
        <v>3475532.4037599997</v>
      </c>
      <c r="V1699" s="181">
        <v>0</v>
      </c>
    </row>
    <row r="1700" spans="1:22">
      <c r="A1700" s="2" t="s">
        <v>3418</v>
      </c>
      <c r="B1700" s="2" t="s">
        <v>3419</v>
      </c>
      <c r="C1700" s="181">
        <v>12.0987408</v>
      </c>
      <c r="D1700" s="181">
        <v>1445.1584</v>
      </c>
      <c r="E1700" s="181">
        <v>0</v>
      </c>
      <c r="F1700" s="181">
        <v>0</v>
      </c>
      <c r="G1700" s="181">
        <v>0</v>
      </c>
      <c r="H1700" s="181">
        <v>0</v>
      </c>
      <c r="I1700" s="181">
        <v>0</v>
      </c>
      <c r="J1700" s="181">
        <v>0</v>
      </c>
      <c r="K1700" s="181">
        <v>0</v>
      </c>
      <c r="L1700" s="181">
        <v>0</v>
      </c>
      <c r="M1700" s="181">
        <v>1685737.2736799999</v>
      </c>
      <c r="N1700" s="181">
        <v>45228.296639999993</v>
      </c>
      <c r="O1700" s="181">
        <v>37854.117839999999</v>
      </c>
      <c r="P1700" s="181">
        <v>34.29</v>
      </c>
      <c r="Q1700" s="181">
        <v>1685737.2736799999</v>
      </c>
      <c r="R1700" s="181">
        <v>45228.296639999993</v>
      </c>
      <c r="S1700" s="181">
        <v>37854.117839999999</v>
      </c>
      <c r="T1700" s="181">
        <v>34.29</v>
      </c>
      <c r="U1700" s="181">
        <v>2730478.1519359997</v>
      </c>
      <c r="V1700" s="181">
        <v>0</v>
      </c>
    </row>
    <row r="1701" spans="1:22">
      <c r="A1701" s="2" t="s">
        <v>3420</v>
      </c>
      <c r="B1701" s="2" t="s">
        <v>3421</v>
      </c>
      <c r="C1701" s="181">
        <v>8.3336959999999998</v>
      </c>
      <c r="D1701" s="181">
        <v>993.54639999999995</v>
      </c>
      <c r="E1701" s="181">
        <v>0</v>
      </c>
      <c r="F1701" s="181">
        <v>0</v>
      </c>
      <c r="G1701" s="181">
        <v>0</v>
      </c>
      <c r="H1701" s="181">
        <v>0</v>
      </c>
      <c r="I1701" s="181">
        <v>0</v>
      </c>
      <c r="J1701" s="181">
        <v>0</v>
      </c>
      <c r="K1701" s="181">
        <v>0</v>
      </c>
      <c r="L1701" s="181">
        <v>0</v>
      </c>
      <c r="M1701" s="181">
        <v>1207071.1342399998</v>
      </c>
      <c r="N1701" s="181">
        <v>31627.033519999997</v>
      </c>
      <c r="O1701" s="181">
        <v>27202.526239999996</v>
      </c>
      <c r="P1701" s="181">
        <v>34.798000000000002</v>
      </c>
      <c r="Q1701" s="181">
        <v>1207071.1342399998</v>
      </c>
      <c r="R1701" s="181">
        <v>31627.033519999997</v>
      </c>
      <c r="S1701" s="181">
        <v>27202.526239999996</v>
      </c>
      <c r="T1701" s="181">
        <v>34.798000000000002</v>
      </c>
      <c r="U1701" s="181">
        <v>1906339.9292479998</v>
      </c>
      <c r="V1701" s="181">
        <v>0</v>
      </c>
    </row>
    <row r="1702" spans="1:22">
      <c r="A1702" s="2" t="s">
        <v>3422</v>
      </c>
      <c r="B1702" s="2" t="s">
        <v>3423</v>
      </c>
      <c r="C1702" s="181">
        <v>18.006736</v>
      </c>
      <c r="D1702" s="181">
        <v>2187.0924</v>
      </c>
      <c r="E1702" s="181">
        <v>0</v>
      </c>
      <c r="F1702" s="181">
        <v>0</v>
      </c>
      <c r="G1702" s="181">
        <v>0</v>
      </c>
      <c r="H1702" s="181">
        <v>0</v>
      </c>
      <c r="I1702" s="181">
        <v>0</v>
      </c>
      <c r="J1702" s="181">
        <v>0</v>
      </c>
      <c r="K1702" s="181">
        <v>0</v>
      </c>
      <c r="L1702" s="181">
        <v>0</v>
      </c>
      <c r="M1702" s="181">
        <v>1977099.2715999999</v>
      </c>
      <c r="N1702" s="181">
        <v>58829.559759999989</v>
      </c>
      <c r="O1702" s="181">
        <v>44572.814079999996</v>
      </c>
      <c r="P1702" s="181">
        <v>29.971999999999998</v>
      </c>
      <c r="Q1702" s="181">
        <v>1152961.0489119999</v>
      </c>
      <c r="R1702" s="181">
        <v>46211.520479999992</v>
      </c>
      <c r="S1702" s="181">
        <v>36215.411439999996</v>
      </c>
      <c r="T1702" s="181">
        <v>22.961600000000001</v>
      </c>
      <c r="U1702" s="181">
        <v>2563985.581696</v>
      </c>
      <c r="V1702" s="181">
        <v>0</v>
      </c>
    </row>
    <row r="1703" spans="1:22">
      <c r="A1703" s="2" t="s">
        <v>3424</v>
      </c>
      <c r="B1703" s="2" t="s">
        <v>3425</v>
      </c>
      <c r="C1703" s="181">
        <v>15.625679999999999</v>
      </c>
      <c r="D1703" s="181">
        <v>1896.7703999999999</v>
      </c>
      <c r="E1703" s="181">
        <v>0</v>
      </c>
      <c r="F1703" s="181">
        <v>0</v>
      </c>
      <c r="G1703" s="181">
        <v>0</v>
      </c>
      <c r="H1703" s="181">
        <v>0</v>
      </c>
      <c r="I1703" s="181">
        <v>0</v>
      </c>
      <c r="J1703" s="181">
        <v>0</v>
      </c>
      <c r="K1703" s="181">
        <v>0</v>
      </c>
      <c r="L1703" s="181">
        <v>0</v>
      </c>
      <c r="M1703" s="181">
        <v>1806444.3871039997</v>
      </c>
      <c r="N1703" s="181">
        <v>52438.604800000001</v>
      </c>
      <c r="O1703" s="181">
        <v>40639.918719999994</v>
      </c>
      <c r="P1703" s="181">
        <v>30.987999999999996</v>
      </c>
      <c r="Q1703" s="181">
        <v>1057227.8210239999</v>
      </c>
      <c r="R1703" s="181">
        <v>41295.401279999998</v>
      </c>
      <c r="S1703" s="181">
        <v>33265.739919999993</v>
      </c>
      <c r="T1703" s="181">
        <v>23.622</v>
      </c>
      <c r="U1703" s="181">
        <v>2301759.783568</v>
      </c>
      <c r="V1703" s="181">
        <v>0</v>
      </c>
    </row>
    <row r="1704" spans="1:22">
      <c r="A1704" s="2" t="s">
        <v>3426</v>
      </c>
      <c r="B1704" s="2" t="s">
        <v>3427</v>
      </c>
      <c r="C1704" s="181">
        <v>13.066044799999998</v>
      </c>
      <c r="D1704" s="181">
        <v>1574.1904</v>
      </c>
      <c r="E1704" s="181">
        <v>0</v>
      </c>
      <c r="F1704" s="181">
        <v>0</v>
      </c>
      <c r="G1704" s="181">
        <v>0</v>
      </c>
      <c r="H1704" s="181">
        <v>0</v>
      </c>
      <c r="I1704" s="181">
        <v>0</v>
      </c>
      <c r="J1704" s="181">
        <v>0</v>
      </c>
      <c r="K1704" s="181">
        <v>0</v>
      </c>
      <c r="L1704" s="181">
        <v>0</v>
      </c>
      <c r="M1704" s="181">
        <v>1577517.1030239998</v>
      </c>
      <c r="N1704" s="181">
        <v>44900.555359999998</v>
      </c>
      <c r="O1704" s="181">
        <v>35559.928879999992</v>
      </c>
      <c r="P1704" s="181">
        <v>31.75</v>
      </c>
      <c r="Q1704" s="181">
        <v>928196.07908799988</v>
      </c>
      <c r="R1704" s="181">
        <v>35396.058239999998</v>
      </c>
      <c r="S1704" s="181">
        <v>29168.973919999997</v>
      </c>
      <c r="T1704" s="181">
        <v>24.282399999999999</v>
      </c>
      <c r="U1704" s="181">
        <v>1977099.2715999999</v>
      </c>
      <c r="V1704" s="181">
        <v>0</v>
      </c>
    </row>
    <row r="1705" spans="1:22">
      <c r="A1705" s="2" t="s">
        <v>3428</v>
      </c>
      <c r="B1705" s="2" t="s">
        <v>3429</v>
      </c>
      <c r="C1705" s="181">
        <v>10.193895999999999</v>
      </c>
      <c r="D1705" s="181">
        <v>1219.3524</v>
      </c>
      <c r="E1705" s="181">
        <v>0</v>
      </c>
      <c r="F1705" s="181">
        <v>0</v>
      </c>
      <c r="G1705" s="181">
        <v>0</v>
      </c>
      <c r="H1705" s="181">
        <v>0</v>
      </c>
      <c r="I1705" s="181">
        <v>0</v>
      </c>
      <c r="J1705" s="181">
        <v>0</v>
      </c>
      <c r="K1705" s="181">
        <v>0</v>
      </c>
      <c r="L1705" s="181">
        <v>0</v>
      </c>
      <c r="M1705" s="181">
        <v>1286155.1051039998</v>
      </c>
      <c r="N1705" s="181">
        <v>35723.79952</v>
      </c>
      <c r="O1705" s="181">
        <v>28841.232639999998</v>
      </c>
      <c r="P1705" s="181">
        <v>32.512</v>
      </c>
      <c r="Q1705" s="181">
        <v>757541.19459199999</v>
      </c>
      <c r="R1705" s="181">
        <v>28185.750079999998</v>
      </c>
      <c r="S1705" s="181">
        <v>23925.113439999997</v>
      </c>
      <c r="T1705" s="181">
        <v>24.9682</v>
      </c>
      <c r="U1705" s="181">
        <v>1573354.7887679997</v>
      </c>
      <c r="V1705" s="181">
        <v>0</v>
      </c>
    </row>
    <row r="1706" spans="1:22">
      <c r="A1706" s="2" t="s">
        <v>3430</v>
      </c>
      <c r="B1706" s="2" t="s">
        <v>3431</v>
      </c>
      <c r="C1706" s="181">
        <v>7.0687599999999993</v>
      </c>
      <c r="D1706" s="181">
        <v>838.70799999999997</v>
      </c>
      <c r="E1706" s="181">
        <v>0</v>
      </c>
      <c r="F1706" s="181">
        <v>0</v>
      </c>
      <c r="G1706" s="181">
        <v>0</v>
      </c>
      <c r="H1706" s="181">
        <v>0</v>
      </c>
      <c r="I1706" s="181">
        <v>0</v>
      </c>
      <c r="J1706" s="181">
        <v>0</v>
      </c>
      <c r="K1706" s="181">
        <v>0</v>
      </c>
      <c r="L1706" s="181">
        <v>0</v>
      </c>
      <c r="M1706" s="181">
        <v>928196.07908799988</v>
      </c>
      <c r="N1706" s="181">
        <v>25236.078559999998</v>
      </c>
      <c r="O1706" s="181">
        <v>20975.441919999997</v>
      </c>
      <c r="P1706" s="181">
        <v>33.274000000000001</v>
      </c>
      <c r="Q1706" s="181">
        <v>553587.79604799999</v>
      </c>
      <c r="R1706" s="181">
        <v>19992.218079999999</v>
      </c>
      <c r="S1706" s="181">
        <v>17370.287840000001</v>
      </c>
      <c r="T1706" s="181">
        <v>25.654</v>
      </c>
      <c r="U1706" s="181">
        <v>1111337.9063519998</v>
      </c>
      <c r="V1706" s="181">
        <v>0</v>
      </c>
    </row>
    <row r="1707" spans="1:22">
      <c r="A1707" s="2" t="s">
        <v>3432</v>
      </c>
      <c r="B1707" s="2" t="s">
        <v>3433</v>
      </c>
      <c r="C1707" s="181">
        <v>18.006736</v>
      </c>
      <c r="D1707" s="181">
        <v>2187.0924</v>
      </c>
      <c r="E1707" s="181">
        <v>0</v>
      </c>
      <c r="F1707" s="181">
        <v>0</v>
      </c>
      <c r="G1707" s="181">
        <v>0</v>
      </c>
      <c r="H1707" s="181">
        <v>0</v>
      </c>
      <c r="I1707" s="181">
        <v>0</v>
      </c>
      <c r="J1707" s="181">
        <v>0</v>
      </c>
      <c r="K1707" s="181">
        <v>0</v>
      </c>
      <c r="L1707" s="181">
        <v>0</v>
      </c>
      <c r="M1707" s="181">
        <v>1573354.7887679997</v>
      </c>
      <c r="N1707" s="181">
        <v>53257.957999999999</v>
      </c>
      <c r="O1707" s="181">
        <v>41295.401279999998</v>
      </c>
      <c r="P1707" s="181">
        <v>26.923999999999999</v>
      </c>
      <c r="Q1707" s="181">
        <v>1573354.7887679997</v>
      </c>
      <c r="R1707" s="181">
        <v>53257.957999999999</v>
      </c>
      <c r="S1707" s="181">
        <v>41295.401279999998</v>
      </c>
      <c r="T1707" s="181">
        <v>26.923999999999999</v>
      </c>
      <c r="U1707" s="181">
        <v>2763776.6659839996</v>
      </c>
      <c r="V1707" s="181">
        <v>0</v>
      </c>
    </row>
    <row r="1708" spans="1:22">
      <c r="A1708" s="2" t="s">
        <v>3434</v>
      </c>
      <c r="B1708" s="2" t="s">
        <v>3435</v>
      </c>
      <c r="C1708" s="181">
        <v>15.625679999999999</v>
      </c>
      <c r="D1708" s="181">
        <v>1896.7703999999999</v>
      </c>
      <c r="E1708" s="181">
        <v>0</v>
      </c>
      <c r="F1708" s="181">
        <v>0</v>
      </c>
      <c r="G1708" s="181">
        <v>0</v>
      </c>
      <c r="H1708" s="181">
        <v>0</v>
      </c>
      <c r="I1708" s="181">
        <v>0</v>
      </c>
      <c r="J1708" s="181">
        <v>0</v>
      </c>
      <c r="K1708" s="181">
        <v>0</v>
      </c>
      <c r="L1708" s="181">
        <v>0</v>
      </c>
      <c r="M1708" s="181">
        <v>1435998.4183199999</v>
      </c>
      <c r="N1708" s="181">
        <v>47522.485599999993</v>
      </c>
      <c r="O1708" s="181">
        <v>37690.247199999991</v>
      </c>
      <c r="P1708" s="181">
        <v>27.431999999999999</v>
      </c>
      <c r="Q1708" s="181">
        <v>1435998.4183199999</v>
      </c>
      <c r="R1708" s="181">
        <v>47522.485599999993</v>
      </c>
      <c r="S1708" s="181">
        <v>37690.247199999991</v>
      </c>
      <c r="T1708" s="181">
        <v>27.431999999999999</v>
      </c>
      <c r="U1708" s="181">
        <v>2472414.6680640001</v>
      </c>
      <c r="V1708" s="181">
        <v>0</v>
      </c>
    </row>
    <row r="1709" spans="1:22">
      <c r="A1709" s="2" t="s">
        <v>3436</v>
      </c>
      <c r="B1709" s="2" t="s">
        <v>3437</v>
      </c>
      <c r="C1709" s="181">
        <v>13.066044799999998</v>
      </c>
      <c r="D1709" s="181">
        <v>1574.1904</v>
      </c>
      <c r="E1709" s="181">
        <v>0</v>
      </c>
      <c r="F1709" s="181">
        <v>0</v>
      </c>
      <c r="G1709" s="181">
        <v>0</v>
      </c>
      <c r="H1709" s="181">
        <v>0</v>
      </c>
      <c r="I1709" s="181">
        <v>0</v>
      </c>
      <c r="J1709" s="181">
        <v>0</v>
      </c>
      <c r="K1709" s="181">
        <v>0</v>
      </c>
      <c r="L1709" s="181">
        <v>0</v>
      </c>
      <c r="M1709" s="181">
        <v>1257018.9053119998</v>
      </c>
      <c r="N1709" s="181">
        <v>40639.918719999994</v>
      </c>
      <c r="O1709" s="181">
        <v>32937.998639999991</v>
      </c>
      <c r="P1709" s="181">
        <v>28.194000000000003</v>
      </c>
      <c r="Q1709" s="181">
        <v>1257018.9053119998</v>
      </c>
      <c r="R1709" s="181">
        <v>40639.918719999994</v>
      </c>
      <c r="S1709" s="181">
        <v>32937.998639999991</v>
      </c>
      <c r="T1709" s="181">
        <v>28.194000000000003</v>
      </c>
      <c r="U1709" s="181">
        <v>2114455.6420479999</v>
      </c>
      <c r="V1709" s="181">
        <v>0</v>
      </c>
    </row>
    <row r="1710" spans="1:22">
      <c r="A1710" s="2" t="s">
        <v>3438</v>
      </c>
      <c r="B1710" s="2" t="s">
        <v>3439</v>
      </c>
      <c r="C1710" s="181">
        <v>10.193895999999999</v>
      </c>
      <c r="D1710" s="181">
        <v>1219.3524</v>
      </c>
      <c r="E1710" s="181">
        <v>0</v>
      </c>
      <c r="F1710" s="181">
        <v>0</v>
      </c>
      <c r="G1710" s="181">
        <v>0</v>
      </c>
      <c r="H1710" s="181">
        <v>0</v>
      </c>
      <c r="I1710" s="181">
        <v>0</v>
      </c>
      <c r="J1710" s="181">
        <v>0</v>
      </c>
      <c r="K1710" s="181">
        <v>0</v>
      </c>
      <c r="L1710" s="181">
        <v>0</v>
      </c>
      <c r="M1710" s="181">
        <v>1023929.3069759998</v>
      </c>
      <c r="N1710" s="181">
        <v>32282.516079999998</v>
      </c>
      <c r="O1710" s="181">
        <v>26874.784959999997</v>
      </c>
      <c r="P1710" s="181">
        <v>28.955999999999996</v>
      </c>
      <c r="Q1710" s="181">
        <v>1023929.3069759998</v>
      </c>
      <c r="R1710" s="181">
        <v>32282.516079999998</v>
      </c>
      <c r="S1710" s="181">
        <v>26874.784959999997</v>
      </c>
      <c r="T1710" s="181">
        <v>28.955999999999996</v>
      </c>
      <c r="U1710" s="181">
        <v>1677412.6451679999</v>
      </c>
      <c r="V1710" s="181">
        <v>0</v>
      </c>
    </row>
    <row r="1711" spans="1:22">
      <c r="A1711" s="2" t="s">
        <v>3440</v>
      </c>
      <c r="B1711" s="2" t="s">
        <v>3441</v>
      </c>
      <c r="C1711" s="181">
        <v>7.0687599999999993</v>
      </c>
      <c r="D1711" s="181">
        <v>838.70799999999997</v>
      </c>
      <c r="E1711" s="181">
        <v>0</v>
      </c>
      <c r="F1711" s="181">
        <v>0</v>
      </c>
      <c r="G1711" s="181">
        <v>0</v>
      </c>
      <c r="H1711" s="181">
        <v>0</v>
      </c>
      <c r="I1711" s="181">
        <v>0</v>
      </c>
      <c r="J1711" s="181">
        <v>0</v>
      </c>
      <c r="K1711" s="181">
        <v>0</v>
      </c>
      <c r="L1711" s="181">
        <v>0</v>
      </c>
      <c r="M1711" s="181">
        <v>740891.93756799994</v>
      </c>
      <c r="N1711" s="181">
        <v>22941.889599999995</v>
      </c>
      <c r="O1711" s="181">
        <v>19500.606159999996</v>
      </c>
      <c r="P1711" s="181">
        <v>29.717999999999996</v>
      </c>
      <c r="Q1711" s="181">
        <v>740891.93756799994</v>
      </c>
      <c r="R1711" s="181">
        <v>22941.889599999995</v>
      </c>
      <c r="S1711" s="181">
        <v>19500.606159999996</v>
      </c>
      <c r="T1711" s="181">
        <v>29.717999999999996</v>
      </c>
      <c r="U1711" s="181">
        <v>1182097.2487039999</v>
      </c>
      <c r="V1711" s="181">
        <v>0</v>
      </c>
    </row>
    <row r="1712" spans="1:22">
      <c r="A1712" s="2" t="s">
        <v>3442</v>
      </c>
      <c r="B1712" s="2" t="s">
        <v>3443</v>
      </c>
      <c r="C1712" s="181">
        <v>14.077993600000001</v>
      </c>
      <c r="D1712" s="181">
        <v>1703.2224000000001</v>
      </c>
      <c r="E1712" s="181">
        <v>0</v>
      </c>
      <c r="F1712" s="181">
        <v>0</v>
      </c>
      <c r="G1712" s="181">
        <v>0</v>
      </c>
      <c r="H1712" s="181">
        <v>0</v>
      </c>
      <c r="I1712" s="181">
        <v>0</v>
      </c>
      <c r="J1712" s="181">
        <v>0</v>
      </c>
      <c r="K1712" s="181">
        <v>0</v>
      </c>
      <c r="L1712" s="181">
        <v>0</v>
      </c>
      <c r="M1712" s="181">
        <v>1215395.7627519998</v>
      </c>
      <c r="N1712" s="181">
        <v>41131.53063999999</v>
      </c>
      <c r="O1712" s="181">
        <v>31790.904159999995</v>
      </c>
      <c r="P1712" s="181">
        <v>26.669999999999998</v>
      </c>
      <c r="Q1712" s="181">
        <v>907384.50780799997</v>
      </c>
      <c r="R1712" s="181">
        <v>36051.540800000002</v>
      </c>
      <c r="S1712" s="181">
        <v>28513.491359999996</v>
      </c>
      <c r="T1712" s="181">
        <v>23.063199999999998</v>
      </c>
      <c r="U1712" s="181">
        <v>1806444.3871039997</v>
      </c>
      <c r="V1712" s="181">
        <v>0</v>
      </c>
    </row>
    <row r="1713" spans="1:22">
      <c r="A1713" s="2" t="s">
        <v>3444</v>
      </c>
      <c r="B1713" s="2" t="s">
        <v>3445</v>
      </c>
      <c r="C1713" s="181">
        <v>11.8011088</v>
      </c>
      <c r="D1713" s="181">
        <v>1425.8036</v>
      </c>
      <c r="E1713" s="181">
        <v>0</v>
      </c>
      <c r="F1713" s="181">
        <v>0</v>
      </c>
      <c r="G1713" s="181">
        <v>0</v>
      </c>
      <c r="H1713" s="181">
        <v>0</v>
      </c>
      <c r="I1713" s="181">
        <v>0</v>
      </c>
      <c r="J1713" s="181">
        <v>0</v>
      </c>
      <c r="K1713" s="181">
        <v>0</v>
      </c>
      <c r="L1713" s="181">
        <v>0</v>
      </c>
      <c r="M1713" s="181">
        <v>1069714.7637919998</v>
      </c>
      <c r="N1713" s="181">
        <v>35396.058239999998</v>
      </c>
      <c r="O1713" s="181">
        <v>28185.750079999998</v>
      </c>
      <c r="P1713" s="181">
        <v>27.431999999999999</v>
      </c>
      <c r="Q1713" s="181">
        <v>803326.65140799992</v>
      </c>
      <c r="R1713" s="181">
        <v>31135.421599999994</v>
      </c>
      <c r="S1713" s="181">
        <v>25236.078559999998</v>
      </c>
      <c r="T1713" s="181">
        <v>23.748999999999999</v>
      </c>
      <c r="U1713" s="181">
        <v>1556705.531744</v>
      </c>
      <c r="V1713" s="181">
        <v>0</v>
      </c>
    </row>
    <row r="1714" spans="1:22">
      <c r="A1714" s="2" t="s">
        <v>3446</v>
      </c>
      <c r="B1714" s="2" t="s">
        <v>3447</v>
      </c>
      <c r="C1714" s="181">
        <v>9.2414735999999991</v>
      </c>
      <c r="D1714" s="181">
        <v>1103.2236</v>
      </c>
      <c r="E1714" s="181">
        <v>0</v>
      </c>
      <c r="F1714" s="181">
        <v>0</v>
      </c>
      <c r="G1714" s="181">
        <v>0</v>
      </c>
      <c r="H1714" s="181">
        <v>0</v>
      </c>
      <c r="I1714" s="181">
        <v>0</v>
      </c>
      <c r="J1714" s="181">
        <v>0</v>
      </c>
      <c r="K1714" s="181">
        <v>0</v>
      </c>
      <c r="L1714" s="181">
        <v>0</v>
      </c>
      <c r="M1714" s="181">
        <v>878248.30801599985</v>
      </c>
      <c r="N1714" s="181">
        <v>28349.620719999995</v>
      </c>
      <c r="O1714" s="181">
        <v>23105.760239999996</v>
      </c>
      <c r="P1714" s="181">
        <v>28.194000000000003</v>
      </c>
      <c r="Q1714" s="181">
        <v>661807.96670400002</v>
      </c>
      <c r="R1714" s="181">
        <v>24908.33728</v>
      </c>
      <c r="S1714" s="181">
        <v>20811.57128</v>
      </c>
      <c r="T1714" s="181">
        <v>24.460199999999997</v>
      </c>
      <c r="U1714" s="181">
        <v>1248694.2767999999</v>
      </c>
      <c r="V1714" s="181">
        <v>0</v>
      </c>
    </row>
    <row r="1715" spans="1:22">
      <c r="A1715" s="2" t="s">
        <v>3448</v>
      </c>
      <c r="B1715" s="2" t="s">
        <v>3449</v>
      </c>
      <c r="C1715" s="181">
        <v>6.4288512000000004</v>
      </c>
      <c r="D1715" s="181">
        <v>767.74039999999991</v>
      </c>
      <c r="E1715" s="181">
        <v>0</v>
      </c>
      <c r="F1715" s="181">
        <v>0</v>
      </c>
      <c r="G1715" s="181">
        <v>0</v>
      </c>
      <c r="H1715" s="181">
        <v>0</v>
      </c>
      <c r="I1715" s="181">
        <v>0</v>
      </c>
      <c r="J1715" s="181">
        <v>0</v>
      </c>
      <c r="K1715" s="181">
        <v>0</v>
      </c>
      <c r="L1715" s="181">
        <v>0</v>
      </c>
      <c r="M1715" s="181">
        <v>640996.39542399999</v>
      </c>
      <c r="N1715" s="181">
        <v>20156.088719999996</v>
      </c>
      <c r="O1715" s="181">
        <v>16878.675919999998</v>
      </c>
      <c r="P1715" s="181">
        <v>28.955999999999996</v>
      </c>
      <c r="Q1715" s="181">
        <v>482828.45369599992</v>
      </c>
      <c r="R1715" s="181">
        <v>17861.89976</v>
      </c>
      <c r="S1715" s="181">
        <v>15256.356583999999</v>
      </c>
      <c r="T1715" s="181">
        <v>25.145999999999997</v>
      </c>
      <c r="U1715" s="181">
        <v>886572.93652799982</v>
      </c>
      <c r="V1715" s="181">
        <v>0</v>
      </c>
    </row>
    <row r="1716" spans="1:22">
      <c r="A1716" s="2" t="s">
        <v>3450</v>
      </c>
      <c r="B1716" s="2" t="s">
        <v>3451</v>
      </c>
      <c r="C1716" s="181">
        <v>12.500544</v>
      </c>
      <c r="D1716" s="181">
        <v>1516.126</v>
      </c>
      <c r="E1716" s="181">
        <v>0</v>
      </c>
      <c r="F1716" s="181">
        <v>0</v>
      </c>
      <c r="G1716" s="181">
        <v>0</v>
      </c>
      <c r="H1716" s="181">
        <v>0</v>
      </c>
      <c r="I1716" s="181">
        <v>0</v>
      </c>
      <c r="J1716" s="181">
        <v>0</v>
      </c>
      <c r="K1716" s="181">
        <v>0</v>
      </c>
      <c r="L1716" s="181">
        <v>0</v>
      </c>
      <c r="M1716" s="181">
        <v>990630.79292799986</v>
      </c>
      <c r="N1716" s="181">
        <v>34576.705039999993</v>
      </c>
      <c r="O1716" s="181">
        <v>26055.431759999999</v>
      </c>
      <c r="P1716" s="181">
        <v>25.654</v>
      </c>
      <c r="Q1716" s="181">
        <v>516126.96774399997</v>
      </c>
      <c r="R1716" s="181">
        <v>25891.561119999998</v>
      </c>
      <c r="S1716" s="181">
        <v>20319.959359999997</v>
      </c>
      <c r="T1716" s="181">
        <v>18.414999999999999</v>
      </c>
      <c r="U1716" s="181">
        <v>1194584.191472</v>
      </c>
      <c r="V1716" s="181">
        <v>0</v>
      </c>
    </row>
    <row r="1717" spans="1:22">
      <c r="A1717" s="2" t="s">
        <v>3452</v>
      </c>
      <c r="B1717" s="2" t="s">
        <v>3453</v>
      </c>
      <c r="C1717" s="181">
        <v>10.536172799999999</v>
      </c>
      <c r="D1717" s="181">
        <v>1270.9651999999999</v>
      </c>
      <c r="E1717" s="181">
        <v>0</v>
      </c>
      <c r="F1717" s="181">
        <v>0</v>
      </c>
      <c r="G1717" s="181">
        <v>0</v>
      </c>
      <c r="H1717" s="181">
        <v>0</v>
      </c>
      <c r="I1717" s="181">
        <v>0</v>
      </c>
      <c r="J1717" s="181">
        <v>0</v>
      </c>
      <c r="K1717" s="181">
        <v>0</v>
      </c>
      <c r="L1717" s="181">
        <v>0</v>
      </c>
      <c r="M1717" s="181">
        <v>886572.93652799982</v>
      </c>
      <c r="N1717" s="181">
        <v>29988.327119999998</v>
      </c>
      <c r="O1717" s="181">
        <v>23269.630879999997</v>
      </c>
      <c r="P1717" s="181">
        <v>26.416</v>
      </c>
      <c r="Q1717" s="181">
        <v>462016.88241600001</v>
      </c>
      <c r="R1717" s="181">
        <v>22614.148319999997</v>
      </c>
      <c r="S1717" s="181">
        <v>18189.641039999999</v>
      </c>
      <c r="T1717" s="181">
        <v>19.075399999999998</v>
      </c>
      <c r="U1717" s="181">
        <v>1048903.192512</v>
      </c>
      <c r="V1717" s="181">
        <v>0</v>
      </c>
    </row>
    <row r="1718" spans="1:22">
      <c r="A1718" s="2" t="s">
        <v>3454</v>
      </c>
      <c r="B1718" s="2" t="s">
        <v>3455</v>
      </c>
      <c r="C1718" s="181">
        <v>8.2890511999999994</v>
      </c>
      <c r="D1718" s="181">
        <v>993.54639999999995</v>
      </c>
      <c r="E1718" s="181">
        <v>0</v>
      </c>
      <c r="F1718" s="181">
        <v>0</v>
      </c>
      <c r="G1718" s="181">
        <v>0</v>
      </c>
      <c r="H1718" s="181">
        <v>0</v>
      </c>
      <c r="I1718" s="181">
        <v>0</v>
      </c>
      <c r="J1718" s="181">
        <v>0</v>
      </c>
      <c r="K1718" s="181">
        <v>0</v>
      </c>
      <c r="L1718" s="181">
        <v>0</v>
      </c>
      <c r="M1718" s="181">
        <v>736729.62331199995</v>
      </c>
      <c r="N1718" s="181">
        <v>24252.854719999996</v>
      </c>
      <c r="O1718" s="181">
        <v>19336.735519999998</v>
      </c>
      <c r="P1718" s="181">
        <v>27.178000000000001</v>
      </c>
      <c r="Q1718" s="181">
        <v>387927.68865919998</v>
      </c>
      <c r="R1718" s="181">
        <v>18353.51168</v>
      </c>
      <c r="S1718" s="181">
        <v>15272.743648</v>
      </c>
      <c r="T1718" s="181">
        <v>19.761199999999999</v>
      </c>
      <c r="U1718" s="181">
        <v>853274.42247999983</v>
      </c>
      <c r="V1718" s="181">
        <v>0</v>
      </c>
    </row>
    <row r="1719" spans="1:22">
      <c r="A1719" s="2" t="s">
        <v>3456</v>
      </c>
      <c r="B1719" s="2" t="s">
        <v>3457</v>
      </c>
      <c r="C1719" s="181">
        <v>5.8038239999999996</v>
      </c>
      <c r="D1719" s="181">
        <v>690.32119999999998</v>
      </c>
      <c r="E1719" s="181">
        <v>0</v>
      </c>
      <c r="F1719" s="181">
        <v>0</v>
      </c>
      <c r="G1719" s="181">
        <v>0</v>
      </c>
      <c r="H1719" s="181">
        <v>0</v>
      </c>
      <c r="I1719" s="181">
        <v>0</v>
      </c>
      <c r="J1719" s="181">
        <v>0</v>
      </c>
      <c r="K1719" s="181">
        <v>0</v>
      </c>
      <c r="L1719" s="181">
        <v>0</v>
      </c>
      <c r="M1719" s="181">
        <v>541100.85327999992</v>
      </c>
      <c r="N1719" s="181">
        <v>17370.287840000001</v>
      </c>
      <c r="O1719" s="181">
        <v>14207.584487999999</v>
      </c>
      <c r="P1719" s="181">
        <v>27.94</v>
      </c>
      <c r="Q1719" s="181">
        <v>288032.14651519997</v>
      </c>
      <c r="R1719" s="181">
        <v>13158.812392</v>
      </c>
      <c r="S1719" s="181">
        <v>11339.848287999997</v>
      </c>
      <c r="T1719" s="181">
        <v>20.421600000000002</v>
      </c>
      <c r="U1719" s="181">
        <v>611860.19563199987</v>
      </c>
      <c r="V1719" s="181">
        <v>0</v>
      </c>
    </row>
    <row r="1720" spans="1:22">
      <c r="A1720" s="2" t="s">
        <v>3458</v>
      </c>
      <c r="B1720" s="2" t="s">
        <v>3459</v>
      </c>
      <c r="C1720" s="181">
        <v>9.2712368000000005</v>
      </c>
      <c r="D1720" s="181">
        <v>1122.5783999999999</v>
      </c>
      <c r="E1720" s="181">
        <v>0</v>
      </c>
      <c r="F1720" s="181">
        <v>0</v>
      </c>
      <c r="G1720" s="181">
        <v>0</v>
      </c>
      <c r="H1720" s="181">
        <v>0</v>
      </c>
      <c r="I1720" s="181">
        <v>0</v>
      </c>
      <c r="J1720" s="181">
        <v>0</v>
      </c>
      <c r="K1720" s="181">
        <v>0</v>
      </c>
      <c r="L1720" s="181">
        <v>0</v>
      </c>
      <c r="M1720" s="181">
        <v>699268.79500799987</v>
      </c>
      <c r="N1720" s="181">
        <v>24744.466639999999</v>
      </c>
      <c r="O1720" s="181">
        <v>18353.51168</v>
      </c>
      <c r="P1720" s="181">
        <v>24.942799999999998</v>
      </c>
      <c r="Q1720" s="181">
        <v>226013.6641008</v>
      </c>
      <c r="R1720" s="181">
        <v>14928.615303999999</v>
      </c>
      <c r="S1720" s="181">
        <v>11880.621399999998</v>
      </c>
      <c r="T1720" s="181">
        <v>14.198600000000001</v>
      </c>
      <c r="U1720" s="181">
        <v>599373.25286399992</v>
      </c>
      <c r="V1720" s="181">
        <v>0</v>
      </c>
    </row>
    <row r="1721" spans="1:22">
      <c r="A1721" s="2" t="s">
        <v>3460</v>
      </c>
      <c r="B1721" s="2" t="s">
        <v>3461</v>
      </c>
      <c r="C1721" s="181">
        <v>7.3515104000000004</v>
      </c>
      <c r="D1721" s="181">
        <v>883.86919999999998</v>
      </c>
      <c r="E1721" s="181">
        <v>0</v>
      </c>
      <c r="F1721" s="181">
        <v>0</v>
      </c>
      <c r="G1721" s="181">
        <v>0</v>
      </c>
      <c r="H1721" s="181">
        <v>0</v>
      </c>
      <c r="I1721" s="181">
        <v>0</v>
      </c>
      <c r="J1721" s="181">
        <v>0</v>
      </c>
      <c r="K1721" s="181">
        <v>0</v>
      </c>
      <c r="L1721" s="181">
        <v>0</v>
      </c>
      <c r="M1721" s="181">
        <v>591048.62435199996</v>
      </c>
      <c r="N1721" s="181">
        <v>20319.959359999997</v>
      </c>
      <c r="O1721" s="181">
        <v>15485.775479999998</v>
      </c>
      <c r="P1721" s="181">
        <v>25.907999999999998</v>
      </c>
      <c r="Q1721" s="181">
        <v>194380.0757552</v>
      </c>
      <c r="R1721" s="181">
        <v>12323.072128</v>
      </c>
      <c r="S1721" s="181">
        <v>10192.753807999999</v>
      </c>
      <c r="T1721" s="181">
        <v>14.833599999999999</v>
      </c>
      <c r="U1721" s="181">
        <v>503640.02497599996</v>
      </c>
      <c r="V1721" s="181">
        <v>0</v>
      </c>
    </row>
    <row r="1722" spans="1:22">
      <c r="A1722" s="2" t="s">
        <v>3462</v>
      </c>
      <c r="B1722" s="2" t="s">
        <v>3463</v>
      </c>
      <c r="C1722" s="181">
        <v>5.1639151999999999</v>
      </c>
      <c r="D1722" s="181">
        <v>616.7729599999999</v>
      </c>
      <c r="E1722" s="181">
        <v>0</v>
      </c>
      <c r="F1722" s="181">
        <v>0</v>
      </c>
      <c r="G1722" s="181">
        <v>0</v>
      </c>
      <c r="H1722" s="181">
        <v>0</v>
      </c>
      <c r="I1722" s="181">
        <v>0</v>
      </c>
      <c r="J1722" s="181">
        <v>0</v>
      </c>
      <c r="K1722" s="181">
        <v>0</v>
      </c>
      <c r="L1722" s="181">
        <v>0</v>
      </c>
      <c r="M1722" s="181">
        <v>441205.31113599997</v>
      </c>
      <c r="N1722" s="181">
        <v>14666.422279999999</v>
      </c>
      <c r="O1722" s="181">
        <v>11569.267183999998</v>
      </c>
      <c r="P1722" s="181">
        <v>26.669999999999998</v>
      </c>
      <c r="Q1722" s="181">
        <v>147762.15608799999</v>
      </c>
      <c r="R1722" s="181">
        <v>9012.8852000000006</v>
      </c>
      <c r="S1722" s="181">
        <v>7767.468335999999</v>
      </c>
      <c r="T1722" s="181">
        <v>15.493999999999998</v>
      </c>
      <c r="U1722" s="181">
        <v>368781.04308159999</v>
      </c>
      <c r="V1722" s="181">
        <v>0</v>
      </c>
    </row>
    <row r="1723" spans="1:22">
      <c r="A1723" s="2" t="s">
        <v>3464</v>
      </c>
      <c r="B1723" s="2" t="s">
        <v>3465</v>
      </c>
      <c r="C1723" s="181">
        <v>4.5240064000000002</v>
      </c>
      <c r="D1723" s="181">
        <v>541.93439999999998</v>
      </c>
      <c r="E1723" s="181">
        <v>0</v>
      </c>
      <c r="F1723" s="181">
        <v>0</v>
      </c>
      <c r="G1723" s="181">
        <v>0</v>
      </c>
      <c r="H1723" s="181">
        <v>0</v>
      </c>
      <c r="I1723" s="181">
        <v>0</v>
      </c>
      <c r="J1723" s="181">
        <v>0</v>
      </c>
      <c r="K1723" s="181">
        <v>0</v>
      </c>
      <c r="L1723" s="181">
        <v>0</v>
      </c>
      <c r="M1723" s="181">
        <v>340061.07471519994</v>
      </c>
      <c r="N1723" s="181">
        <v>11929.782591999998</v>
      </c>
      <c r="O1723" s="181">
        <v>8930.9498800000001</v>
      </c>
      <c r="P1723" s="181">
        <v>25.069799999999997</v>
      </c>
      <c r="Q1723" s="181">
        <v>57439.936732800001</v>
      </c>
      <c r="R1723" s="181">
        <v>5325.7957999999999</v>
      </c>
      <c r="S1723" s="181">
        <v>4522.8296639999999</v>
      </c>
      <c r="T1723" s="181">
        <v>10.287000000000001</v>
      </c>
      <c r="U1723" s="181">
        <v>169822.42164479996</v>
      </c>
      <c r="V1723" s="181">
        <v>0</v>
      </c>
    </row>
    <row r="1724" spans="1:22">
      <c r="A1724" s="2" t="s">
        <v>3466</v>
      </c>
      <c r="B1724" s="2" t="s">
        <v>3467</v>
      </c>
      <c r="C1724" s="181">
        <v>12.500544</v>
      </c>
      <c r="D1724" s="181">
        <v>1516.126</v>
      </c>
      <c r="E1724" s="181">
        <v>0</v>
      </c>
      <c r="F1724" s="181">
        <v>0</v>
      </c>
      <c r="G1724" s="181">
        <v>0</v>
      </c>
      <c r="H1724" s="181">
        <v>0</v>
      </c>
      <c r="I1724" s="181">
        <v>0</v>
      </c>
      <c r="J1724" s="181">
        <v>0</v>
      </c>
      <c r="K1724" s="181">
        <v>0</v>
      </c>
      <c r="L1724" s="181">
        <v>0</v>
      </c>
      <c r="M1724" s="181">
        <v>757541.19459199999</v>
      </c>
      <c r="N1724" s="181">
        <v>30807.680319999996</v>
      </c>
      <c r="O1724" s="181">
        <v>23925.113439999997</v>
      </c>
      <c r="P1724" s="181">
        <v>22.352</v>
      </c>
      <c r="Q1724" s="181">
        <v>757541.19459199999</v>
      </c>
      <c r="R1724" s="181">
        <v>30807.680319999996</v>
      </c>
      <c r="S1724" s="181">
        <v>23925.113439999997</v>
      </c>
      <c r="T1724" s="181">
        <v>22.352</v>
      </c>
      <c r="U1724" s="181">
        <v>1331940.56192</v>
      </c>
      <c r="V1724" s="181">
        <v>0</v>
      </c>
    </row>
    <row r="1725" spans="1:22">
      <c r="A1725" s="2" t="s">
        <v>3468</v>
      </c>
      <c r="B1725" s="2" t="s">
        <v>3469</v>
      </c>
      <c r="C1725" s="181">
        <v>10.536172799999999</v>
      </c>
      <c r="D1725" s="181">
        <v>1270.9651999999999</v>
      </c>
      <c r="E1725" s="181">
        <v>0</v>
      </c>
      <c r="F1725" s="181">
        <v>0</v>
      </c>
      <c r="G1725" s="181">
        <v>0</v>
      </c>
      <c r="H1725" s="181">
        <v>0</v>
      </c>
      <c r="I1725" s="181">
        <v>0</v>
      </c>
      <c r="J1725" s="181">
        <v>0</v>
      </c>
      <c r="K1725" s="181">
        <v>0</v>
      </c>
      <c r="L1725" s="181">
        <v>0</v>
      </c>
      <c r="M1725" s="181">
        <v>678457.22372799984</v>
      </c>
      <c r="N1725" s="181">
        <v>26710.914319999996</v>
      </c>
      <c r="O1725" s="181">
        <v>21303.183199999999</v>
      </c>
      <c r="P1725" s="181">
        <v>23.063199999999998</v>
      </c>
      <c r="Q1725" s="181">
        <v>678457.22372799984</v>
      </c>
      <c r="R1725" s="181">
        <v>26710.914319999996</v>
      </c>
      <c r="S1725" s="181">
        <v>21303.183199999999</v>
      </c>
      <c r="T1725" s="181">
        <v>23.063199999999998</v>
      </c>
      <c r="U1725" s="181">
        <v>1161285.6774239999</v>
      </c>
      <c r="V1725" s="181">
        <v>0</v>
      </c>
    </row>
    <row r="1726" spans="1:22">
      <c r="A1726" s="2" t="s">
        <v>3470</v>
      </c>
      <c r="B1726" s="2" t="s">
        <v>3471</v>
      </c>
      <c r="C1726" s="181">
        <v>8.2890511999999994</v>
      </c>
      <c r="D1726" s="181">
        <v>993.54639999999995</v>
      </c>
      <c r="E1726" s="181">
        <v>0</v>
      </c>
      <c r="F1726" s="181">
        <v>0</v>
      </c>
      <c r="G1726" s="181">
        <v>0</v>
      </c>
      <c r="H1726" s="181">
        <v>0</v>
      </c>
      <c r="I1726" s="181">
        <v>0</v>
      </c>
      <c r="J1726" s="181">
        <v>0</v>
      </c>
      <c r="K1726" s="181">
        <v>0</v>
      </c>
      <c r="L1726" s="181">
        <v>0</v>
      </c>
      <c r="M1726" s="181">
        <v>561912.42455999996</v>
      </c>
      <c r="N1726" s="181">
        <v>21630.924479999998</v>
      </c>
      <c r="O1726" s="181">
        <v>17698.029119999999</v>
      </c>
      <c r="P1726" s="181">
        <v>23.799800000000001</v>
      </c>
      <c r="Q1726" s="181">
        <v>561912.42455999996</v>
      </c>
      <c r="R1726" s="181">
        <v>21630.924479999998</v>
      </c>
      <c r="S1726" s="181">
        <v>17698.029119999999</v>
      </c>
      <c r="T1726" s="181">
        <v>23.799800000000001</v>
      </c>
      <c r="U1726" s="181">
        <v>936520.70759999985</v>
      </c>
      <c r="V1726" s="181">
        <v>0</v>
      </c>
    </row>
    <row r="1727" spans="1:22">
      <c r="A1727" s="2" t="s">
        <v>3472</v>
      </c>
      <c r="B1727" s="2" t="s">
        <v>3473</v>
      </c>
      <c r="C1727" s="181">
        <v>5.8038239999999996</v>
      </c>
      <c r="D1727" s="181">
        <v>690.32119999999998</v>
      </c>
      <c r="E1727" s="181">
        <v>0</v>
      </c>
      <c r="F1727" s="181">
        <v>0</v>
      </c>
      <c r="G1727" s="181">
        <v>0</v>
      </c>
      <c r="H1727" s="181">
        <v>0</v>
      </c>
      <c r="I1727" s="181">
        <v>0</v>
      </c>
      <c r="J1727" s="181">
        <v>0</v>
      </c>
      <c r="K1727" s="181">
        <v>0</v>
      </c>
      <c r="L1727" s="181">
        <v>0</v>
      </c>
      <c r="M1727" s="181">
        <v>415398.96274879994</v>
      </c>
      <c r="N1727" s="181">
        <v>15518.549607999998</v>
      </c>
      <c r="O1727" s="181">
        <v>13093.264136</v>
      </c>
      <c r="P1727" s="181">
        <v>24.510999999999999</v>
      </c>
      <c r="Q1727" s="181">
        <v>415398.96274879994</v>
      </c>
      <c r="R1727" s="181">
        <v>15518.549607999998</v>
      </c>
      <c r="S1727" s="181">
        <v>13093.264136</v>
      </c>
      <c r="T1727" s="181">
        <v>24.510999999999999</v>
      </c>
      <c r="U1727" s="181">
        <v>670132.59521599999</v>
      </c>
      <c r="V1727" s="181">
        <v>0</v>
      </c>
    </row>
    <row r="1728" spans="1:22">
      <c r="A1728" s="2" t="s">
        <v>3474</v>
      </c>
      <c r="B1728" s="2" t="s">
        <v>3475</v>
      </c>
      <c r="C1728" s="181">
        <v>8.0063008</v>
      </c>
      <c r="D1728" s="181">
        <v>974.19159999999999</v>
      </c>
      <c r="E1728" s="181">
        <v>0</v>
      </c>
      <c r="F1728" s="181">
        <v>0</v>
      </c>
      <c r="G1728" s="181">
        <v>0</v>
      </c>
      <c r="H1728" s="181">
        <v>0</v>
      </c>
      <c r="I1728" s="181">
        <v>0</v>
      </c>
      <c r="J1728" s="181">
        <v>0</v>
      </c>
      <c r="K1728" s="181">
        <v>0</v>
      </c>
      <c r="L1728" s="181">
        <v>0</v>
      </c>
      <c r="M1728" s="181">
        <v>428718.36836799997</v>
      </c>
      <c r="N1728" s="181">
        <v>18189.641039999999</v>
      </c>
      <c r="O1728" s="181">
        <v>13470.166607999998</v>
      </c>
      <c r="P1728" s="181">
        <v>20.980399999999999</v>
      </c>
      <c r="Q1728" s="181">
        <v>186887.91009439999</v>
      </c>
      <c r="R1728" s="181">
        <v>12519.716896</v>
      </c>
      <c r="S1728" s="181">
        <v>9815.8513359999979</v>
      </c>
      <c r="T1728" s="181">
        <v>13.868399999999999</v>
      </c>
      <c r="U1728" s="181">
        <v>457854.56815999997</v>
      </c>
      <c r="V1728" s="181">
        <v>0</v>
      </c>
    </row>
    <row r="1729" spans="1:22">
      <c r="A1729" s="2" t="s">
        <v>3476</v>
      </c>
      <c r="B1729" s="2" t="s">
        <v>3477</v>
      </c>
      <c r="C1729" s="181">
        <v>6.399087999999999</v>
      </c>
      <c r="D1729" s="181">
        <v>767.74039999999991</v>
      </c>
      <c r="E1729" s="181">
        <v>0</v>
      </c>
      <c r="F1729" s="181">
        <v>0</v>
      </c>
      <c r="G1729" s="181">
        <v>0</v>
      </c>
      <c r="H1729" s="181">
        <v>0</v>
      </c>
      <c r="I1729" s="181">
        <v>0</v>
      </c>
      <c r="J1729" s="181">
        <v>0</v>
      </c>
      <c r="K1729" s="181">
        <v>0</v>
      </c>
      <c r="L1729" s="181">
        <v>0</v>
      </c>
      <c r="M1729" s="181">
        <v>367116.11737919995</v>
      </c>
      <c r="N1729" s="181">
        <v>14994.163559999999</v>
      </c>
      <c r="O1729" s="181">
        <v>11552.880119999998</v>
      </c>
      <c r="P1729" s="181">
        <v>21.843999999999998</v>
      </c>
      <c r="Q1729" s="181">
        <v>162330.25598399999</v>
      </c>
      <c r="R1729" s="181">
        <v>10422.172703999999</v>
      </c>
      <c r="S1729" s="181">
        <v>8521.2732799999994</v>
      </c>
      <c r="T1729" s="181">
        <v>14.528799999999999</v>
      </c>
      <c r="U1729" s="181">
        <v>386678.99438240001</v>
      </c>
      <c r="V1729" s="181">
        <v>0</v>
      </c>
    </row>
    <row r="1730" spans="1:22">
      <c r="A1730" s="2" t="s">
        <v>3478</v>
      </c>
      <c r="B1730" s="2" t="s">
        <v>3479</v>
      </c>
      <c r="C1730" s="181">
        <v>4.5240064000000002</v>
      </c>
      <c r="D1730" s="181">
        <v>541.93439999999998</v>
      </c>
      <c r="E1730" s="181">
        <v>0</v>
      </c>
      <c r="F1730" s="181">
        <v>0</v>
      </c>
      <c r="G1730" s="181">
        <v>0</v>
      </c>
      <c r="H1730" s="181">
        <v>0</v>
      </c>
      <c r="I1730" s="181">
        <v>0</v>
      </c>
      <c r="J1730" s="181">
        <v>0</v>
      </c>
      <c r="K1730" s="181">
        <v>0</v>
      </c>
      <c r="L1730" s="181">
        <v>0</v>
      </c>
      <c r="M1730" s="181">
        <v>278042.59230079997</v>
      </c>
      <c r="N1730" s="181">
        <v>10995.719944</v>
      </c>
      <c r="O1730" s="181">
        <v>8767.0792399999991</v>
      </c>
      <c r="P1730" s="181">
        <v>22.6568</v>
      </c>
      <c r="Q1730" s="181">
        <v>124869.42767999998</v>
      </c>
      <c r="R1730" s="181">
        <v>7685.5330159999985</v>
      </c>
      <c r="S1730" s="181">
        <v>6538.4385359999997</v>
      </c>
      <c r="T1730" s="181">
        <v>15.163799999999998</v>
      </c>
      <c r="U1730" s="181">
        <v>285950.98938719998</v>
      </c>
      <c r="V1730" s="181">
        <v>0</v>
      </c>
    </row>
    <row r="1731" spans="1:22">
      <c r="A1731" s="2" t="s">
        <v>3480</v>
      </c>
      <c r="B1731" s="2" t="s">
        <v>3481</v>
      </c>
      <c r="C1731" s="181">
        <v>9.2712368000000005</v>
      </c>
      <c r="D1731" s="181">
        <v>1122.5783999999999</v>
      </c>
      <c r="E1731" s="181">
        <v>0</v>
      </c>
      <c r="F1731" s="181">
        <v>0</v>
      </c>
      <c r="G1731" s="181">
        <v>0</v>
      </c>
      <c r="H1731" s="181">
        <v>0</v>
      </c>
      <c r="I1731" s="181">
        <v>0</v>
      </c>
      <c r="J1731" s="181">
        <v>0</v>
      </c>
      <c r="K1731" s="181">
        <v>0</v>
      </c>
      <c r="L1731" s="181">
        <v>0</v>
      </c>
      <c r="M1731" s="181">
        <v>470341.51092799992</v>
      </c>
      <c r="N1731" s="181">
        <v>20975.441919999997</v>
      </c>
      <c r="O1731" s="181">
        <v>16550.934639999999</v>
      </c>
      <c r="P1731" s="181">
        <v>20.4724</v>
      </c>
      <c r="Q1731" s="181">
        <v>470341.51092799992</v>
      </c>
      <c r="R1731" s="181">
        <v>20975.441919999997</v>
      </c>
      <c r="S1731" s="181">
        <v>16550.934639999999</v>
      </c>
      <c r="T1731" s="181">
        <v>20.4724</v>
      </c>
      <c r="U1731" s="181">
        <v>815813.59417599987</v>
      </c>
      <c r="V1731" s="181">
        <v>0</v>
      </c>
    </row>
    <row r="1732" spans="1:22">
      <c r="A1732" s="2" t="s">
        <v>3482</v>
      </c>
      <c r="B1732" s="2" t="s">
        <v>3483</v>
      </c>
      <c r="C1732" s="181">
        <v>7.3515104000000004</v>
      </c>
      <c r="D1732" s="181">
        <v>883.86919999999998</v>
      </c>
      <c r="E1732" s="181">
        <v>0</v>
      </c>
      <c r="F1732" s="181">
        <v>0</v>
      </c>
      <c r="G1732" s="181">
        <v>0</v>
      </c>
      <c r="H1732" s="181">
        <v>0</v>
      </c>
      <c r="I1732" s="181">
        <v>0</v>
      </c>
      <c r="J1732" s="181">
        <v>0</v>
      </c>
      <c r="K1732" s="181">
        <v>0</v>
      </c>
      <c r="L1732" s="181">
        <v>0</v>
      </c>
      <c r="M1732" s="181">
        <v>396668.54859679996</v>
      </c>
      <c r="N1732" s="181">
        <v>17042.546559999999</v>
      </c>
      <c r="O1732" s="181">
        <v>13879.843207999998</v>
      </c>
      <c r="P1732" s="181">
        <v>21.209</v>
      </c>
      <c r="Q1732" s="181">
        <v>396668.54859679996</v>
      </c>
      <c r="R1732" s="181">
        <v>17042.546559999999</v>
      </c>
      <c r="S1732" s="181">
        <v>13879.843207999998</v>
      </c>
      <c r="T1732" s="181">
        <v>21.209</v>
      </c>
      <c r="U1732" s="181">
        <v>665970.28096</v>
      </c>
      <c r="V1732" s="181">
        <v>0</v>
      </c>
    </row>
    <row r="1733" spans="1:22">
      <c r="A1733" s="2" t="s">
        <v>3484</v>
      </c>
      <c r="B1733" s="2" t="s">
        <v>3485</v>
      </c>
      <c r="C1733" s="181">
        <v>5.1639151999999999</v>
      </c>
      <c r="D1733" s="181">
        <v>616.7729599999999</v>
      </c>
      <c r="E1733" s="181">
        <v>0</v>
      </c>
      <c r="F1733" s="181">
        <v>0</v>
      </c>
      <c r="G1733" s="181">
        <v>0</v>
      </c>
      <c r="H1733" s="181">
        <v>0</v>
      </c>
      <c r="I1733" s="181">
        <v>0</v>
      </c>
      <c r="J1733" s="181">
        <v>0</v>
      </c>
      <c r="K1733" s="181">
        <v>0</v>
      </c>
      <c r="L1733" s="181">
        <v>0</v>
      </c>
      <c r="M1733" s="181">
        <v>296356.77502719994</v>
      </c>
      <c r="N1733" s="181">
        <v>12372.233319999999</v>
      </c>
      <c r="O1733" s="181">
        <v>10373.011511999999</v>
      </c>
      <c r="P1733" s="181">
        <v>21.920199999999998</v>
      </c>
      <c r="Q1733" s="181">
        <v>296356.77502719994</v>
      </c>
      <c r="R1733" s="181">
        <v>12372.233319999999</v>
      </c>
      <c r="S1733" s="181">
        <v>10373.011511999999</v>
      </c>
      <c r="T1733" s="181">
        <v>21.920199999999998</v>
      </c>
      <c r="U1733" s="181">
        <v>478666.13943999994</v>
      </c>
      <c r="V1733" s="181">
        <v>0</v>
      </c>
    </row>
    <row r="1734" spans="1:22">
      <c r="A1734" s="2" t="s">
        <v>3486</v>
      </c>
      <c r="B1734" s="2" t="s">
        <v>3487</v>
      </c>
      <c r="C1734" s="181">
        <v>8.0063008</v>
      </c>
      <c r="D1734" s="181">
        <v>974.19159999999999</v>
      </c>
      <c r="E1734" s="181">
        <v>0</v>
      </c>
      <c r="F1734" s="181">
        <v>0</v>
      </c>
      <c r="G1734" s="181">
        <v>0</v>
      </c>
      <c r="H1734" s="181">
        <v>0</v>
      </c>
      <c r="I1734" s="181">
        <v>0</v>
      </c>
      <c r="J1734" s="181">
        <v>0</v>
      </c>
      <c r="K1734" s="181">
        <v>0</v>
      </c>
      <c r="L1734" s="181">
        <v>0</v>
      </c>
      <c r="M1734" s="181">
        <v>310924.87492319994</v>
      </c>
      <c r="N1734" s="181">
        <v>15797.129695999998</v>
      </c>
      <c r="O1734" s="181">
        <v>12241.136807999999</v>
      </c>
      <c r="P1734" s="181">
        <v>17.881599999999999</v>
      </c>
      <c r="Q1734" s="181">
        <v>310924.87492319994</v>
      </c>
      <c r="R1734" s="181">
        <v>15797.129695999998</v>
      </c>
      <c r="S1734" s="181">
        <v>12241.136807999999</v>
      </c>
      <c r="T1734" s="181">
        <v>17.881599999999999</v>
      </c>
      <c r="U1734" s="181">
        <v>545263.16753600002</v>
      </c>
      <c r="V1734" s="181">
        <v>0</v>
      </c>
    </row>
    <row r="1735" spans="1:22">
      <c r="A1735" s="2" t="s">
        <v>3488</v>
      </c>
      <c r="B1735" s="2" t="s">
        <v>3489</v>
      </c>
      <c r="C1735" s="181">
        <v>6.399087999999999</v>
      </c>
      <c r="D1735" s="181">
        <v>767.74039999999991</v>
      </c>
      <c r="E1735" s="181">
        <v>0</v>
      </c>
      <c r="F1735" s="181">
        <v>0</v>
      </c>
      <c r="G1735" s="181">
        <v>0</v>
      </c>
      <c r="H1735" s="181">
        <v>0</v>
      </c>
      <c r="I1735" s="181">
        <v>0</v>
      </c>
      <c r="J1735" s="181">
        <v>0</v>
      </c>
      <c r="K1735" s="181">
        <v>0</v>
      </c>
      <c r="L1735" s="181">
        <v>0</v>
      </c>
      <c r="M1735" s="181">
        <v>266804.34380959999</v>
      </c>
      <c r="N1735" s="181">
        <v>13060.490007999999</v>
      </c>
      <c r="O1735" s="181">
        <v>10504.108023999999</v>
      </c>
      <c r="P1735" s="181">
        <v>18.618199999999998</v>
      </c>
      <c r="Q1735" s="181">
        <v>266804.34380959999</v>
      </c>
      <c r="R1735" s="181">
        <v>13060.490007999999</v>
      </c>
      <c r="S1735" s="181">
        <v>10504.108023999999</v>
      </c>
      <c r="T1735" s="181">
        <v>18.618199999999998</v>
      </c>
      <c r="U1735" s="181">
        <v>453692.25390399998</v>
      </c>
      <c r="V1735" s="181">
        <v>0</v>
      </c>
    </row>
    <row r="1736" spans="1:22">
      <c r="A1736" s="2" t="s">
        <v>3490</v>
      </c>
      <c r="B1736" s="2" t="s">
        <v>3491</v>
      </c>
      <c r="C1736" s="181">
        <v>4.5240064000000002</v>
      </c>
      <c r="D1736" s="181">
        <v>541.93439999999998</v>
      </c>
      <c r="E1736" s="181">
        <v>0</v>
      </c>
      <c r="F1736" s="181">
        <v>0</v>
      </c>
      <c r="G1736" s="181">
        <v>0</v>
      </c>
      <c r="H1736" s="181">
        <v>0</v>
      </c>
      <c r="I1736" s="181">
        <v>0</v>
      </c>
      <c r="J1736" s="181">
        <v>0</v>
      </c>
      <c r="K1736" s="181">
        <v>0</v>
      </c>
      <c r="L1736" s="181">
        <v>0</v>
      </c>
      <c r="M1736" s="181">
        <v>202288.47284159999</v>
      </c>
      <c r="N1736" s="181">
        <v>9570.0453759999982</v>
      </c>
      <c r="O1736" s="181">
        <v>7964.1131039999991</v>
      </c>
      <c r="P1736" s="181">
        <v>19.3294</v>
      </c>
      <c r="Q1736" s="181">
        <v>202288.47284159999</v>
      </c>
      <c r="R1736" s="181">
        <v>9570.0453759999982</v>
      </c>
      <c r="S1736" s="181">
        <v>7964.1131039999991</v>
      </c>
      <c r="T1736" s="181">
        <v>19.3294</v>
      </c>
      <c r="U1736" s="181">
        <v>331320.21477759996</v>
      </c>
      <c r="V1736" s="181">
        <v>0</v>
      </c>
    </row>
    <row r="1737" spans="1:22">
      <c r="A1737" s="2" t="s">
        <v>3492</v>
      </c>
      <c r="B1737" s="2" t="s">
        <v>3493</v>
      </c>
      <c r="C1737" s="181">
        <v>5.4466656000000002</v>
      </c>
      <c r="D1737" s="181">
        <v>658.06319999999994</v>
      </c>
      <c r="E1737" s="181">
        <v>0</v>
      </c>
      <c r="F1737" s="181">
        <v>0</v>
      </c>
      <c r="G1737" s="181">
        <v>0</v>
      </c>
      <c r="H1737" s="181">
        <v>0</v>
      </c>
      <c r="I1737" s="181">
        <v>0</v>
      </c>
      <c r="J1737" s="181">
        <v>0</v>
      </c>
      <c r="K1737" s="181">
        <v>0</v>
      </c>
      <c r="L1737" s="181">
        <v>0</v>
      </c>
      <c r="M1737" s="181">
        <v>206034.55567199999</v>
      </c>
      <c r="N1737" s="181">
        <v>10471.333896</v>
      </c>
      <c r="O1737" s="181">
        <v>8111.5966799999987</v>
      </c>
      <c r="P1737" s="181">
        <v>17.703799999999998</v>
      </c>
      <c r="Q1737" s="181">
        <v>130280.43621279999</v>
      </c>
      <c r="R1737" s="181">
        <v>8537.6603439999999</v>
      </c>
      <c r="S1737" s="181">
        <v>6833.4056879999989</v>
      </c>
      <c r="T1737" s="181">
        <v>14.0716</v>
      </c>
      <c r="U1737" s="181">
        <v>276377.66659839998</v>
      </c>
      <c r="V1737" s="181">
        <v>0</v>
      </c>
    </row>
    <row r="1738" spans="1:22">
      <c r="A1738" s="2" t="s">
        <v>3494</v>
      </c>
      <c r="B1738" s="2" t="s">
        <v>3495</v>
      </c>
      <c r="C1738" s="181">
        <v>4.4942431999999997</v>
      </c>
      <c r="D1738" s="181">
        <v>545.16019999999992</v>
      </c>
      <c r="E1738" s="181">
        <v>0</v>
      </c>
      <c r="F1738" s="181">
        <v>0</v>
      </c>
      <c r="G1738" s="181">
        <v>0</v>
      </c>
      <c r="H1738" s="181">
        <v>0</v>
      </c>
      <c r="I1738" s="181">
        <v>0</v>
      </c>
      <c r="J1738" s="181">
        <v>0</v>
      </c>
      <c r="K1738" s="181">
        <v>0</v>
      </c>
      <c r="L1738" s="181">
        <v>0</v>
      </c>
      <c r="M1738" s="181">
        <v>145680.99895999997</v>
      </c>
      <c r="N1738" s="181">
        <v>7865.7907199999991</v>
      </c>
      <c r="O1738" s="181">
        <v>5735.4723999999987</v>
      </c>
      <c r="P1738" s="181">
        <v>16.3322</v>
      </c>
      <c r="Q1738" s="181">
        <v>46617.919667199996</v>
      </c>
      <c r="R1738" s="181">
        <v>4719.4744319999991</v>
      </c>
      <c r="S1738" s="181">
        <v>3687.0893999999998</v>
      </c>
      <c r="T1738" s="181">
        <v>9.270999999999999</v>
      </c>
      <c r="U1738" s="181">
        <v>125285.65910559999</v>
      </c>
      <c r="V1738" s="181">
        <v>0</v>
      </c>
    </row>
    <row r="1739" spans="1:22">
      <c r="A1739" s="2" t="s">
        <v>3496</v>
      </c>
      <c r="B1739" s="2" t="s">
        <v>3497</v>
      </c>
      <c r="C1739" s="181">
        <v>3.2590703999999997</v>
      </c>
      <c r="D1739" s="181">
        <v>392.25727999999998</v>
      </c>
      <c r="E1739" s="181">
        <v>0</v>
      </c>
      <c r="F1739" s="181">
        <v>0</v>
      </c>
      <c r="G1739" s="181">
        <v>0</v>
      </c>
      <c r="H1739" s="181">
        <v>0</v>
      </c>
      <c r="I1739" s="181">
        <v>0</v>
      </c>
      <c r="J1739" s="181">
        <v>0</v>
      </c>
      <c r="K1739" s="181">
        <v>0</v>
      </c>
      <c r="L1739" s="181">
        <v>0</v>
      </c>
      <c r="M1739" s="181">
        <v>116544.799168</v>
      </c>
      <c r="N1739" s="181">
        <v>5997.6654239999989</v>
      </c>
      <c r="O1739" s="181">
        <v>4588.3779199999999</v>
      </c>
      <c r="P1739" s="181">
        <v>17.246600000000001</v>
      </c>
      <c r="Q1739" s="181">
        <v>38376.537440319997</v>
      </c>
      <c r="R1739" s="181">
        <v>3654.3152719999998</v>
      </c>
      <c r="S1739" s="181">
        <v>3015.2197759999995</v>
      </c>
      <c r="T1739" s="181">
        <v>9.9060000000000006</v>
      </c>
      <c r="U1739" s="181">
        <v>99063.079292799986</v>
      </c>
      <c r="V1739" s="181">
        <v>0</v>
      </c>
    </row>
    <row r="1740" spans="1:22">
      <c r="A1740" s="2" t="s">
        <v>3498</v>
      </c>
      <c r="B1740" s="2" t="s">
        <v>3499</v>
      </c>
      <c r="C1740" s="181">
        <v>5.4466656000000002</v>
      </c>
      <c r="D1740" s="181">
        <v>658.06319999999994</v>
      </c>
      <c r="E1740" s="181">
        <v>0</v>
      </c>
      <c r="F1740" s="181">
        <v>0</v>
      </c>
      <c r="G1740" s="181">
        <v>0</v>
      </c>
      <c r="H1740" s="181">
        <v>0</v>
      </c>
      <c r="I1740" s="181">
        <v>0</v>
      </c>
      <c r="J1740" s="181">
        <v>0</v>
      </c>
      <c r="K1740" s="181">
        <v>0</v>
      </c>
      <c r="L1740" s="181">
        <v>0</v>
      </c>
      <c r="M1740" s="181">
        <v>168573.72736799999</v>
      </c>
      <c r="N1740" s="181">
        <v>9586.4324399999987</v>
      </c>
      <c r="O1740" s="181">
        <v>7587.2106319999994</v>
      </c>
      <c r="P1740" s="181">
        <v>16.0274</v>
      </c>
      <c r="Q1740" s="181">
        <v>168573.72736799999</v>
      </c>
      <c r="R1740" s="181">
        <v>9586.4324399999987</v>
      </c>
      <c r="S1740" s="181">
        <v>7587.2106319999994</v>
      </c>
      <c r="T1740" s="181">
        <v>16.0274</v>
      </c>
      <c r="U1740" s="181">
        <v>290945.76649439993</v>
      </c>
      <c r="V1740" s="181">
        <v>0</v>
      </c>
    </row>
    <row r="1741" spans="1:22">
      <c r="A1741" s="2" t="s">
        <v>3500</v>
      </c>
      <c r="B1741" s="2" t="s">
        <v>3501</v>
      </c>
      <c r="C1741" s="181">
        <v>4.9704543999999995</v>
      </c>
      <c r="D1741" s="181">
        <v>601.28912000000003</v>
      </c>
      <c r="E1741" s="181">
        <v>0</v>
      </c>
      <c r="F1741" s="181">
        <v>0</v>
      </c>
      <c r="G1741" s="181">
        <v>0</v>
      </c>
      <c r="H1741" s="181">
        <v>0</v>
      </c>
      <c r="I1741" s="181">
        <v>0</v>
      </c>
      <c r="J1741" s="181">
        <v>0</v>
      </c>
      <c r="K1741" s="181">
        <v>0</v>
      </c>
      <c r="L1741" s="181">
        <v>0</v>
      </c>
      <c r="M1741" s="181">
        <v>130280.43621279999</v>
      </c>
      <c r="N1741" s="181">
        <v>8046.0484239999987</v>
      </c>
      <c r="O1741" s="181">
        <v>6309.0196399999995</v>
      </c>
      <c r="P1741" s="181">
        <v>14.731999999999998</v>
      </c>
      <c r="Q1741" s="181">
        <v>130280.43621279999</v>
      </c>
      <c r="R1741" s="181">
        <v>8046.0484239999987</v>
      </c>
      <c r="S1741" s="181">
        <v>6309.0196399999995</v>
      </c>
      <c r="T1741" s="181">
        <v>14.731999999999998</v>
      </c>
      <c r="U1741" s="181">
        <v>226429.89552639998</v>
      </c>
      <c r="V1741" s="181">
        <v>0</v>
      </c>
    </row>
    <row r="1742" spans="1:22">
      <c r="A1742" s="2" t="s">
        <v>3502</v>
      </c>
      <c r="B1742" s="2" t="s">
        <v>3503</v>
      </c>
      <c r="C1742" s="181">
        <v>3.5864655999999999</v>
      </c>
      <c r="D1742" s="181">
        <v>429.67655999999999</v>
      </c>
      <c r="E1742" s="181">
        <v>0</v>
      </c>
      <c r="F1742" s="181">
        <v>0</v>
      </c>
      <c r="G1742" s="181">
        <v>0</v>
      </c>
      <c r="H1742" s="181">
        <v>0</v>
      </c>
      <c r="I1742" s="181">
        <v>0</v>
      </c>
      <c r="J1742" s="181">
        <v>0</v>
      </c>
      <c r="K1742" s="181">
        <v>0</v>
      </c>
      <c r="L1742" s="181">
        <v>0</v>
      </c>
      <c r="M1742" s="181">
        <v>102392.93069759999</v>
      </c>
      <c r="N1742" s="181">
        <v>6063.2136799999989</v>
      </c>
      <c r="O1742" s="181">
        <v>4965.2803919999997</v>
      </c>
      <c r="P1742" s="181">
        <v>15.443199999999999</v>
      </c>
      <c r="Q1742" s="181">
        <v>102392.93069759999</v>
      </c>
      <c r="R1742" s="181">
        <v>6063.2136799999989</v>
      </c>
      <c r="S1742" s="181">
        <v>4965.2803919999997</v>
      </c>
      <c r="T1742" s="181">
        <v>15.443199999999999</v>
      </c>
      <c r="U1742" s="181">
        <v>170654.88449599998</v>
      </c>
      <c r="V1742" s="181">
        <v>0</v>
      </c>
    </row>
    <row r="1743" spans="1:22">
      <c r="A1743" s="2" t="s">
        <v>3504</v>
      </c>
      <c r="B1743" s="2" t="s">
        <v>3505</v>
      </c>
      <c r="C1743" s="181">
        <v>4.4942431999999997</v>
      </c>
      <c r="D1743" s="181">
        <v>545.16019999999992</v>
      </c>
      <c r="E1743" s="181">
        <v>0</v>
      </c>
      <c r="F1743" s="181">
        <v>0</v>
      </c>
      <c r="G1743" s="181">
        <v>0</v>
      </c>
      <c r="H1743" s="181">
        <v>0</v>
      </c>
      <c r="I1743" s="181">
        <v>0</v>
      </c>
      <c r="J1743" s="181">
        <v>0</v>
      </c>
      <c r="K1743" s="181">
        <v>0</v>
      </c>
      <c r="L1743" s="181">
        <v>0</v>
      </c>
      <c r="M1743" s="181">
        <v>98230.616441599981</v>
      </c>
      <c r="N1743" s="181">
        <v>6653.1479840000002</v>
      </c>
      <c r="O1743" s="181">
        <v>5161.9251599999998</v>
      </c>
      <c r="P1743" s="181">
        <v>13.411199999999999</v>
      </c>
      <c r="Q1743" s="181">
        <v>98230.616441599981</v>
      </c>
      <c r="R1743" s="181">
        <v>6653.1479840000002</v>
      </c>
      <c r="S1743" s="181">
        <v>5161.9251599999998</v>
      </c>
      <c r="T1743" s="181">
        <v>13.411199999999999</v>
      </c>
      <c r="U1743" s="181">
        <v>172319.81019839997</v>
      </c>
      <c r="V1743" s="181">
        <v>0</v>
      </c>
    </row>
    <row r="1744" spans="1:22">
      <c r="A1744" s="2" t="s">
        <v>3506</v>
      </c>
      <c r="B1744" s="2" t="s">
        <v>3507</v>
      </c>
      <c r="C1744" s="181">
        <v>3.2590703999999997</v>
      </c>
      <c r="D1744" s="181">
        <v>392.25727999999998</v>
      </c>
      <c r="E1744" s="181">
        <v>0</v>
      </c>
      <c r="F1744" s="181">
        <v>0</v>
      </c>
      <c r="G1744" s="181">
        <v>0</v>
      </c>
      <c r="H1744" s="181">
        <v>0</v>
      </c>
      <c r="I1744" s="181">
        <v>0</v>
      </c>
      <c r="J1744" s="181">
        <v>0</v>
      </c>
      <c r="K1744" s="181">
        <v>0</v>
      </c>
      <c r="L1744" s="181">
        <v>0</v>
      </c>
      <c r="M1744" s="181">
        <v>78251.508012799997</v>
      </c>
      <c r="N1744" s="181">
        <v>5063.6027759999997</v>
      </c>
      <c r="O1744" s="181">
        <v>4113.1530640000001</v>
      </c>
      <c r="P1744" s="181">
        <v>14.1478</v>
      </c>
      <c r="Q1744" s="181">
        <v>78251.508012799997</v>
      </c>
      <c r="R1744" s="181">
        <v>5063.6027759999997</v>
      </c>
      <c r="S1744" s="181">
        <v>4113.1530640000001</v>
      </c>
      <c r="T1744" s="181">
        <v>14.1478</v>
      </c>
      <c r="U1744" s="181">
        <v>131529.13048959998</v>
      </c>
      <c r="V1744" s="181">
        <v>0</v>
      </c>
    </row>
    <row r="1745" spans="1:22">
      <c r="A1745" s="2" t="s">
        <v>3508</v>
      </c>
      <c r="B1745" s="2" t="s">
        <v>3509</v>
      </c>
      <c r="C1745" s="181">
        <v>3.5418207999999995</v>
      </c>
      <c r="D1745" s="181">
        <v>432.90235999999999</v>
      </c>
      <c r="E1745" s="181">
        <v>0</v>
      </c>
      <c r="F1745" s="181">
        <v>0</v>
      </c>
      <c r="G1745" s="181">
        <v>0</v>
      </c>
      <c r="H1745" s="181">
        <v>0</v>
      </c>
      <c r="I1745" s="181">
        <v>0</v>
      </c>
      <c r="J1745" s="181">
        <v>0</v>
      </c>
      <c r="K1745" s="181">
        <v>0</v>
      </c>
      <c r="L1745" s="181">
        <v>0</v>
      </c>
      <c r="M1745" s="181">
        <v>50780.233923199994</v>
      </c>
      <c r="N1745" s="181">
        <v>4244.2495760000002</v>
      </c>
      <c r="O1745" s="181">
        <v>3195.47748</v>
      </c>
      <c r="P1745" s="181">
        <v>10.820399999999999</v>
      </c>
      <c r="Q1745" s="181">
        <v>50780.233923199994</v>
      </c>
      <c r="R1745" s="181">
        <v>4244.2495760000002</v>
      </c>
      <c r="S1745" s="181">
        <v>3195.47748</v>
      </c>
      <c r="T1745" s="181">
        <v>10.820399999999999</v>
      </c>
      <c r="U1745" s="181">
        <v>90738.450780799991</v>
      </c>
      <c r="V1745" s="181">
        <v>0</v>
      </c>
    </row>
    <row r="1746" spans="1:22">
      <c r="A1746" s="2" t="s">
        <v>3510</v>
      </c>
      <c r="B1746" s="2" t="s">
        <v>3511</v>
      </c>
      <c r="C1746" s="181">
        <v>2.6340431999999998</v>
      </c>
      <c r="D1746" s="181">
        <v>317.41872000000001</v>
      </c>
      <c r="E1746" s="181">
        <v>0</v>
      </c>
      <c r="F1746" s="181">
        <v>0</v>
      </c>
      <c r="G1746" s="181">
        <v>0</v>
      </c>
      <c r="H1746" s="181">
        <v>0</v>
      </c>
      <c r="I1746" s="181">
        <v>0</v>
      </c>
      <c r="J1746" s="181">
        <v>0</v>
      </c>
      <c r="K1746" s="181">
        <v>0</v>
      </c>
      <c r="L1746" s="181">
        <v>0</v>
      </c>
      <c r="M1746" s="181">
        <v>42455.605411199991</v>
      </c>
      <c r="N1746" s="181">
        <v>3342.9610559999996</v>
      </c>
      <c r="O1746" s="181">
        <v>2654.7043679999997</v>
      </c>
      <c r="P1746" s="181">
        <v>11.531599999999999</v>
      </c>
      <c r="Q1746" s="181">
        <v>42455.605411199991</v>
      </c>
      <c r="R1746" s="181">
        <v>3342.9610559999996</v>
      </c>
      <c r="S1746" s="181">
        <v>2654.7043679999997</v>
      </c>
      <c r="T1746" s="181">
        <v>11.531599999999999</v>
      </c>
      <c r="U1746" s="181">
        <v>72424.268054399989</v>
      </c>
      <c r="V1746" s="181">
        <v>0</v>
      </c>
    </row>
    <row r="1747" spans="1:22">
      <c r="A1747" s="2" t="s">
        <v>3512</v>
      </c>
      <c r="B1747" s="2" t="s">
        <v>3513</v>
      </c>
      <c r="C1747" s="181">
        <v>154.76864</v>
      </c>
      <c r="D1747" s="181">
        <v>18387.059999999998</v>
      </c>
      <c r="E1747" s="181">
        <v>0</v>
      </c>
      <c r="F1747" s="181">
        <v>0</v>
      </c>
      <c r="G1747" s="181">
        <v>0</v>
      </c>
      <c r="H1747" s="181">
        <v>0</v>
      </c>
      <c r="I1747" s="181">
        <v>0</v>
      </c>
      <c r="J1747" s="181">
        <v>0</v>
      </c>
      <c r="K1747" s="181">
        <v>0</v>
      </c>
      <c r="L1747" s="181">
        <v>0</v>
      </c>
      <c r="M1747" s="181">
        <v>566074738.81599998</v>
      </c>
      <c r="N1747" s="181">
        <v>2900510.3279999997</v>
      </c>
      <c r="O1747" s="181">
        <v>2228640.7039999999</v>
      </c>
      <c r="P1747" s="181">
        <v>175.51399999999998</v>
      </c>
      <c r="Q1747" s="181">
        <v>566074738.81599998</v>
      </c>
      <c r="R1747" s="181">
        <v>2900510.3279999997</v>
      </c>
      <c r="S1747" s="181">
        <v>2228640.7039999999</v>
      </c>
      <c r="T1747" s="181">
        <v>175.51399999999998</v>
      </c>
      <c r="U1747" s="181">
        <v>1132149477.632</v>
      </c>
      <c r="V1747" s="181">
        <v>0</v>
      </c>
    </row>
    <row r="1748" spans="1:22">
      <c r="A1748" s="2" t="s">
        <v>3514</v>
      </c>
      <c r="B1748" s="2" t="s">
        <v>3515</v>
      </c>
      <c r="C1748" s="181">
        <v>117.11819199999999</v>
      </c>
      <c r="D1748" s="181">
        <v>13870.939999999999</v>
      </c>
      <c r="E1748" s="181">
        <v>0</v>
      </c>
      <c r="F1748" s="181">
        <v>0</v>
      </c>
      <c r="G1748" s="181">
        <v>0</v>
      </c>
      <c r="H1748" s="181">
        <v>0</v>
      </c>
      <c r="I1748" s="181">
        <v>0</v>
      </c>
      <c r="J1748" s="181">
        <v>0</v>
      </c>
      <c r="K1748" s="181">
        <v>0</v>
      </c>
      <c r="L1748" s="181">
        <v>0</v>
      </c>
      <c r="M1748" s="181">
        <v>432880682.62399995</v>
      </c>
      <c r="N1748" s="181">
        <v>2212253.6399999997</v>
      </c>
      <c r="O1748" s="181">
        <v>1704254.656</v>
      </c>
      <c r="P1748" s="181">
        <v>176.53</v>
      </c>
      <c r="Q1748" s="181">
        <v>432880682.62399995</v>
      </c>
      <c r="R1748" s="181">
        <v>2212253.6399999997</v>
      </c>
      <c r="S1748" s="181">
        <v>1704254.656</v>
      </c>
      <c r="T1748" s="181">
        <v>176.53</v>
      </c>
      <c r="U1748" s="181">
        <v>865761365.24799991</v>
      </c>
      <c r="V1748" s="181">
        <v>0</v>
      </c>
    </row>
    <row r="1749" spans="1:22">
      <c r="A1749" s="2" t="s">
        <v>3516</v>
      </c>
      <c r="B1749" s="2" t="s">
        <v>3517</v>
      </c>
      <c r="C1749" s="181">
        <v>139.14295999999999</v>
      </c>
      <c r="D1749" s="181">
        <v>16516.096000000001</v>
      </c>
      <c r="E1749" s="181">
        <v>0</v>
      </c>
      <c r="F1749" s="181">
        <v>0</v>
      </c>
      <c r="G1749" s="181">
        <v>0</v>
      </c>
      <c r="H1749" s="181">
        <v>0</v>
      </c>
      <c r="I1749" s="181">
        <v>0</v>
      </c>
      <c r="J1749" s="181">
        <v>0</v>
      </c>
      <c r="K1749" s="181">
        <v>0</v>
      </c>
      <c r="L1749" s="181">
        <v>0</v>
      </c>
      <c r="M1749" s="181">
        <v>409987954.21599996</v>
      </c>
      <c r="N1749" s="181">
        <v>2343350.1519999998</v>
      </c>
      <c r="O1749" s="181">
        <v>1786189.9759999998</v>
      </c>
      <c r="P1749" s="181">
        <v>157.47999999999999</v>
      </c>
      <c r="Q1749" s="181">
        <v>409987954.21599996</v>
      </c>
      <c r="R1749" s="181">
        <v>2343350.1519999998</v>
      </c>
      <c r="S1749" s="181">
        <v>1786189.9759999998</v>
      </c>
      <c r="T1749" s="181">
        <v>157.47999999999999</v>
      </c>
      <c r="U1749" s="181">
        <v>819975908.43199992</v>
      </c>
      <c r="V1749" s="181">
        <v>0</v>
      </c>
    </row>
    <row r="1750" spans="1:22">
      <c r="A1750" s="2" t="s">
        <v>3518</v>
      </c>
      <c r="B1750" s="2" t="s">
        <v>3519</v>
      </c>
      <c r="C1750" s="181">
        <v>105.212912</v>
      </c>
      <c r="D1750" s="181">
        <v>12516.103999999999</v>
      </c>
      <c r="E1750" s="181">
        <v>0</v>
      </c>
      <c r="F1750" s="181">
        <v>0</v>
      </c>
      <c r="G1750" s="181">
        <v>0</v>
      </c>
      <c r="H1750" s="181">
        <v>0</v>
      </c>
      <c r="I1750" s="181">
        <v>0</v>
      </c>
      <c r="J1750" s="181">
        <v>0</v>
      </c>
      <c r="K1750" s="181">
        <v>0</v>
      </c>
      <c r="L1750" s="181">
        <v>0</v>
      </c>
      <c r="M1750" s="181">
        <v>313838494.90239996</v>
      </c>
      <c r="N1750" s="181">
        <v>1786189.9759999998</v>
      </c>
      <c r="O1750" s="181">
        <v>1373235.9631999999</v>
      </c>
      <c r="P1750" s="181">
        <v>158.49600000000001</v>
      </c>
      <c r="Q1750" s="181">
        <v>313838494.90239996</v>
      </c>
      <c r="R1750" s="181">
        <v>1786189.9759999998</v>
      </c>
      <c r="S1750" s="181">
        <v>1373235.9631999999</v>
      </c>
      <c r="T1750" s="181">
        <v>158.49600000000001</v>
      </c>
      <c r="U1750" s="181">
        <v>628509452.6559999</v>
      </c>
      <c r="V1750" s="181">
        <v>0</v>
      </c>
    </row>
    <row r="1751" spans="1:22">
      <c r="A1751" s="2" t="s">
        <v>3520</v>
      </c>
      <c r="B1751" s="2" t="s">
        <v>3521</v>
      </c>
      <c r="C1751" s="181">
        <v>123.21964799999999</v>
      </c>
      <c r="D1751" s="181">
        <v>14645.132</v>
      </c>
      <c r="E1751" s="181">
        <v>0</v>
      </c>
      <c r="F1751" s="181">
        <v>0</v>
      </c>
      <c r="G1751" s="181">
        <v>0</v>
      </c>
      <c r="H1751" s="181">
        <v>0</v>
      </c>
      <c r="I1751" s="181">
        <v>0</v>
      </c>
      <c r="J1751" s="181">
        <v>0</v>
      </c>
      <c r="K1751" s="181">
        <v>0</v>
      </c>
      <c r="L1751" s="181">
        <v>0</v>
      </c>
      <c r="M1751" s="181">
        <v>285118526.53599995</v>
      </c>
      <c r="N1751" s="181">
        <v>1835351.1679999998</v>
      </c>
      <c r="O1751" s="181">
        <v>1404371.3847999999</v>
      </c>
      <c r="P1751" s="181">
        <v>139.446</v>
      </c>
      <c r="Q1751" s="181">
        <v>285118526.53599995</v>
      </c>
      <c r="R1751" s="181">
        <v>1835351.1679999998</v>
      </c>
      <c r="S1751" s="181">
        <v>1404371.3847999999</v>
      </c>
      <c r="T1751" s="181">
        <v>139.446</v>
      </c>
      <c r="U1751" s="181">
        <v>570237053.07199991</v>
      </c>
      <c r="V1751" s="181">
        <v>0</v>
      </c>
    </row>
    <row r="1752" spans="1:22">
      <c r="A1752" s="2" t="s">
        <v>3522</v>
      </c>
      <c r="B1752" s="2" t="s">
        <v>3523</v>
      </c>
      <c r="C1752" s="181">
        <v>108.486864</v>
      </c>
      <c r="D1752" s="181">
        <v>12838.683999999999</v>
      </c>
      <c r="E1752" s="181">
        <v>0</v>
      </c>
      <c r="F1752" s="181">
        <v>0</v>
      </c>
      <c r="G1752" s="181">
        <v>0</v>
      </c>
      <c r="H1752" s="181">
        <v>0</v>
      </c>
      <c r="I1752" s="181">
        <v>0</v>
      </c>
      <c r="J1752" s="181">
        <v>0</v>
      </c>
      <c r="K1752" s="181">
        <v>0</v>
      </c>
      <c r="L1752" s="181">
        <v>0</v>
      </c>
      <c r="M1752" s="181">
        <v>252236243.91359997</v>
      </c>
      <c r="N1752" s="181">
        <v>1622319.3359999999</v>
      </c>
      <c r="O1752" s="181">
        <v>1242139.4511999998</v>
      </c>
      <c r="P1752" s="181">
        <v>139.95399999999998</v>
      </c>
      <c r="Q1752" s="181">
        <v>252236243.91359997</v>
      </c>
      <c r="R1752" s="181">
        <v>1622319.3359999999</v>
      </c>
      <c r="S1752" s="181">
        <v>1242139.4511999998</v>
      </c>
      <c r="T1752" s="181">
        <v>139.95399999999998</v>
      </c>
      <c r="U1752" s="181">
        <v>503640024.97599995</v>
      </c>
      <c r="V1752" s="181">
        <v>0</v>
      </c>
    </row>
    <row r="1753" spans="1:22">
      <c r="A1753" s="2" t="s">
        <v>3524</v>
      </c>
      <c r="B1753" s="2" t="s">
        <v>3525</v>
      </c>
      <c r="C1753" s="181">
        <v>93.158816000000002</v>
      </c>
      <c r="D1753" s="181">
        <v>11096.751999999999</v>
      </c>
      <c r="E1753" s="181">
        <v>0</v>
      </c>
      <c r="F1753" s="181">
        <v>0</v>
      </c>
      <c r="G1753" s="181">
        <v>0</v>
      </c>
      <c r="H1753" s="181">
        <v>0</v>
      </c>
      <c r="I1753" s="181">
        <v>0</v>
      </c>
      <c r="J1753" s="181">
        <v>0</v>
      </c>
      <c r="K1753" s="181">
        <v>0</v>
      </c>
      <c r="L1753" s="181">
        <v>0</v>
      </c>
      <c r="M1753" s="181">
        <v>218937729.86559999</v>
      </c>
      <c r="N1753" s="181">
        <v>1401093.9719999998</v>
      </c>
      <c r="O1753" s="181">
        <v>1076630.1047999999</v>
      </c>
      <c r="P1753" s="181">
        <v>140.46199999999999</v>
      </c>
      <c r="Q1753" s="181">
        <v>218937729.86559999</v>
      </c>
      <c r="R1753" s="181">
        <v>1401093.9719999998</v>
      </c>
      <c r="S1753" s="181">
        <v>1076630.1047999999</v>
      </c>
      <c r="T1753" s="181">
        <v>140.46199999999999</v>
      </c>
      <c r="U1753" s="181">
        <v>437042996.87999994</v>
      </c>
      <c r="V1753" s="181">
        <v>0</v>
      </c>
    </row>
    <row r="1754" spans="1:22">
      <c r="A1754" s="2" t="s">
        <v>3526</v>
      </c>
      <c r="B1754" s="2" t="s">
        <v>3527</v>
      </c>
      <c r="C1754" s="181">
        <v>77.830767999999992</v>
      </c>
      <c r="D1754" s="181">
        <v>9290.3040000000001</v>
      </c>
      <c r="E1754" s="181">
        <v>0</v>
      </c>
      <c r="F1754" s="181">
        <v>0</v>
      </c>
      <c r="G1754" s="181">
        <v>0</v>
      </c>
      <c r="H1754" s="181">
        <v>0</v>
      </c>
      <c r="I1754" s="181">
        <v>0</v>
      </c>
      <c r="J1754" s="181">
        <v>0</v>
      </c>
      <c r="K1754" s="181">
        <v>0</v>
      </c>
      <c r="L1754" s="181">
        <v>0</v>
      </c>
      <c r="M1754" s="181">
        <v>184390521.54079998</v>
      </c>
      <c r="N1754" s="181">
        <v>1176591.1952</v>
      </c>
      <c r="O1754" s="181">
        <v>907843.34559999988</v>
      </c>
      <c r="P1754" s="181">
        <v>140.97</v>
      </c>
      <c r="Q1754" s="181">
        <v>184390521.54079998</v>
      </c>
      <c r="R1754" s="181">
        <v>1176591.1952</v>
      </c>
      <c r="S1754" s="181">
        <v>907843.34559999988</v>
      </c>
      <c r="T1754" s="181">
        <v>140.97</v>
      </c>
      <c r="U1754" s="181">
        <v>368781043.08159995</v>
      </c>
      <c r="V1754" s="181">
        <v>0</v>
      </c>
    </row>
    <row r="1755" spans="1:22">
      <c r="A1755" s="2" t="s">
        <v>3528</v>
      </c>
      <c r="B1755" s="2" t="s">
        <v>3529</v>
      </c>
      <c r="C1755" s="181">
        <v>107.44515199999999</v>
      </c>
      <c r="D1755" s="181">
        <v>12774.168</v>
      </c>
      <c r="E1755" s="181">
        <v>0</v>
      </c>
      <c r="F1755" s="181">
        <v>0</v>
      </c>
      <c r="G1755" s="181">
        <v>0</v>
      </c>
      <c r="H1755" s="181">
        <v>0</v>
      </c>
      <c r="I1755" s="181">
        <v>0</v>
      </c>
      <c r="J1755" s="181">
        <v>0</v>
      </c>
      <c r="K1755" s="181">
        <v>0</v>
      </c>
      <c r="L1755" s="181">
        <v>0</v>
      </c>
      <c r="M1755" s="181">
        <v>188552835.79679999</v>
      </c>
      <c r="N1755" s="181">
        <v>1396177.8528</v>
      </c>
      <c r="O1755" s="181">
        <v>1061881.7471999999</v>
      </c>
      <c r="P1755" s="181">
        <v>121.666</v>
      </c>
      <c r="Q1755" s="181">
        <v>188552835.79679999</v>
      </c>
      <c r="R1755" s="181">
        <v>1396177.8528</v>
      </c>
      <c r="S1755" s="181">
        <v>1061881.7471999999</v>
      </c>
      <c r="T1755" s="181">
        <v>121.666</v>
      </c>
      <c r="U1755" s="181">
        <v>377521903.01919997</v>
      </c>
      <c r="V1755" s="181">
        <v>0</v>
      </c>
    </row>
    <row r="1756" spans="1:22">
      <c r="A1756" s="2" t="s">
        <v>3530</v>
      </c>
      <c r="B1756" s="2" t="s">
        <v>3531</v>
      </c>
      <c r="C1756" s="181">
        <v>81.253535999999997</v>
      </c>
      <c r="D1756" s="181">
        <v>9677.4</v>
      </c>
      <c r="E1756" s="181">
        <v>0</v>
      </c>
      <c r="F1756" s="181">
        <v>0</v>
      </c>
      <c r="G1756" s="181">
        <v>0</v>
      </c>
      <c r="H1756" s="181">
        <v>0</v>
      </c>
      <c r="I1756" s="181">
        <v>0</v>
      </c>
      <c r="J1756" s="181">
        <v>0</v>
      </c>
      <c r="K1756" s="181">
        <v>0</v>
      </c>
      <c r="L1756" s="181">
        <v>0</v>
      </c>
      <c r="M1756" s="181">
        <v>145264767.53439999</v>
      </c>
      <c r="N1756" s="181">
        <v>1066797.8663999997</v>
      </c>
      <c r="O1756" s="181">
        <v>816075.7871999999</v>
      </c>
      <c r="P1756" s="181">
        <v>122.68199999999999</v>
      </c>
      <c r="Q1756" s="181">
        <v>145264767.53439999</v>
      </c>
      <c r="R1756" s="181">
        <v>1066797.8663999997</v>
      </c>
      <c r="S1756" s="181">
        <v>816075.7871999999</v>
      </c>
      <c r="T1756" s="181">
        <v>122.68199999999999</v>
      </c>
      <c r="U1756" s="181">
        <v>290529535.06879997</v>
      </c>
      <c r="V1756" s="181">
        <v>0</v>
      </c>
    </row>
    <row r="1757" spans="1:22">
      <c r="A1757" s="2" t="s">
        <v>3532</v>
      </c>
      <c r="B1757" s="2" t="s">
        <v>3533</v>
      </c>
      <c r="C1757" s="181">
        <v>68.008911999999995</v>
      </c>
      <c r="D1757" s="181">
        <v>8064.5</v>
      </c>
      <c r="E1757" s="181">
        <v>0</v>
      </c>
      <c r="F1757" s="181">
        <v>0</v>
      </c>
      <c r="G1757" s="181">
        <v>0</v>
      </c>
      <c r="H1757" s="181">
        <v>0</v>
      </c>
      <c r="I1757" s="181">
        <v>0</v>
      </c>
      <c r="J1757" s="181">
        <v>0</v>
      </c>
      <c r="K1757" s="181">
        <v>0</v>
      </c>
      <c r="L1757" s="181">
        <v>0</v>
      </c>
      <c r="M1757" s="181">
        <v>122788270.55199999</v>
      </c>
      <c r="N1757" s="181">
        <v>896372.40079999994</v>
      </c>
      <c r="O1757" s="181">
        <v>689895.39439999999</v>
      </c>
      <c r="P1757" s="181">
        <v>123.18999999999998</v>
      </c>
      <c r="Q1757" s="181">
        <v>122788270.55199999</v>
      </c>
      <c r="R1757" s="181">
        <v>896372.40079999994</v>
      </c>
      <c r="S1757" s="181">
        <v>689895.39439999999</v>
      </c>
      <c r="T1757" s="181">
        <v>123.18999999999998</v>
      </c>
      <c r="U1757" s="181">
        <v>245160309.67839998</v>
      </c>
      <c r="V1757" s="181">
        <v>0</v>
      </c>
    </row>
    <row r="1758" spans="1:22">
      <c r="A1758" s="2" t="s">
        <v>3534</v>
      </c>
      <c r="B1758" s="2" t="s">
        <v>3535</v>
      </c>
      <c r="C1758" s="181">
        <v>97.47448</v>
      </c>
      <c r="D1758" s="181">
        <v>11548.363999999998</v>
      </c>
      <c r="E1758" s="181">
        <v>0</v>
      </c>
      <c r="F1758" s="181">
        <v>0</v>
      </c>
      <c r="G1758" s="181">
        <v>0</v>
      </c>
      <c r="H1758" s="181">
        <v>0</v>
      </c>
      <c r="I1758" s="181">
        <v>0</v>
      </c>
      <c r="J1758" s="181">
        <v>0</v>
      </c>
      <c r="K1758" s="181">
        <v>0</v>
      </c>
      <c r="L1758" s="181">
        <v>0</v>
      </c>
      <c r="M1758" s="181">
        <v>141102453.27839997</v>
      </c>
      <c r="N1758" s="181">
        <v>1150371.8928</v>
      </c>
      <c r="O1758" s="181">
        <v>871791.80479999993</v>
      </c>
      <c r="P1758" s="181">
        <v>110.48999999999998</v>
      </c>
      <c r="Q1758" s="181">
        <v>141102453.27839997</v>
      </c>
      <c r="R1758" s="181">
        <v>1150371.8928</v>
      </c>
      <c r="S1758" s="181">
        <v>871791.80479999993</v>
      </c>
      <c r="T1758" s="181">
        <v>110.48999999999998</v>
      </c>
      <c r="U1758" s="181">
        <v>282204906.55679995</v>
      </c>
      <c r="V1758" s="181">
        <v>0</v>
      </c>
    </row>
    <row r="1759" spans="1:22">
      <c r="A1759" s="2" t="s">
        <v>3536</v>
      </c>
      <c r="B1759" s="2" t="s">
        <v>3537</v>
      </c>
      <c r="C1759" s="181">
        <v>73.812736000000001</v>
      </c>
      <c r="D1759" s="181">
        <v>8774.1759999999995</v>
      </c>
      <c r="E1759" s="181">
        <v>0</v>
      </c>
      <c r="F1759" s="181">
        <v>0</v>
      </c>
      <c r="G1759" s="181">
        <v>0</v>
      </c>
      <c r="H1759" s="181">
        <v>0</v>
      </c>
      <c r="I1759" s="181">
        <v>0</v>
      </c>
      <c r="J1759" s="181">
        <v>0</v>
      </c>
      <c r="K1759" s="181">
        <v>0</v>
      </c>
      <c r="L1759" s="181">
        <v>0</v>
      </c>
      <c r="M1759" s="181">
        <v>109052633.50719999</v>
      </c>
      <c r="N1759" s="181">
        <v>879985.33679999993</v>
      </c>
      <c r="O1759" s="181">
        <v>671869.62399999995</v>
      </c>
      <c r="P1759" s="181">
        <v>111.50599999999999</v>
      </c>
      <c r="Q1759" s="181">
        <v>109052633.50719999</v>
      </c>
      <c r="R1759" s="181">
        <v>879985.33679999993</v>
      </c>
      <c r="S1759" s="181">
        <v>671869.62399999995</v>
      </c>
      <c r="T1759" s="181">
        <v>111.50599999999999</v>
      </c>
      <c r="U1759" s="181">
        <v>217689035.58879998</v>
      </c>
      <c r="V1759" s="181">
        <v>0</v>
      </c>
    </row>
    <row r="1760" spans="1:22">
      <c r="A1760" s="2" t="s">
        <v>3538</v>
      </c>
      <c r="B1760" s="2" t="s">
        <v>3539</v>
      </c>
      <c r="C1760" s="181">
        <v>49.704543999999999</v>
      </c>
      <c r="D1760" s="181">
        <v>5909.6655999999994</v>
      </c>
      <c r="E1760" s="181">
        <v>0</v>
      </c>
      <c r="F1760" s="181">
        <v>0</v>
      </c>
      <c r="G1760" s="181">
        <v>0</v>
      </c>
      <c r="H1760" s="181">
        <v>0</v>
      </c>
      <c r="I1760" s="181">
        <v>0</v>
      </c>
      <c r="J1760" s="181">
        <v>0</v>
      </c>
      <c r="K1760" s="181">
        <v>0</v>
      </c>
      <c r="L1760" s="181">
        <v>0</v>
      </c>
      <c r="M1760" s="181">
        <v>74921656.607999995</v>
      </c>
      <c r="N1760" s="181">
        <v>598127.83599999989</v>
      </c>
      <c r="O1760" s="181">
        <v>462115.20479999995</v>
      </c>
      <c r="P1760" s="181">
        <v>112.52199999999999</v>
      </c>
      <c r="Q1760" s="181">
        <v>74921656.607999995</v>
      </c>
      <c r="R1760" s="181">
        <v>598127.83599999989</v>
      </c>
      <c r="S1760" s="181">
        <v>462115.20479999995</v>
      </c>
      <c r="T1760" s="181">
        <v>112.52199999999999</v>
      </c>
      <c r="U1760" s="181">
        <v>149427081.7904</v>
      </c>
      <c r="V1760" s="181">
        <v>0</v>
      </c>
    </row>
    <row r="1761" spans="1:22">
      <c r="A1761" s="2" t="s">
        <v>3540</v>
      </c>
      <c r="B1761" s="2" t="s">
        <v>3541</v>
      </c>
      <c r="C1761" s="181">
        <v>118.01108799999999</v>
      </c>
      <c r="D1761" s="181">
        <v>14064.487999999999</v>
      </c>
      <c r="E1761" s="181">
        <v>0</v>
      </c>
      <c r="F1761" s="181">
        <v>0</v>
      </c>
      <c r="G1761" s="181">
        <v>0</v>
      </c>
      <c r="H1761" s="181">
        <v>0</v>
      </c>
      <c r="I1761" s="181">
        <v>0</v>
      </c>
      <c r="J1761" s="181">
        <v>0</v>
      </c>
      <c r="K1761" s="181">
        <v>0</v>
      </c>
      <c r="L1761" s="181">
        <v>0</v>
      </c>
      <c r="M1761" s="181">
        <v>161081561.70719999</v>
      </c>
      <c r="N1761" s="181">
        <v>1353571.4863999998</v>
      </c>
      <c r="O1761" s="181">
        <v>1015997.9679999999</v>
      </c>
      <c r="P1761" s="181">
        <v>107.18799999999999</v>
      </c>
      <c r="Q1761" s="181">
        <v>161081561.70719999</v>
      </c>
      <c r="R1761" s="181">
        <v>1353571.4863999998</v>
      </c>
      <c r="S1761" s="181">
        <v>1015997.9679999999</v>
      </c>
      <c r="T1761" s="181">
        <v>107.18799999999999</v>
      </c>
      <c r="U1761" s="181">
        <v>322163123.41439998</v>
      </c>
      <c r="V1761" s="181">
        <v>0</v>
      </c>
    </row>
    <row r="1762" spans="1:22">
      <c r="A1762" s="2" t="s">
        <v>3542</v>
      </c>
      <c r="B1762" s="2" t="s">
        <v>3543</v>
      </c>
      <c r="C1762" s="181">
        <v>95.391055999999992</v>
      </c>
      <c r="D1762" s="181">
        <v>11354.816000000001</v>
      </c>
      <c r="E1762" s="181">
        <v>0</v>
      </c>
      <c r="F1762" s="181">
        <v>0</v>
      </c>
      <c r="G1762" s="181">
        <v>0</v>
      </c>
      <c r="H1762" s="181">
        <v>0</v>
      </c>
      <c r="I1762" s="181">
        <v>0</v>
      </c>
      <c r="J1762" s="181">
        <v>0</v>
      </c>
      <c r="K1762" s="181">
        <v>0</v>
      </c>
      <c r="L1762" s="181">
        <v>0</v>
      </c>
      <c r="M1762" s="181">
        <v>132777824.76639998</v>
      </c>
      <c r="N1762" s="181">
        <v>1104488.1136</v>
      </c>
      <c r="O1762" s="181">
        <v>835740.26399999997</v>
      </c>
      <c r="P1762" s="181">
        <v>108.20399999999999</v>
      </c>
      <c r="Q1762" s="181">
        <v>132777824.76639998</v>
      </c>
      <c r="R1762" s="181">
        <v>1104488.1136</v>
      </c>
      <c r="S1762" s="181">
        <v>835740.26399999997</v>
      </c>
      <c r="T1762" s="181">
        <v>108.20399999999999</v>
      </c>
      <c r="U1762" s="181">
        <v>265555649.53279996</v>
      </c>
      <c r="V1762" s="181">
        <v>0</v>
      </c>
    </row>
    <row r="1763" spans="1:22">
      <c r="A1763" s="2" t="s">
        <v>3544</v>
      </c>
      <c r="B1763" s="2" t="s">
        <v>3545</v>
      </c>
      <c r="C1763" s="181">
        <v>72.324575999999993</v>
      </c>
      <c r="D1763" s="181">
        <v>8580.6280000000006</v>
      </c>
      <c r="E1763" s="181">
        <v>0</v>
      </c>
      <c r="F1763" s="181">
        <v>0</v>
      </c>
      <c r="G1763" s="181">
        <v>0</v>
      </c>
      <c r="H1763" s="181">
        <v>0</v>
      </c>
      <c r="I1763" s="181">
        <v>0</v>
      </c>
      <c r="J1763" s="181">
        <v>0</v>
      </c>
      <c r="K1763" s="181">
        <v>0</v>
      </c>
      <c r="L1763" s="181">
        <v>0</v>
      </c>
      <c r="M1763" s="181">
        <v>102392930.69759999</v>
      </c>
      <c r="N1763" s="181">
        <v>843933.79599999997</v>
      </c>
      <c r="O1763" s="181">
        <v>645650.32159999991</v>
      </c>
      <c r="P1763" s="181">
        <v>109.21999999999998</v>
      </c>
      <c r="Q1763" s="181">
        <v>102392930.69759999</v>
      </c>
      <c r="R1763" s="181">
        <v>843933.79599999997</v>
      </c>
      <c r="S1763" s="181">
        <v>645650.32159999991</v>
      </c>
      <c r="T1763" s="181">
        <v>109.21999999999998</v>
      </c>
      <c r="U1763" s="181">
        <v>204785861.39519998</v>
      </c>
      <c r="V1763" s="181">
        <v>0</v>
      </c>
    </row>
    <row r="1764" spans="1:22">
      <c r="A1764" s="2" t="s">
        <v>3546</v>
      </c>
      <c r="B1764" s="2" t="s">
        <v>3547</v>
      </c>
      <c r="C1764" s="181">
        <v>60.568111999999999</v>
      </c>
      <c r="D1764" s="181">
        <v>7225.7919999999995</v>
      </c>
      <c r="E1764" s="181">
        <v>0</v>
      </c>
      <c r="F1764" s="181">
        <v>0</v>
      </c>
      <c r="G1764" s="181">
        <v>0</v>
      </c>
      <c r="H1764" s="181">
        <v>0</v>
      </c>
      <c r="I1764" s="181">
        <v>0</v>
      </c>
      <c r="J1764" s="181">
        <v>0</v>
      </c>
      <c r="K1764" s="181">
        <v>0</v>
      </c>
      <c r="L1764" s="181">
        <v>0</v>
      </c>
      <c r="M1764" s="181">
        <v>86576136.524799988</v>
      </c>
      <c r="N1764" s="181">
        <v>711198.57759999996</v>
      </c>
      <c r="O1764" s="181">
        <v>545689.23119999992</v>
      </c>
      <c r="P1764" s="181">
        <v>109.72799999999999</v>
      </c>
      <c r="Q1764" s="181">
        <v>86576136.524799988</v>
      </c>
      <c r="R1764" s="181">
        <v>711198.57759999996</v>
      </c>
      <c r="S1764" s="181">
        <v>545689.23119999992</v>
      </c>
      <c r="T1764" s="181">
        <v>109.72799999999999</v>
      </c>
      <c r="U1764" s="181">
        <v>173152273.04959998</v>
      </c>
      <c r="V1764" s="181">
        <v>0</v>
      </c>
    </row>
    <row r="1765" spans="1:22">
      <c r="A1765" s="2" t="s">
        <v>3548</v>
      </c>
      <c r="B1765" s="2" t="s">
        <v>3549</v>
      </c>
      <c r="C1765" s="181">
        <v>48.662832000000002</v>
      </c>
      <c r="D1765" s="181">
        <v>5793.5367999999999</v>
      </c>
      <c r="E1765" s="181">
        <v>0</v>
      </c>
      <c r="F1765" s="181">
        <v>0</v>
      </c>
      <c r="G1765" s="181">
        <v>0</v>
      </c>
      <c r="H1765" s="181">
        <v>0</v>
      </c>
      <c r="I1765" s="181">
        <v>0</v>
      </c>
      <c r="J1765" s="181">
        <v>0</v>
      </c>
      <c r="K1765" s="181">
        <v>0</v>
      </c>
      <c r="L1765" s="181">
        <v>0</v>
      </c>
      <c r="M1765" s="181">
        <v>70343110.926399991</v>
      </c>
      <c r="N1765" s="181">
        <v>575185.94640000002</v>
      </c>
      <c r="O1765" s="181">
        <v>442450.72799999994</v>
      </c>
      <c r="P1765" s="181">
        <v>110.23599999999999</v>
      </c>
      <c r="Q1765" s="181">
        <v>70343110.926399991</v>
      </c>
      <c r="R1765" s="181">
        <v>575185.94640000002</v>
      </c>
      <c r="S1765" s="181">
        <v>442450.72799999994</v>
      </c>
      <c r="T1765" s="181">
        <v>110.23599999999999</v>
      </c>
      <c r="U1765" s="181">
        <v>140686221.85279998</v>
      </c>
      <c r="V1765" s="181">
        <v>0</v>
      </c>
    </row>
    <row r="1766" spans="1:22">
      <c r="A1766" s="2" t="s">
        <v>3550</v>
      </c>
      <c r="B1766" s="2" t="s">
        <v>3551</v>
      </c>
      <c r="C1766" s="181">
        <v>36.757551999999997</v>
      </c>
      <c r="D1766" s="181">
        <v>4348.3783999999996</v>
      </c>
      <c r="E1766" s="181">
        <v>0</v>
      </c>
      <c r="F1766" s="181">
        <v>0</v>
      </c>
      <c r="G1766" s="181">
        <v>0</v>
      </c>
      <c r="H1766" s="181">
        <v>0</v>
      </c>
      <c r="I1766" s="181">
        <v>0</v>
      </c>
      <c r="J1766" s="181">
        <v>0</v>
      </c>
      <c r="K1766" s="181">
        <v>0</v>
      </c>
      <c r="L1766" s="181">
        <v>0</v>
      </c>
      <c r="M1766" s="181">
        <v>53277622.476799995</v>
      </c>
      <c r="N1766" s="181">
        <v>432618.48959999991</v>
      </c>
      <c r="O1766" s="181">
        <v>335934.81199999998</v>
      </c>
      <c r="P1766" s="181">
        <v>110.744</v>
      </c>
      <c r="Q1766" s="181">
        <v>53277622.476799995</v>
      </c>
      <c r="R1766" s="181">
        <v>432618.48959999991</v>
      </c>
      <c r="S1766" s="181">
        <v>335934.81199999998</v>
      </c>
      <c r="T1766" s="181">
        <v>110.744</v>
      </c>
      <c r="U1766" s="181">
        <v>106555244.95359999</v>
      </c>
      <c r="V1766" s="181">
        <v>0</v>
      </c>
    </row>
    <row r="1767" spans="1:22">
      <c r="A1767" s="2" t="s">
        <v>3552</v>
      </c>
      <c r="B1767" s="2" t="s">
        <v>3553</v>
      </c>
      <c r="C1767" s="181">
        <v>105.65935999999999</v>
      </c>
      <c r="D1767" s="181">
        <v>12580.619999999999</v>
      </c>
      <c r="E1767" s="181">
        <v>0</v>
      </c>
      <c r="F1767" s="181">
        <v>0</v>
      </c>
      <c r="G1767" s="181">
        <v>0</v>
      </c>
      <c r="H1767" s="181">
        <v>0</v>
      </c>
      <c r="I1767" s="181">
        <v>0</v>
      </c>
      <c r="J1767" s="181">
        <v>0</v>
      </c>
      <c r="K1767" s="181">
        <v>0</v>
      </c>
      <c r="L1767" s="181">
        <v>0</v>
      </c>
      <c r="M1767" s="181">
        <v>115712336.31679998</v>
      </c>
      <c r="N1767" s="181">
        <v>1084823.6368</v>
      </c>
      <c r="O1767" s="181">
        <v>809520.96159999992</v>
      </c>
      <c r="P1767" s="181">
        <v>96.011999999999986</v>
      </c>
      <c r="Q1767" s="181">
        <v>115712336.31679998</v>
      </c>
      <c r="R1767" s="181">
        <v>1084823.6368</v>
      </c>
      <c r="S1767" s="181">
        <v>809520.96159999992</v>
      </c>
      <c r="T1767" s="181">
        <v>96.011999999999986</v>
      </c>
      <c r="U1767" s="181">
        <v>231424672.63359997</v>
      </c>
      <c r="V1767" s="181">
        <v>0</v>
      </c>
    </row>
    <row r="1768" spans="1:22">
      <c r="A1768" s="2" t="s">
        <v>3554</v>
      </c>
      <c r="B1768" s="2" t="s">
        <v>3555</v>
      </c>
      <c r="C1768" s="181">
        <v>85.569199999999995</v>
      </c>
      <c r="D1768" s="181">
        <v>10193.528</v>
      </c>
      <c r="E1768" s="181">
        <v>0</v>
      </c>
      <c r="F1768" s="181">
        <v>0</v>
      </c>
      <c r="G1768" s="181">
        <v>0</v>
      </c>
      <c r="H1768" s="181">
        <v>0</v>
      </c>
      <c r="I1768" s="181">
        <v>0</v>
      </c>
      <c r="J1768" s="181">
        <v>0</v>
      </c>
      <c r="K1768" s="181">
        <v>0</v>
      </c>
      <c r="L1768" s="181">
        <v>0</v>
      </c>
      <c r="M1768" s="181">
        <v>95316996.462399989</v>
      </c>
      <c r="N1768" s="181">
        <v>886540.16239999991</v>
      </c>
      <c r="O1768" s="181">
        <v>668592.2111999999</v>
      </c>
      <c r="P1768" s="181">
        <v>97.027999999999992</v>
      </c>
      <c r="Q1768" s="181">
        <v>95316996.462399989</v>
      </c>
      <c r="R1768" s="181">
        <v>886540.16239999991</v>
      </c>
      <c r="S1768" s="181">
        <v>668592.2111999999</v>
      </c>
      <c r="T1768" s="181">
        <v>97.027999999999992</v>
      </c>
      <c r="U1768" s="181">
        <v>191050224.35039997</v>
      </c>
      <c r="V1768" s="181">
        <v>0</v>
      </c>
    </row>
    <row r="1769" spans="1:22">
      <c r="A1769" s="2" t="s">
        <v>3556</v>
      </c>
      <c r="B1769" s="2" t="s">
        <v>3557</v>
      </c>
      <c r="C1769" s="181">
        <v>64.883775999999997</v>
      </c>
      <c r="D1769" s="181">
        <v>7741.92</v>
      </c>
      <c r="E1769" s="181">
        <v>0</v>
      </c>
      <c r="F1769" s="181">
        <v>0</v>
      </c>
      <c r="G1769" s="181">
        <v>0</v>
      </c>
      <c r="H1769" s="181">
        <v>0</v>
      </c>
      <c r="I1769" s="181">
        <v>0</v>
      </c>
      <c r="J1769" s="181">
        <v>0</v>
      </c>
      <c r="K1769" s="181">
        <v>0</v>
      </c>
      <c r="L1769" s="181">
        <v>0</v>
      </c>
      <c r="M1769" s="181">
        <v>74089193.756799996</v>
      </c>
      <c r="N1769" s="181">
        <v>680063.15599999996</v>
      </c>
      <c r="O1769" s="181">
        <v>517831.22239999997</v>
      </c>
      <c r="P1769" s="181">
        <v>98.043999999999997</v>
      </c>
      <c r="Q1769" s="181">
        <v>74089193.756799996</v>
      </c>
      <c r="R1769" s="181">
        <v>680063.15599999996</v>
      </c>
      <c r="S1769" s="181">
        <v>517831.22239999997</v>
      </c>
      <c r="T1769" s="181">
        <v>98.043999999999997</v>
      </c>
      <c r="U1769" s="181">
        <v>147762156.088</v>
      </c>
      <c r="V1769" s="181">
        <v>0</v>
      </c>
    </row>
    <row r="1770" spans="1:22">
      <c r="A1770" s="2" t="s">
        <v>3558</v>
      </c>
      <c r="B1770" s="2" t="s">
        <v>3559</v>
      </c>
      <c r="C1770" s="181">
        <v>54.317839999999997</v>
      </c>
      <c r="D1770" s="181">
        <v>6451.5999999999995</v>
      </c>
      <c r="E1770" s="181">
        <v>0</v>
      </c>
      <c r="F1770" s="181">
        <v>0</v>
      </c>
      <c r="G1770" s="181">
        <v>0</v>
      </c>
      <c r="H1770" s="181">
        <v>0</v>
      </c>
      <c r="I1770" s="181">
        <v>0</v>
      </c>
      <c r="J1770" s="181">
        <v>0</v>
      </c>
      <c r="K1770" s="181">
        <v>0</v>
      </c>
      <c r="L1770" s="181">
        <v>0</v>
      </c>
      <c r="M1770" s="181">
        <v>62850945.265599996</v>
      </c>
      <c r="N1770" s="181">
        <v>573547.24</v>
      </c>
      <c r="O1770" s="181">
        <v>439173.31519999995</v>
      </c>
      <c r="P1770" s="181">
        <v>98.551999999999992</v>
      </c>
      <c r="Q1770" s="181">
        <v>62850945.265599996</v>
      </c>
      <c r="R1770" s="181">
        <v>573547.24</v>
      </c>
      <c r="S1770" s="181">
        <v>439173.31519999995</v>
      </c>
      <c r="T1770" s="181">
        <v>98.551999999999992</v>
      </c>
      <c r="U1770" s="181">
        <v>125285659.10559998</v>
      </c>
      <c r="V1770" s="181">
        <v>0</v>
      </c>
    </row>
    <row r="1771" spans="1:22">
      <c r="A1771" s="2" t="s">
        <v>3560</v>
      </c>
      <c r="B1771" s="2" t="s">
        <v>3561</v>
      </c>
      <c r="C1771" s="181">
        <v>43.751903999999996</v>
      </c>
      <c r="D1771" s="181">
        <v>5199.9895999999999</v>
      </c>
      <c r="E1771" s="181">
        <v>0</v>
      </c>
      <c r="F1771" s="181">
        <v>0</v>
      </c>
      <c r="G1771" s="181">
        <v>0</v>
      </c>
      <c r="H1771" s="181">
        <v>0</v>
      </c>
      <c r="I1771" s="181">
        <v>0</v>
      </c>
      <c r="J1771" s="181">
        <v>0</v>
      </c>
      <c r="K1771" s="181">
        <v>0</v>
      </c>
      <c r="L1771" s="181">
        <v>0</v>
      </c>
      <c r="M1771" s="181">
        <v>50780233.923199996</v>
      </c>
      <c r="N1771" s="181">
        <v>463753.91119999997</v>
      </c>
      <c r="O1771" s="181">
        <v>357237.9952</v>
      </c>
      <c r="P1771" s="181">
        <v>99.059999999999988</v>
      </c>
      <c r="Q1771" s="181">
        <v>50780233.923199996</v>
      </c>
      <c r="R1771" s="181">
        <v>463753.91119999997</v>
      </c>
      <c r="S1771" s="181">
        <v>357237.9952</v>
      </c>
      <c r="T1771" s="181">
        <v>99.059999999999988</v>
      </c>
      <c r="U1771" s="181">
        <v>101976699.27199998</v>
      </c>
      <c r="V1771" s="181">
        <v>0</v>
      </c>
    </row>
    <row r="1772" spans="1:22">
      <c r="A1772" s="2" t="s">
        <v>3562</v>
      </c>
      <c r="B1772" s="2" t="s">
        <v>3563</v>
      </c>
      <c r="C1772" s="181">
        <v>33.037151999999999</v>
      </c>
      <c r="D1772" s="181">
        <v>3903.2179999999998</v>
      </c>
      <c r="E1772" s="181">
        <v>0</v>
      </c>
      <c r="F1772" s="181">
        <v>0</v>
      </c>
      <c r="G1772" s="181">
        <v>0</v>
      </c>
      <c r="H1772" s="181">
        <v>0</v>
      </c>
      <c r="I1772" s="181">
        <v>0</v>
      </c>
      <c r="J1772" s="181">
        <v>0</v>
      </c>
      <c r="K1772" s="181">
        <v>0</v>
      </c>
      <c r="L1772" s="181">
        <v>0</v>
      </c>
      <c r="M1772" s="181">
        <v>38667899.438239999</v>
      </c>
      <c r="N1772" s="181">
        <v>349044.4632</v>
      </c>
      <c r="O1772" s="181">
        <v>270386.55599999998</v>
      </c>
      <c r="P1772" s="181">
        <v>99.567999999999998</v>
      </c>
      <c r="Q1772" s="181">
        <v>38667899.438239999</v>
      </c>
      <c r="R1772" s="181">
        <v>349044.4632</v>
      </c>
      <c r="S1772" s="181">
        <v>270386.55599999998</v>
      </c>
      <c r="T1772" s="181">
        <v>99.567999999999998</v>
      </c>
      <c r="U1772" s="181">
        <v>77419045.161599994</v>
      </c>
      <c r="V1772" s="181">
        <v>0</v>
      </c>
    </row>
    <row r="1773" spans="1:22">
      <c r="A1773" s="2" t="s">
        <v>3564</v>
      </c>
      <c r="B1773" s="2" t="s">
        <v>3565</v>
      </c>
      <c r="C1773" s="181">
        <v>81.55116799999999</v>
      </c>
      <c r="D1773" s="181">
        <v>9677.4</v>
      </c>
      <c r="E1773" s="181">
        <v>0</v>
      </c>
      <c r="F1773" s="181">
        <v>0</v>
      </c>
      <c r="G1773" s="181">
        <v>0</v>
      </c>
      <c r="H1773" s="181">
        <v>0</v>
      </c>
      <c r="I1773" s="181">
        <v>0</v>
      </c>
      <c r="J1773" s="181">
        <v>0</v>
      </c>
      <c r="K1773" s="181">
        <v>0</v>
      </c>
      <c r="L1773" s="181">
        <v>0</v>
      </c>
      <c r="M1773" s="181">
        <v>82830053.694399998</v>
      </c>
      <c r="N1773" s="181">
        <v>806243.54879999999</v>
      </c>
      <c r="O1773" s="181">
        <v>606321.3679999999</v>
      </c>
      <c r="P1773" s="181">
        <v>92.456000000000003</v>
      </c>
      <c r="Q1773" s="181">
        <v>82830053.694399998</v>
      </c>
      <c r="R1773" s="181">
        <v>806243.54879999999</v>
      </c>
      <c r="S1773" s="181">
        <v>606321.3679999999</v>
      </c>
      <c r="T1773" s="181">
        <v>92.456000000000003</v>
      </c>
      <c r="U1773" s="181">
        <v>165660107.3888</v>
      </c>
      <c r="V1773" s="181">
        <v>0</v>
      </c>
    </row>
    <row r="1774" spans="1:22">
      <c r="A1774" s="2" t="s">
        <v>3566</v>
      </c>
      <c r="B1774" s="2" t="s">
        <v>3567</v>
      </c>
      <c r="C1774" s="181">
        <v>41.817295999999999</v>
      </c>
      <c r="D1774" s="181">
        <v>4967.732</v>
      </c>
      <c r="E1774" s="181">
        <v>0</v>
      </c>
      <c r="F1774" s="181">
        <v>0</v>
      </c>
      <c r="G1774" s="181">
        <v>0</v>
      </c>
      <c r="H1774" s="181">
        <v>0</v>
      </c>
      <c r="I1774" s="181">
        <v>0</v>
      </c>
      <c r="J1774" s="181">
        <v>0</v>
      </c>
      <c r="K1774" s="181">
        <v>0</v>
      </c>
      <c r="L1774" s="181">
        <v>0</v>
      </c>
      <c r="M1774" s="181">
        <v>44120531.113599993</v>
      </c>
      <c r="N1774" s="181">
        <v>422786.2512</v>
      </c>
      <c r="O1774" s="181">
        <v>324463.86719999998</v>
      </c>
      <c r="P1774" s="181">
        <v>94.488</v>
      </c>
      <c r="Q1774" s="181">
        <v>44120531.113599993</v>
      </c>
      <c r="R1774" s="181">
        <v>422786.2512</v>
      </c>
      <c r="S1774" s="181">
        <v>324463.86719999998</v>
      </c>
      <c r="T1774" s="181">
        <v>94.488</v>
      </c>
      <c r="U1774" s="181">
        <v>88657293.652799994</v>
      </c>
      <c r="V1774" s="181">
        <v>0</v>
      </c>
    </row>
    <row r="1775" spans="1:22">
      <c r="A1775" s="2" t="s">
        <v>3568</v>
      </c>
      <c r="B1775" s="2" t="s">
        <v>3569</v>
      </c>
      <c r="C1775" s="181">
        <v>93.158816000000002</v>
      </c>
      <c r="D1775" s="181">
        <v>11096.751999999999</v>
      </c>
      <c r="E1775" s="181">
        <v>0</v>
      </c>
      <c r="F1775" s="181">
        <v>0</v>
      </c>
      <c r="G1775" s="181">
        <v>0</v>
      </c>
      <c r="H1775" s="181">
        <v>0</v>
      </c>
      <c r="I1775" s="181">
        <v>0</v>
      </c>
      <c r="J1775" s="181">
        <v>0</v>
      </c>
      <c r="K1775" s="181">
        <v>0</v>
      </c>
      <c r="L1775" s="181">
        <v>0</v>
      </c>
      <c r="M1775" s="181">
        <v>79500202.289599985</v>
      </c>
      <c r="N1775" s="181">
        <v>845572.5024</v>
      </c>
      <c r="O1775" s="181">
        <v>627624.55119999987</v>
      </c>
      <c r="P1775" s="181">
        <v>84.835999999999999</v>
      </c>
      <c r="Q1775" s="181">
        <v>79500202.289599985</v>
      </c>
      <c r="R1775" s="181">
        <v>845572.5024</v>
      </c>
      <c r="S1775" s="181">
        <v>627624.55119999987</v>
      </c>
      <c r="T1775" s="181">
        <v>84.835999999999999</v>
      </c>
      <c r="U1775" s="181">
        <v>159416636.00479999</v>
      </c>
      <c r="V1775" s="181">
        <v>0</v>
      </c>
    </row>
    <row r="1776" spans="1:22">
      <c r="A1776" s="2" t="s">
        <v>3570</v>
      </c>
      <c r="B1776" s="2" t="s">
        <v>3571</v>
      </c>
      <c r="C1776" s="181">
        <v>75.598527999999988</v>
      </c>
      <c r="D1776" s="181">
        <v>8967.7240000000002</v>
      </c>
      <c r="E1776" s="181">
        <v>0</v>
      </c>
      <c r="F1776" s="181">
        <v>0</v>
      </c>
      <c r="G1776" s="181">
        <v>0</v>
      </c>
      <c r="H1776" s="181">
        <v>0</v>
      </c>
      <c r="I1776" s="181">
        <v>0</v>
      </c>
      <c r="J1776" s="181">
        <v>0</v>
      </c>
      <c r="K1776" s="181">
        <v>0</v>
      </c>
      <c r="L1776" s="181">
        <v>0</v>
      </c>
      <c r="M1776" s="181">
        <v>66180796.670399994</v>
      </c>
      <c r="N1776" s="181">
        <v>693172.80719999992</v>
      </c>
      <c r="O1776" s="181">
        <v>519469.92879999994</v>
      </c>
      <c r="P1776" s="181">
        <v>85.85199999999999</v>
      </c>
      <c r="Q1776" s="181">
        <v>66180796.670399994</v>
      </c>
      <c r="R1776" s="181">
        <v>693172.80719999992</v>
      </c>
      <c r="S1776" s="181">
        <v>519469.92879999994</v>
      </c>
      <c r="T1776" s="181">
        <v>85.85199999999999</v>
      </c>
      <c r="U1776" s="181">
        <v>131945361.91519998</v>
      </c>
      <c r="V1776" s="181">
        <v>0</v>
      </c>
    </row>
    <row r="1777" spans="1:22">
      <c r="A1777" s="2" t="s">
        <v>3572</v>
      </c>
      <c r="B1777" s="2" t="s">
        <v>3573</v>
      </c>
      <c r="C1777" s="181">
        <v>57.442976000000002</v>
      </c>
      <c r="D1777" s="181">
        <v>6838.695999999999</v>
      </c>
      <c r="E1777" s="181">
        <v>0</v>
      </c>
      <c r="F1777" s="181">
        <v>0</v>
      </c>
      <c r="G1777" s="181">
        <v>0</v>
      </c>
      <c r="H1777" s="181">
        <v>0</v>
      </c>
      <c r="I1777" s="181">
        <v>0</v>
      </c>
      <c r="J1777" s="181">
        <v>0</v>
      </c>
      <c r="K1777" s="181">
        <v>0</v>
      </c>
      <c r="L1777" s="181">
        <v>0</v>
      </c>
      <c r="M1777" s="181">
        <v>51196465.348799996</v>
      </c>
      <c r="N1777" s="181">
        <v>532579.57999999996</v>
      </c>
      <c r="O1777" s="181">
        <v>404760.48079999996</v>
      </c>
      <c r="P1777" s="181">
        <v>86.614000000000004</v>
      </c>
      <c r="Q1777" s="181">
        <v>51196465.348799996</v>
      </c>
      <c r="R1777" s="181">
        <v>532579.57999999996</v>
      </c>
      <c r="S1777" s="181">
        <v>404760.48079999996</v>
      </c>
      <c r="T1777" s="181">
        <v>86.614000000000004</v>
      </c>
      <c r="U1777" s="181">
        <v>102809162.12319998</v>
      </c>
      <c r="V1777" s="181">
        <v>0</v>
      </c>
    </row>
    <row r="1778" spans="1:22">
      <c r="A1778" s="2" t="s">
        <v>3574</v>
      </c>
      <c r="B1778" s="2" t="s">
        <v>3575</v>
      </c>
      <c r="C1778" s="181">
        <v>48.067567999999994</v>
      </c>
      <c r="D1778" s="181">
        <v>5729.0208000000002</v>
      </c>
      <c r="E1778" s="181">
        <v>0</v>
      </c>
      <c r="F1778" s="181">
        <v>0</v>
      </c>
      <c r="G1778" s="181">
        <v>0</v>
      </c>
      <c r="H1778" s="181">
        <v>0</v>
      </c>
      <c r="I1778" s="181">
        <v>0</v>
      </c>
      <c r="J1778" s="181">
        <v>0</v>
      </c>
      <c r="K1778" s="181">
        <v>0</v>
      </c>
      <c r="L1778" s="181">
        <v>0</v>
      </c>
      <c r="M1778" s="181">
        <v>43704299.687999994</v>
      </c>
      <c r="N1778" s="181">
        <v>449005.55359999993</v>
      </c>
      <c r="O1778" s="181">
        <v>342489.63759999996</v>
      </c>
      <c r="P1778" s="181">
        <v>87.122</v>
      </c>
      <c r="Q1778" s="181">
        <v>43704299.687999994</v>
      </c>
      <c r="R1778" s="181">
        <v>449005.55359999993</v>
      </c>
      <c r="S1778" s="181">
        <v>342489.63759999996</v>
      </c>
      <c r="T1778" s="181">
        <v>87.122</v>
      </c>
      <c r="U1778" s="181">
        <v>86992367.950399995</v>
      </c>
      <c r="V1778" s="181">
        <v>0</v>
      </c>
    </row>
    <row r="1779" spans="1:22">
      <c r="A1779" s="2" t="s">
        <v>3576</v>
      </c>
      <c r="B1779" s="2" t="s">
        <v>3577</v>
      </c>
      <c r="C1779" s="181">
        <v>38.840975999999998</v>
      </c>
      <c r="D1779" s="181">
        <v>4612.8940000000002</v>
      </c>
      <c r="E1779" s="181">
        <v>0</v>
      </c>
      <c r="F1779" s="181">
        <v>0</v>
      </c>
      <c r="G1779" s="181">
        <v>0</v>
      </c>
      <c r="H1779" s="181">
        <v>0</v>
      </c>
      <c r="I1779" s="181">
        <v>0</v>
      </c>
      <c r="J1779" s="181">
        <v>0</v>
      </c>
      <c r="K1779" s="181">
        <v>0</v>
      </c>
      <c r="L1779" s="181">
        <v>0</v>
      </c>
      <c r="M1779" s="181">
        <v>35504540.603679992</v>
      </c>
      <c r="N1779" s="181">
        <v>363792.82079999993</v>
      </c>
      <c r="O1779" s="181">
        <v>280218.79440000001</v>
      </c>
      <c r="P1779" s="181">
        <v>87.63</v>
      </c>
      <c r="Q1779" s="181">
        <v>35504540.603679992</v>
      </c>
      <c r="R1779" s="181">
        <v>363792.82079999993</v>
      </c>
      <c r="S1779" s="181">
        <v>280218.79440000001</v>
      </c>
      <c r="T1779" s="181">
        <v>87.63</v>
      </c>
      <c r="U1779" s="181">
        <v>71175573.77759999</v>
      </c>
      <c r="V1779" s="181">
        <v>0</v>
      </c>
    </row>
    <row r="1780" spans="1:22">
      <c r="A1780" s="2" t="s">
        <v>3578</v>
      </c>
      <c r="B1780" s="2" t="s">
        <v>3579</v>
      </c>
      <c r="C1780" s="181">
        <v>29.316751999999997</v>
      </c>
      <c r="D1780" s="181">
        <v>3464.5092</v>
      </c>
      <c r="E1780" s="181">
        <v>0</v>
      </c>
      <c r="F1780" s="181">
        <v>0</v>
      </c>
      <c r="G1780" s="181">
        <v>0</v>
      </c>
      <c r="H1780" s="181">
        <v>0</v>
      </c>
      <c r="I1780" s="181">
        <v>0</v>
      </c>
      <c r="J1780" s="181">
        <v>0</v>
      </c>
      <c r="K1780" s="181">
        <v>0</v>
      </c>
      <c r="L1780" s="181">
        <v>0</v>
      </c>
      <c r="M1780" s="181">
        <v>26971796.378879998</v>
      </c>
      <c r="N1780" s="181">
        <v>275302.6752</v>
      </c>
      <c r="O1780" s="181">
        <v>213031.83199999999</v>
      </c>
      <c r="P1780" s="181">
        <v>88.138000000000005</v>
      </c>
      <c r="Q1780" s="181">
        <v>26971796.378879998</v>
      </c>
      <c r="R1780" s="181">
        <v>275302.6752</v>
      </c>
      <c r="S1780" s="181">
        <v>213031.83199999999</v>
      </c>
      <c r="T1780" s="181">
        <v>88.138000000000005</v>
      </c>
      <c r="U1780" s="181">
        <v>54110085.327999994</v>
      </c>
      <c r="V1780" s="181">
        <v>0</v>
      </c>
    </row>
    <row r="1781" spans="1:22">
      <c r="A1781" s="2" t="s">
        <v>3580</v>
      </c>
      <c r="B1781" s="2" t="s">
        <v>3581</v>
      </c>
      <c r="C1781" s="181">
        <v>72.622207999999986</v>
      </c>
      <c r="D1781" s="181">
        <v>8645.1440000000002</v>
      </c>
      <c r="E1781" s="181">
        <v>0</v>
      </c>
      <c r="F1781" s="181">
        <v>0</v>
      </c>
      <c r="G1781" s="181">
        <v>0</v>
      </c>
      <c r="H1781" s="181">
        <v>0</v>
      </c>
      <c r="I1781" s="181">
        <v>0</v>
      </c>
      <c r="J1781" s="181">
        <v>0</v>
      </c>
      <c r="K1781" s="181">
        <v>0</v>
      </c>
      <c r="L1781" s="181">
        <v>0</v>
      </c>
      <c r="M1781" s="181">
        <v>58688631.009599991</v>
      </c>
      <c r="N1781" s="181">
        <v>639095.49599999993</v>
      </c>
      <c r="O1781" s="181">
        <v>478502.26879999996</v>
      </c>
      <c r="P1781" s="181">
        <v>82.296000000000006</v>
      </c>
      <c r="Q1781" s="181">
        <v>58688631.009599991</v>
      </c>
      <c r="R1781" s="181">
        <v>639095.49599999993</v>
      </c>
      <c r="S1781" s="181">
        <v>478502.26879999996</v>
      </c>
      <c r="T1781" s="181">
        <v>82.296000000000006</v>
      </c>
      <c r="U1781" s="181">
        <v>116961030.59359999</v>
      </c>
      <c r="V1781" s="181">
        <v>0</v>
      </c>
    </row>
    <row r="1782" spans="1:22">
      <c r="A1782" s="2" t="s">
        <v>3582</v>
      </c>
      <c r="B1782" s="2" t="s">
        <v>3583</v>
      </c>
      <c r="C1782" s="181">
        <v>55.210735999999997</v>
      </c>
      <c r="D1782" s="181">
        <v>6580.6319999999996</v>
      </c>
      <c r="E1782" s="181">
        <v>0</v>
      </c>
      <c r="F1782" s="181">
        <v>0</v>
      </c>
      <c r="G1782" s="181">
        <v>0</v>
      </c>
      <c r="H1782" s="181">
        <v>0</v>
      </c>
      <c r="I1782" s="181">
        <v>0</v>
      </c>
      <c r="J1782" s="181">
        <v>0</v>
      </c>
      <c r="K1782" s="181">
        <v>0</v>
      </c>
      <c r="L1782" s="181">
        <v>0</v>
      </c>
      <c r="M1782" s="181">
        <v>45785456.815999992</v>
      </c>
      <c r="N1782" s="181">
        <v>491611.91999999993</v>
      </c>
      <c r="O1782" s="181">
        <v>373625.05919999996</v>
      </c>
      <c r="P1782" s="181">
        <v>83.311999999999983</v>
      </c>
      <c r="Q1782" s="181">
        <v>45785456.815999992</v>
      </c>
      <c r="R1782" s="181">
        <v>491611.91999999993</v>
      </c>
      <c r="S1782" s="181">
        <v>373625.05919999996</v>
      </c>
      <c r="T1782" s="181">
        <v>83.311999999999983</v>
      </c>
      <c r="U1782" s="181">
        <v>91154682.206399992</v>
      </c>
      <c r="V1782" s="181">
        <v>0</v>
      </c>
    </row>
    <row r="1783" spans="1:22">
      <c r="A1783" s="2" t="s">
        <v>3584</v>
      </c>
      <c r="B1783" s="2" t="s">
        <v>3585</v>
      </c>
      <c r="C1783" s="181">
        <v>46.281776000000001</v>
      </c>
      <c r="D1783" s="181">
        <v>5503.2147999999997</v>
      </c>
      <c r="E1783" s="181">
        <v>0</v>
      </c>
      <c r="F1783" s="181">
        <v>0</v>
      </c>
      <c r="G1783" s="181">
        <v>0</v>
      </c>
      <c r="H1783" s="181">
        <v>0</v>
      </c>
      <c r="I1783" s="181">
        <v>0</v>
      </c>
      <c r="J1783" s="181">
        <v>0</v>
      </c>
      <c r="K1783" s="181">
        <v>0</v>
      </c>
      <c r="L1783" s="181">
        <v>0</v>
      </c>
      <c r="M1783" s="181">
        <v>38709522.580799997</v>
      </c>
      <c r="N1783" s="181">
        <v>416231.42559999996</v>
      </c>
      <c r="O1783" s="181">
        <v>316270.33519999997</v>
      </c>
      <c r="P1783" s="181">
        <v>83.82</v>
      </c>
      <c r="Q1783" s="181">
        <v>38709522.580799997</v>
      </c>
      <c r="R1783" s="181">
        <v>416231.42559999996</v>
      </c>
      <c r="S1783" s="181">
        <v>316270.33519999997</v>
      </c>
      <c r="T1783" s="181">
        <v>83.82</v>
      </c>
      <c r="U1783" s="181">
        <v>77419045.161599994</v>
      </c>
      <c r="V1783" s="181">
        <v>0</v>
      </c>
    </row>
    <row r="1784" spans="1:22">
      <c r="A1784" s="2" t="s">
        <v>3586</v>
      </c>
      <c r="B1784" s="2" t="s">
        <v>3587</v>
      </c>
      <c r="C1784" s="181">
        <v>37.352815999999997</v>
      </c>
      <c r="D1784" s="181">
        <v>4432.2492000000002</v>
      </c>
      <c r="E1784" s="181">
        <v>0</v>
      </c>
      <c r="F1784" s="181">
        <v>0</v>
      </c>
      <c r="G1784" s="181">
        <v>0</v>
      </c>
      <c r="H1784" s="181">
        <v>0</v>
      </c>
      <c r="I1784" s="181">
        <v>0</v>
      </c>
      <c r="J1784" s="181">
        <v>0</v>
      </c>
      <c r="K1784" s="181">
        <v>0</v>
      </c>
      <c r="L1784" s="181">
        <v>0</v>
      </c>
      <c r="M1784" s="181">
        <v>31591965.20304</v>
      </c>
      <c r="N1784" s="181">
        <v>337573.5184</v>
      </c>
      <c r="O1784" s="181">
        <v>258915.61119999998</v>
      </c>
      <c r="P1784" s="181">
        <v>84.327999999999989</v>
      </c>
      <c r="Q1784" s="181">
        <v>31591965.20304</v>
      </c>
      <c r="R1784" s="181">
        <v>337573.5184</v>
      </c>
      <c r="S1784" s="181">
        <v>258915.61119999998</v>
      </c>
      <c r="T1784" s="181">
        <v>84.327999999999989</v>
      </c>
      <c r="U1784" s="181">
        <v>63267176.691199996</v>
      </c>
      <c r="V1784" s="181">
        <v>0</v>
      </c>
    </row>
    <row r="1785" spans="1:22">
      <c r="A1785" s="2" t="s">
        <v>3588</v>
      </c>
      <c r="B1785" s="2" t="s">
        <v>3589</v>
      </c>
      <c r="C1785" s="181">
        <v>28.275039999999997</v>
      </c>
      <c r="D1785" s="181">
        <v>3335.4771999999998</v>
      </c>
      <c r="E1785" s="181">
        <v>0</v>
      </c>
      <c r="F1785" s="181">
        <v>0</v>
      </c>
      <c r="G1785" s="181">
        <v>0</v>
      </c>
      <c r="H1785" s="181">
        <v>0</v>
      </c>
      <c r="I1785" s="181">
        <v>0</v>
      </c>
      <c r="J1785" s="181">
        <v>0</v>
      </c>
      <c r="K1785" s="181">
        <v>0</v>
      </c>
      <c r="L1785" s="181">
        <v>0</v>
      </c>
      <c r="M1785" s="181">
        <v>24016553.257119998</v>
      </c>
      <c r="N1785" s="181">
        <v>253999.49199999997</v>
      </c>
      <c r="O1785" s="181">
        <v>196644.76799999998</v>
      </c>
      <c r="P1785" s="181">
        <v>84.835999999999999</v>
      </c>
      <c r="Q1785" s="181">
        <v>24016553.257119998</v>
      </c>
      <c r="R1785" s="181">
        <v>253999.49199999997</v>
      </c>
      <c r="S1785" s="181">
        <v>196644.76799999998</v>
      </c>
      <c r="T1785" s="181">
        <v>84.835999999999999</v>
      </c>
      <c r="U1785" s="181">
        <v>47866613.943999998</v>
      </c>
      <c r="V1785" s="181">
        <v>0</v>
      </c>
    </row>
    <row r="1786" spans="1:22">
      <c r="A1786" s="2" t="s">
        <v>3590</v>
      </c>
      <c r="B1786" s="2" t="s">
        <v>3591</v>
      </c>
      <c r="C1786" s="181">
        <v>65.627855999999994</v>
      </c>
      <c r="D1786" s="181">
        <v>7806.4359999999997</v>
      </c>
      <c r="E1786" s="181">
        <v>0</v>
      </c>
      <c r="F1786" s="181">
        <v>0</v>
      </c>
      <c r="G1786" s="181">
        <v>0</v>
      </c>
      <c r="H1786" s="181">
        <v>0</v>
      </c>
      <c r="I1786" s="181">
        <v>0</v>
      </c>
      <c r="J1786" s="181">
        <v>0</v>
      </c>
      <c r="K1786" s="181">
        <v>0</v>
      </c>
      <c r="L1786" s="181">
        <v>0</v>
      </c>
      <c r="M1786" s="181">
        <v>43288068.262399994</v>
      </c>
      <c r="N1786" s="181">
        <v>524386.04799999995</v>
      </c>
      <c r="O1786" s="181">
        <v>390012.12319999997</v>
      </c>
      <c r="P1786" s="181">
        <v>74.421999999999997</v>
      </c>
      <c r="Q1786" s="181">
        <v>43288068.262399994</v>
      </c>
      <c r="R1786" s="181">
        <v>524386.04799999995</v>
      </c>
      <c r="S1786" s="181">
        <v>390012.12319999997</v>
      </c>
      <c r="T1786" s="181">
        <v>74.421999999999997</v>
      </c>
      <c r="U1786" s="181">
        <v>86576136.524799988</v>
      </c>
      <c r="V1786" s="181">
        <v>0</v>
      </c>
    </row>
    <row r="1787" spans="1:22">
      <c r="A1787" s="2" t="s">
        <v>3592</v>
      </c>
      <c r="B1787" s="2" t="s">
        <v>3593</v>
      </c>
      <c r="C1787" s="181">
        <v>50.002175999999999</v>
      </c>
      <c r="D1787" s="181">
        <v>5941.9236000000001</v>
      </c>
      <c r="E1787" s="181">
        <v>0</v>
      </c>
      <c r="F1787" s="181">
        <v>0</v>
      </c>
      <c r="G1787" s="181">
        <v>0</v>
      </c>
      <c r="H1787" s="181">
        <v>0</v>
      </c>
      <c r="I1787" s="181">
        <v>0</v>
      </c>
      <c r="J1787" s="181">
        <v>0</v>
      </c>
      <c r="K1787" s="181">
        <v>0</v>
      </c>
      <c r="L1787" s="181">
        <v>0</v>
      </c>
      <c r="M1787" s="181">
        <v>33881238.043839999</v>
      </c>
      <c r="N1787" s="181">
        <v>403121.77439999999</v>
      </c>
      <c r="O1787" s="181">
        <v>304799.39039999997</v>
      </c>
      <c r="P1787" s="181">
        <v>75.438000000000002</v>
      </c>
      <c r="Q1787" s="181">
        <v>33881238.043839999</v>
      </c>
      <c r="R1787" s="181">
        <v>403121.77439999999</v>
      </c>
      <c r="S1787" s="181">
        <v>304799.39039999997</v>
      </c>
      <c r="T1787" s="181">
        <v>75.438000000000002</v>
      </c>
      <c r="U1787" s="181">
        <v>67845722.372799993</v>
      </c>
      <c r="V1787" s="181">
        <v>0</v>
      </c>
    </row>
    <row r="1788" spans="1:22">
      <c r="A1788" s="2" t="s">
        <v>3594</v>
      </c>
      <c r="B1788" s="2" t="s">
        <v>3595</v>
      </c>
      <c r="C1788" s="181">
        <v>41.817295999999999</v>
      </c>
      <c r="D1788" s="181">
        <v>4987.0868</v>
      </c>
      <c r="E1788" s="181">
        <v>0</v>
      </c>
      <c r="F1788" s="181">
        <v>0</v>
      </c>
      <c r="G1788" s="181">
        <v>0</v>
      </c>
      <c r="H1788" s="181">
        <v>0</v>
      </c>
      <c r="I1788" s="181">
        <v>0</v>
      </c>
      <c r="J1788" s="181">
        <v>0</v>
      </c>
      <c r="K1788" s="181">
        <v>0</v>
      </c>
      <c r="L1788" s="181">
        <v>0</v>
      </c>
      <c r="M1788" s="181">
        <v>28844837.794079997</v>
      </c>
      <c r="N1788" s="181">
        <v>340850.93119999999</v>
      </c>
      <c r="O1788" s="181">
        <v>258915.61119999998</v>
      </c>
      <c r="P1788" s="181">
        <v>75.945999999999998</v>
      </c>
      <c r="Q1788" s="181">
        <v>28844837.794079997</v>
      </c>
      <c r="R1788" s="181">
        <v>340850.93119999999</v>
      </c>
      <c r="S1788" s="181">
        <v>258915.61119999998</v>
      </c>
      <c r="T1788" s="181">
        <v>75.945999999999998</v>
      </c>
      <c r="U1788" s="181">
        <v>57856168.158399992</v>
      </c>
      <c r="V1788" s="181">
        <v>0</v>
      </c>
    </row>
    <row r="1789" spans="1:22">
      <c r="A1789" s="2" t="s">
        <v>3596</v>
      </c>
      <c r="B1789" s="2" t="s">
        <v>3597</v>
      </c>
      <c r="C1789" s="181">
        <v>33.781231999999996</v>
      </c>
      <c r="D1789" s="181">
        <v>4019.3468000000003</v>
      </c>
      <c r="E1789" s="181">
        <v>0</v>
      </c>
      <c r="F1789" s="181">
        <v>0</v>
      </c>
      <c r="G1789" s="181">
        <v>0</v>
      </c>
      <c r="H1789" s="181">
        <v>0</v>
      </c>
      <c r="I1789" s="181">
        <v>0</v>
      </c>
      <c r="J1789" s="181">
        <v>0</v>
      </c>
      <c r="K1789" s="181">
        <v>0</v>
      </c>
      <c r="L1789" s="181">
        <v>0</v>
      </c>
      <c r="M1789" s="181">
        <v>23558698.688959997</v>
      </c>
      <c r="N1789" s="181">
        <v>276941.38159999996</v>
      </c>
      <c r="O1789" s="181">
        <v>211393.1256</v>
      </c>
      <c r="P1789" s="181">
        <v>76.453999999999994</v>
      </c>
      <c r="Q1789" s="181">
        <v>23558698.688959997</v>
      </c>
      <c r="R1789" s="181">
        <v>276941.38159999996</v>
      </c>
      <c r="S1789" s="181">
        <v>211393.1256</v>
      </c>
      <c r="T1789" s="181">
        <v>76.453999999999994</v>
      </c>
      <c r="U1789" s="181">
        <v>47034151.092799999</v>
      </c>
      <c r="V1789" s="181">
        <v>0</v>
      </c>
    </row>
    <row r="1790" spans="1:22">
      <c r="A1790" s="2" t="s">
        <v>3598</v>
      </c>
      <c r="B1790" s="2" t="s">
        <v>3599</v>
      </c>
      <c r="C1790" s="181">
        <v>25.596351999999996</v>
      </c>
      <c r="D1790" s="181">
        <v>3025.8004000000001</v>
      </c>
      <c r="E1790" s="181">
        <v>0</v>
      </c>
      <c r="F1790" s="181">
        <v>0</v>
      </c>
      <c r="G1790" s="181">
        <v>0</v>
      </c>
      <c r="H1790" s="181">
        <v>0</v>
      </c>
      <c r="I1790" s="181">
        <v>0</v>
      </c>
      <c r="J1790" s="181">
        <v>0</v>
      </c>
      <c r="K1790" s="181">
        <v>0</v>
      </c>
      <c r="L1790" s="181">
        <v>0</v>
      </c>
      <c r="M1790" s="181">
        <v>17939574.443359997</v>
      </c>
      <c r="N1790" s="181">
        <v>209754.4192</v>
      </c>
      <c r="O1790" s="181">
        <v>161576.45103999999</v>
      </c>
      <c r="P1790" s="181">
        <v>76.961999999999989</v>
      </c>
      <c r="Q1790" s="181">
        <v>17939574.443359997</v>
      </c>
      <c r="R1790" s="181">
        <v>209754.4192</v>
      </c>
      <c r="S1790" s="181">
        <v>161576.45103999999</v>
      </c>
      <c r="T1790" s="181">
        <v>76.961999999999989</v>
      </c>
      <c r="U1790" s="181">
        <v>35879148.886719994</v>
      </c>
      <c r="V1790" s="181">
        <v>0</v>
      </c>
    </row>
    <row r="1791" spans="1:22">
      <c r="A1791" s="2" t="s">
        <v>3600</v>
      </c>
      <c r="B1791" s="2" t="s">
        <v>3601</v>
      </c>
      <c r="C1791" s="181">
        <v>64.58614399999999</v>
      </c>
      <c r="D1791" s="181">
        <v>7677.4039999999995</v>
      </c>
      <c r="E1791" s="181">
        <v>0</v>
      </c>
      <c r="F1791" s="181">
        <v>0</v>
      </c>
      <c r="G1791" s="181">
        <v>0</v>
      </c>
      <c r="H1791" s="181">
        <v>0</v>
      </c>
      <c r="I1791" s="181">
        <v>0</v>
      </c>
      <c r="J1791" s="181">
        <v>0</v>
      </c>
      <c r="K1791" s="181">
        <v>0</v>
      </c>
      <c r="L1791" s="181">
        <v>0</v>
      </c>
      <c r="M1791" s="181">
        <v>41415026.847199999</v>
      </c>
      <c r="N1791" s="181">
        <v>507998.98399999994</v>
      </c>
      <c r="O1791" s="181">
        <v>378541.17839999998</v>
      </c>
      <c r="P1791" s="181">
        <v>73.406000000000006</v>
      </c>
      <c r="Q1791" s="181">
        <v>41415026.847199999</v>
      </c>
      <c r="R1791" s="181">
        <v>507998.98399999994</v>
      </c>
      <c r="S1791" s="181">
        <v>378541.17839999998</v>
      </c>
      <c r="T1791" s="181">
        <v>73.406000000000006</v>
      </c>
      <c r="U1791" s="181">
        <v>82830053.694399998</v>
      </c>
      <c r="V1791" s="181">
        <v>0</v>
      </c>
    </row>
    <row r="1792" spans="1:22">
      <c r="A1792" s="2" t="s">
        <v>3602</v>
      </c>
      <c r="B1792" s="2" t="s">
        <v>3603</v>
      </c>
      <c r="C1792" s="181">
        <v>49.258096000000002</v>
      </c>
      <c r="D1792" s="181">
        <v>5851.6012000000001</v>
      </c>
      <c r="E1792" s="181">
        <v>0</v>
      </c>
      <c r="F1792" s="181">
        <v>0</v>
      </c>
      <c r="G1792" s="181">
        <v>0</v>
      </c>
      <c r="H1792" s="181">
        <v>0</v>
      </c>
      <c r="I1792" s="181">
        <v>0</v>
      </c>
      <c r="J1792" s="181">
        <v>0</v>
      </c>
      <c r="K1792" s="181">
        <v>0</v>
      </c>
      <c r="L1792" s="181">
        <v>0</v>
      </c>
      <c r="M1792" s="181">
        <v>32382804.911679994</v>
      </c>
      <c r="N1792" s="181">
        <v>391650.82959999994</v>
      </c>
      <c r="O1792" s="181">
        <v>294967.152</v>
      </c>
      <c r="P1792" s="181">
        <v>74.421999999999997</v>
      </c>
      <c r="Q1792" s="181">
        <v>32382804.911679994</v>
      </c>
      <c r="R1792" s="181">
        <v>391650.82959999994</v>
      </c>
      <c r="S1792" s="181">
        <v>294967.152</v>
      </c>
      <c r="T1792" s="181">
        <v>74.421999999999997</v>
      </c>
      <c r="U1792" s="181">
        <v>64932102.393599994</v>
      </c>
      <c r="V1792" s="181">
        <v>0</v>
      </c>
    </row>
    <row r="1793" spans="1:22">
      <c r="A1793" s="2" t="s">
        <v>3604</v>
      </c>
      <c r="B1793" s="2" t="s">
        <v>3605</v>
      </c>
      <c r="C1793" s="181">
        <v>42.561376000000003</v>
      </c>
      <c r="D1793" s="181">
        <v>5064.5059999999994</v>
      </c>
      <c r="E1793" s="181">
        <v>0</v>
      </c>
      <c r="F1793" s="181">
        <v>0</v>
      </c>
      <c r="G1793" s="181">
        <v>0</v>
      </c>
      <c r="H1793" s="181">
        <v>0</v>
      </c>
      <c r="I1793" s="181">
        <v>0</v>
      </c>
      <c r="J1793" s="181">
        <v>0</v>
      </c>
      <c r="K1793" s="181">
        <v>0</v>
      </c>
      <c r="L1793" s="181">
        <v>0</v>
      </c>
      <c r="M1793" s="181">
        <v>28345360.083359994</v>
      </c>
      <c r="N1793" s="181">
        <v>340850.93119999999</v>
      </c>
      <c r="O1793" s="181">
        <v>258915.61119999998</v>
      </c>
      <c r="P1793" s="181">
        <v>74.930000000000007</v>
      </c>
      <c r="Q1793" s="181">
        <v>28345360.083359994</v>
      </c>
      <c r="R1793" s="181">
        <v>340850.93119999999</v>
      </c>
      <c r="S1793" s="181">
        <v>258915.61119999998</v>
      </c>
      <c r="T1793" s="181">
        <v>74.930000000000007</v>
      </c>
      <c r="U1793" s="181">
        <v>56607473.881599993</v>
      </c>
      <c r="V1793" s="181">
        <v>0</v>
      </c>
    </row>
    <row r="1794" spans="1:22">
      <c r="A1794" s="2" t="s">
        <v>3606</v>
      </c>
      <c r="B1794" s="2" t="s">
        <v>3607</v>
      </c>
      <c r="C1794" s="181">
        <v>33.334783999999999</v>
      </c>
      <c r="D1794" s="181">
        <v>3961.2823999999996</v>
      </c>
      <c r="E1794" s="181">
        <v>0</v>
      </c>
      <c r="F1794" s="181">
        <v>0</v>
      </c>
      <c r="G1794" s="181">
        <v>0</v>
      </c>
      <c r="H1794" s="181">
        <v>0</v>
      </c>
      <c r="I1794" s="181">
        <v>0</v>
      </c>
      <c r="J1794" s="181">
        <v>0</v>
      </c>
      <c r="K1794" s="181">
        <v>0</v>
      </c>
      <c r="L1794" s="181">
        <v>0</v>
      </c>
      <c r="M1794" s="181">
        <v>22518120.124959998</v>
      </c>
      <c r="N1794" s="181">
        <v>268747.84959999996</v>
      </c>
      <c r="O1794" s="181">
        <v>204838.3</v>
      </c>
      <c r="P1794" s="181">
        <v>75.438000000000002</v>
      </c>
      <c r="Q1794" s="181">
        <v>22518120.124959998</v>
      </c>
      <c r="R1794" s="181">
        <v>268747.84959999996</v>
      </c>
      <c r="S1794" s="181">
        <v>204838.3</v>
      </c>
      <c r="T1794" s="181">
        <v>75.438000000000002</v>
      </c>
      <c r="U1794" s="181">
        <v>44952993.964799993</v>
      </c>
      <c r="V1794" s="181">
        <v>0</v>
      </c>
    </row>
    <row r="1795" spans="1:22">
      <c r="A1795" s="2" t="s">
        <v>3608</v>
      </c>
      <c r="B1795" s="2" t="s">
        <v>3609</v>
      </c>
      <c r="C1795" s="181">
        <v>25.298719999999999</v>
      </c>
      <c r="D1795" s="181">
        <v>2980.6392000000001</v>
      </c>
      <c r="E1795" s="181">
        <v>0</v>
      </c>
      <c r="F1795" s="181">
        <v>0</v>
      </c>
      <c r="G1795" s="181">
        <v>0</v>
      </c>
      <c r="H1795" s="181">
        <v>0</v>
      </c>
      <c r="I1795" s="181">
        <v>0</v>
      </c>
      <c r="J1795" s="181">
        <v>0</v>
      </c>
      <c r="K1795" s="181">
        <v>0</v>
      </c>
      <c r="L1795" s="181">
        <v>0</v>
      </c>
      <c r="M1795" s="181">
        <v>17190357.877279997</v>
      </c>
      <c r="N1795" s="181">
        <v>203199.59359999999</v>
      </c>
      <c r="O1795" s="181">
        <v>156824.20247999998</v>
      </c>
      <c r="P1795" s="181">
        <v>75.945999999999998</v>
      </c>
      <c r="Q1795" s="181">
        <v>17190357.877279997</v>
      </c>
      <c r="R1795" s="181">
        <v>203199.59359999999</v>
      </c>
      <c r="S1795" s="181">
        <v>156824.20247999998</v>
      </c>
      <c r="T1795" s="181">
        <v>75.945999999999998</v>
      </c>
      <c r="U1795" s="181">
        <v>34339092.611999996</v>
      </c>
      <c r="V1795" s="181">
        <v>0</v>
      </c>
    </row>
    <row r="1796" spans="1:22">
      <c r="A1796" s="2" t="s">
        <v>3610</v>
      </c>
      <c r="B1796" s="2" t="s">
        <v>3611</v>
      </c>
      <c r="C1796" s="181">
        <v>14.881599999999999</v>
      </c>
      <c r="D1796" s="181">
        <v>1767.7384</v>
      </c>
      <c r="E1796" s="181">
        <v>0</v>
      </c>
      <c r="F1796" s="181">
        <v>0</v>
      </c>
      <c r="G1796" s="181">
        <v>0</v>
      </c>
      <c r="H1796" s="181">
        <v>0</v>
      </c>
      <c r="I1796" s="181">
        <v>0</v>
      </c>
      <c r="J1796" s="181">
        <v>0</v>
      </c>
      <c r="K1796" s="181">
        <v>0</v>
      </c>
      <c r="L1796" s="181">
        <v>0</v>
      </c>
      <c r="M1796" s="181">
        <v>8033266.5140799992</v>
      </c>
      <c r="N1796" s="181">
        <v>107171.39855999999</v>
      </c>
      <c r="O1796" s="181">
        <v>82918.543839999984</v>
      </c>
      <c r="P1796" s="181">
        <v>67.563999999999993</v>
      </c>
      <c r="Q1796" s="181">
        <v>8033266.5140799992</v>
      </c>
      <c r="R1796" s="181">
        <v>107171.39855999999</v>
      </c>
      <c r="S1796" s="181">
        <v>82918.543839999984</v>
      </c>
      <c r="T1796" s="181">
        <v>67.563999999999993</v>
      </c>
      <c r="U1796" s="181">
        <v>16066533.028159998</v>
      </c>
      <c r="V1796" s="181">
        <v>0</v>
      </c>
    </row>
    <row r="1797" spans="1:22">
      <c r="A1797" s="2" t="s">
        <v>3612</v>
      </c>
      <c r="B1797" s="2" t="s">
        <v>3613</v>
      </c>
      <c r="C1797" s="181">
        <v>55.657183999999994</v>
      </c>
      <c r="D1797" s="181">
        <v>6645.1480000000001</v>
      </c>
      <c r="E1797" s="181">
        <v>0</v>
      </c>
      <c r="F1797" s="181">
        <v>0</v>
      </c>
      <c r="G1797" s="181">
        <v>0</v>
      </c>
      <c r="H1797" s="181">
        <v>0</v>
      </c>
      <c r="I1797" s="181">
        <v>0</v>
      </c>
      <c r="J1797" s="181">
        <v>0</v>
      </c>
      <c r="K1797" s="181">
        <v>0</v>
      </c>
      <c r="L1797" s="181">
        <v>0</v>
      </c>
      <c r="M1797" s="181">
        <v>26597188.095839996</v>
      </c>
      <c r="N1797" s="181">
        <v>376902.47199999995</v>
      </c>
      <c r="O1797" s="181">
        <v>278580.08799999999</v>
      </c>
      <c r="P1797" s="181">
        <v>63.246000000000002</v>
      </c>
      <c r="Q1797" s="181">
        <v>26597188.095839996</v>
      </c>
      <c r="R1797" s="181">
        <v>376902.47199999995</v>
      </c>
      <c r="S1797" s="181">
        <v>278580.08799999999</v>
      </c>
      <c r="T1797" s="181">
        <v>63.246000000000002</v>
      </c>
      <c r="U1797" s="181">
        <v>53277622.476799995</v>
      </c>
      <c r="V1797" s="181">
        <v>0</v>
      </c>
    </row>
    <row r="1798" spans="1:22">
      <c r="A1798" s="2" t="s">
        <v>3614</v>
      </c>
      <c r="B1798" s="2" t="s">
        <v>3615</v>
      </c>
      <c r="C1798" s="181">
        <v>42.561376000000003</v>
      </c>
      <c r="D1798" s="181">
        <v>5058.0544</v>
      </c>
      <c r="E1798" s="181">
        <v>0</v>
      </c>
      <c r="F1798" s="181">
        <v>0</v>
      </c>
      <c r="G1798" s="181">
        <v>0</v>
      </c>
      <c r="H1798" s="181">
        <v>0</v>
      </c>
      <c r="I1798" s="181">
        <v>0</v>
      </c>
      <c r="J1798" s="181">
        <v>0</v>
      </c>
      <c r="K1798" s="181">
        <v>0</v>
      </c>
      <c r="L1798" s="181">
        <v>0</v>
      </c>
      <c r="M1798" s="181">
        <v>20894817.56512</v>
      </c>
      <c r="N1798" s="181">
        <v>293328.44559999998</v>
      </c>
      <c r="O1798" s="181">
        <v>219586.65759999998</v>
      </c>
      <c r="P1798" s="181">
        <v>64.261999999999986</v>
      </c>
      <c r="Q1798" s="181">
        <v>20894817.56512</v>
      </c>
      <c r="R1798" s="181">
        <v>293328.44559999998</v>
      </c>
      <c r="S1798" s="181">
        <v>219586.65759999998</v>
      </c>
      <c r="T1798" s="181">
        <v>64.261999999999986</v>
      </c>
      <c r="U1798" s="181">
        <v>41623142.559999995</v>
      </c>
      <c r="V1798" s="181">
        <v>0</v>
      </c>
    </row>
    <row r="1799" spans="1:22">
      <c r="A1799" s="2" t="s">
        <v>3616</v>
      </c>
      <c r="B1799" s="2" t="s">
        <v>3617</v>
      </c>
      <c r="C1799" s="181">
        <v>35.71584</v>
      </c>
      <c r="D1799" s="181">
        <v>4251.6043999999993</v>
      </c>
      <c r="E1799" s="181">
        <v>0</v>
      </c>
      <c r="F1799" s="181">
        <v>0</v>
      </c>
      <c r="G1799" s="181">
        <v>0</v>
      </c>
      <c r="H1799" s="181">
        <v>0</v>
      </c>
      <c r="I1799" s="181">
        <v>0</v>
      </c>
      <c r="J1799" s="181">
        <v>0</v>
      </c>
      <c r="K1799" s="181">
        <v>0</v>
      </c>
      <c r="L1799" s="181">
        <v>0</v>
      </c>
      <c r="M1799" s="181">
        <v>17856328.158239998</v>
      </c>
      <c r="N1799" s="181">
        <v>247444.66639999996</v>
      </c>
      <c r="O1799" s="181">
        <v>186812.52959999998</v>
      </c>
      <c r="P1799" s="181">
        <v>64.77</v>
      </c>
      <c r="Q1799" s="181">
        <v>17856328.158239998</v>
      </c>
      <c r="R1799" s="181">
        <v>247444.66639999996</v>
      </c>
      <c r="S1799" s="181">
        <v>186812.52959999998</v>
      </c>
      <c r="T1799" s="181">
        <v>64.77</v>
      </c>
      <c r="U1799" s="181">
        <v>35712656.316479996</v>
      </c>
      <c r="V1799" s="181">
        <v>0</v>
      </c>
    </row>
    <row r="1800" spans="1:22">
      <c r="A1800" s="2" t="s">
        <v>3618</v>
      </c>
      <c r="B1800" s="2" t="s">
        <v>3619</v>
      </c>
      <c r="C1800" s="181">
        <v>28.870303999999997</v>
      </c>
      <c r="D1800" s="181">
        <v>3432.2512000000002</v>
      </c>
      <c r="E1800" s="181">
        <v>0</v>
      </c>
      <c r="F1800" s="181">
        <v>0</v>
      </c>
      <c r="G1800" s="181">
        <v>0</v>
      </c>
      <c r="H1800" s="181">
        <v>0</v>
      </c>
      <c r="I1800" s="181">
        <v>0</v>
      </c>
      <c r="J1800" s="181">
        <v>0</v>
      </c>
      <c r="K1800" s="181">
        <v>0</v>
      </c>
      <c r="L1800" s="181">
        <v>0</v>
      </c>
      <c r="M1800" s="181">
        <v>14651346.181119999</v>
      </c>
      <c r="N1800" s="181">
        <v>201560.8872</v>
      </c>
      <c r="O1800" s="181">
        <v>153546.78967999999</v>
      </c>
      <c r="P1800" s="181">
        <v>65.277999999999992</v>
      </c>
      <c r="Q1800" s="181">
        <v>14651346.181119999</v>
      </c>
      <c r="R1800" s="181">
        <v>201560.8872</v>
      </c>
      <c r="S1800" s="181">
        <v>153546.78967999999</v>
      </c>
      <c r="T1800" s="181">
        <v>65.277999999999992</v>
      </c>
      <c r="U1800" s="181">
        <v>29261069.219679996</v>
      </c>
      <c r="V1800" s="181">
        <v>0</v>
      </c>
    </row>
    <row r="1801" spans="1:22">
      <c r="A1801" s="2" t="s">
        <v>3620</v>
      </c>
      <c r="B1801" s="2" t="s">
        <v>3621</v>
      </c>
      <c r="C1801" s="181">
        <v>21.875951999999998</v>
      </c>
      <c r="D1801" s="181">
        <v>2580.64</v>
      </c>
      <c r="E1801" s="181">
        <v>0</v>
      </c>
      <c r="F1801" s="181">
        <v>0</v>
      </c>
      <c r="G1801" s="181">
        <v>0</v>
      </c>
      <c r="H1801" s="181">
        <v>0</v>
      </c>
      <c r="I1801" s="181">
        <v>0</v>
      </c>
      <c r="J1801" s="181">
        <v>0</v>
      </c>
      <c r="K1801" s="181">
        <v>0</v>
      </c>
      <c r="L1801" s="181">
        <v>0</v>
      </c>
      <c r="M1801" s="181">
        <v>11196625.348639999</v>
      </c>
      <c r="N1801" s="181">
        <v>153055.17775999999</v>
      </c>
      <c r="O1801" s="181">
        <v>117495.24887999998</v>
      </c>
      <c r="P1801" s="181">
        <v>65.785999999999987</v>
      </c>
      <c r="Q1801" s="181">
        <v>11196625.348639999</v>
      </c>
      <c r="R1801" s="181">
        <v>153055.17775999999</v>
      </c>
      <c r="S1801" s="181">
        <v>117495.24887999998</v>
      </c>
      <c r="T1801" s="181">
        <v>65.785999999999987</v>
      </c>
      <c r="U1801" s="181">
        <v>22393250.697279997</v>
      </c>
      <c r="V1801" s="181">
        <v>0</v>
      </c>
    </row>
    <row r="1802" spans="1:22">
      <c r="A1802" s="2" t="s">
        <v>3622</v>
      </c>
      <c r="B1802" s="2" t="s">
        <v>3623</v>
      </c>
      <c r="C1802" s="181">
        <v>51.639152000000003</v>
      </c>
      <c r="D1802" s="181">
        <v>6161.2780000000002</v>
      </c>
      <c r="E1802" s="181">
        <v>0</v>
      </c>
      <c r="F1802" s="181">
        <v>0</v>
      </c>
      <c r="G1802" s="181">
        <v>0</v>
      </c>
      <c r="H1802" s="181">
        <v>0</v>
      </c>
      <c r="I1802" s="181">
        <v>0</v>
      </c>
      <c r="J1802" s="181">
        <v>0</v>
      </c>
      <c r="K1802" s="181">
        <v>0</v>
      </c>
      <c r="L1802" s="181">
        <v>0</v>
      </c>
      <c r="M1802" s="181">
        <v>21311048.99072</v>
      </c>
      <c r="N1802" s="181">
        <v>326102.57359999995</v>
      </c>
      <c r="O1802" s="181">
        <v>239251.13439999998</v>
      </c>
      <c r="P1802" s="181">
        <v>58.92799999999999</v>
      </c>
      <c r="Q1802" s="181">
        <v>21311048.99072</v>
      </c>
      <c r="R1802" s="181">
        <v>326102.57359999995</v>
      </c>
      <c r="S1802" s="181">
        <v>239251.13439999998</v>
      </c>
      <c r="T1802" s="181">
        <v>58.92799999999999</v>
      </c>
      <c r="U1802" s="181">
        <v>42455605.411199994</v>
      </c>
      <c r="V1802" s="181">
        <v>0</v>
      </c>
    </row>
    <row r="1803" spans="1:22">
      <c r="A1803" s="2" t="s">
        <v>3624</v>
      </c>
      <c r="B1803" s="2" t="s">
        <v>3625</v>
      </c>
      <c r="C1803" s="181">
        <v>39.585056000000002</v>
      </c>
      <c r="D1803" s="181">
        <v>4703.2163999999993</v>
      </c>
      <c r="E1803" s="181">
        <v>0</v>
      </c>
      <c r="F1803" s="181">
        <v>0</v>
      </c>
      <c r="G1803" s="181">
        <v>0</v>
      </c>
      <c r="H1803" s="181">
        <v>0</v>
      </c>
      <c r="I1803" s="181">
        <v>0</v>
      </c>
      <c r="J1803" s="181">
        <v>0</v>
      </c>
      <c r="K1803" s="181">
        <v>0</v>
      </c>
      <c r="L1803" s="181">
        <v>0</v>
      </c>
      <c r="M1803" s="181">
        <v>16815749.594239999</v>
      </c>
      <c r="N1803" s="181">
        <v>253999.49199999997</v>
      </c>
      <c r="O1803" s="181">
        <v>190089.94239999997</v>
      </c>
      <c r="P1803" s="181">
        <v>59.69</v>
      </c>
      <c r="Q1803" s="181">
        <v>16815749.594239999</v>
      </c>
      <c r="R1803" s="181">
        <v>253999.49199999997</v>
      </c>
      <c r="S1803" s="181">
        <v>190089.94239999997</v>
      </c>
      <c r="T1803" s="181">
        <v>59.69</v>
      </c>
      <c r="U1803" s="181">
        <v>33673122.331040002</v>
      </c>
      <c r="V1803" s="181">
        <v>0</v>
      </c>
    </row>
    <row r="1804" spans="1:22">
      <c r="A1804" s="2" t="s">
        <v>3626</v>
      </c>
      <c r="B1804" s="2" t="s">
        <v>3627</v>
      </c>
      <c r="C1804" s="181">
        <v>33.185968000000003</v>
      </c>
      <c r="D1804" s="181">
        <v>3954.8307999999997</v>
      </c>
      <c r="E1804" s="181">
        <v>0</v>
      </c>
      <c r="F1804" s="181">
        <v>0</v>
      </c>
      <c r="G1804" s="181">
        <v>0</v>
      </c>
      <c r="H1804" s="181">
        <v>0</v>
      </c>
      <c r="I1804" s="181">
        <v>0</v>
      </c>
      <c r="J1804" s="181">
        <v>0</v>
      </c>
      <c r="K1804" s="181">
        <v>0</v>
      </c>
      <c r="L1804" s="181">
        <v>0</v>
      </c>
      <c r="M1804" s="181">
        <v>14401607.325759999</v>
      </c>
      <c r="N1804" s="181">
        <v>214670.53839999996</v>
      </c>
      <c r="O1804" s="181">
        <v>161904.19232</v>
      </c>
      <c r="P1804" s="181">
        <v>60.198</v>
      </c>
      <c r="Q1804" s="181">
        <v>14401607.325759999</v>
      </c>
      <c r="R1804" s="181">
        <v>214670.53839999996</v>
      </c>
      <c r="S1804" s="181">
        <v>161904.19232</v>
      </c>
      <c r="T1804" s="181">
        <v>60.198</v>
      </c>
      <c r="U1804" s="181">
        <v>28761591.508959994</v>
      </c>
      <c r="V1804" s="181">
        <v>0</v>
      </c>
    </row>
    <row r="1805" spans="1:22">
      <c r="A1805" s="2" t="s">
        <v>3628</v>
      </c>
      <c r="B1805" s="2" t="s">
        <v>3629</v>
      </c>
      <c r="C1805" s="181">
        <v>26.78688</v>
      </c>
      <c r="D1805" s="181">
        <v>3193.5419999999999</v>
      </c>
      <c r="E1805" s="181">
        <v>0</v>
      </c>
      <c r="F1805" s="181">
        <v>0</v>
      </c>
      <c r="G1805" s="181">
        <v>0</v>
      </c>
      <c r="H1805" s="181">
        <v>0</v>
      </c>
      <c r="I1805" s="181">
        <v>0</v>
      </c>
      <c r="J1805" s="181">
        <v>0</v>
      </c>
      <c r="K1805" s="181">
        <v>0</v>
      </c>
      <c r="L1805" s="181">
        <v>0</v>
      </c>
      <c r="M1805" s="181">
        <v>11820972.487039998</v>
      </c>
      <c r="N1805" s="181">
        <v>175341.58479999998</v>
      </c>
      <c r="O1805" s="181">
        <v>132899.08903999999</v>
      </c>
      <c r="P1805" s="181">
        <v>60.706000000000003</v>
      </c>
      <c r="Q1805" s="181">
        <v>11820972.487039998</v>
      </c>
      <c r="R1805" s="181">
        <v>175341.58479999998</v>
      </c>
      <c r="S1805" s="181">
        <v>132899.08903999999</v>
      </c>
      <c r="T1805" s="181">
        <v>60.706000000000003</v>
      </c>
      <c r="U1805" s="181">
        <v>23641944.974079996</v>
      </c>
      <c r="V1805" s="181">
        <v>0</v>
      </c>
    </row>
    <row r="1806" spans="1:22">
      <c r="A1806" s="2" t="s">
        <v>3630</v>
      </c>
      <c r="B1806" s="2" t="s">
        <v>3631</v>
      </c>
      <c r="C1806" s="181">
        <v>20.387791999999997</v>
      </c>
      <c r="D1806" s="181">
        <v>2406.4467999999997</v>
      </c>
      <c r="E1806" s="181">
        <v>0</v>
      </c>
      <c r="F1806" s="181">
        <v>0</v>
      </c>
      <c r="G1806" s="181">
        <v>0</v>
      </c>
      <c r="H1806" s="181">
        <v>0</v>
      </c>
      <c r="I1806" s="181">
        <v>0</v>
      </c>
      <c r="J1806" s="181">
        <v>0</v>
      </c>
      <c r="K1806" s="181">
        <v>0</v>
      </c>
      <c r="L1806" s="181">
        <v>0</v>
      </c>
      <c r="M1806" s="181">
        <v>9032221.9355199989</v>
      </c>
      <c r="N1806" s="181">
        <v>132899.08903999999</v>
      </c>
      <c r="O1806" s="181">
        <v>101763.66743999999</v>
      </c>
      <c r="P1806" s="181">
        <v>61.213999999999999</v>
      </c>
      <c r="Q1806" s="181">
        <v>9032221.9355199989</v>
      </c>
      <c r="R1806" s="181">
        <v>132899.08903999999</v>
      </c>
      <c r="S1806" s="181">
        <v>101763.66743999999</v>
      </c>
      <c r="T1806" s="181">
        <v>61.213999999999999</v>
      </c>
      <c r="U1806" s="181">
        <v>18106067.013599999</v>
      </c>
      <c r="V1806" s="181">
        <v>0</v>
      </c>
    </row>
    <row r="1807" spans="1:22">
      <c r="A1807" s="2" t="s">
        <v>3632</v>
      </c>
      <c r="B1807" s="2" t="s">
        <v>3633</v>
      </c>
      <c r="C1807" s="181">
        <v>13.676190399999999</v>
      </c>
      <c r="D1807" s="181">
        <v>1619.3515999999997</v>
      </c>
      <c r="E1807" s="181">
        <v>0</v>
      </c>
      <c r="F1807" s="181">
        <v>0</v>
      </c>
      <c r="G1807" s="181">
        <v>0</v>
      </c>
      <c r="H1807" s="181">
        <v>0</v>
      </c>
      <c r="I1807" s="181">
        <v>0</v>
      </c>
      <c r="J1807" s="181">
        <v>0</v>
      </c>
      <c r="K1807" s="181">
        <v>0</v>
      </c>
      <c r="L1807" s="181">
        <v>0</v>
      </c>
      <c r="M1807" s="181">
        <v>6201848.2414399991</v>
      </c>
      <c r="N1807" s="181">
        <v>90128.851999999984</v>
      </c>
      <c r="O1807" s="181">
        <v>69645.021999999997</v>
      </c>
      <c r="P1807" s="181">
        <v>61.722000000000001</v>
      </c>
      <c r="Q1807" s="181">
        <v>6201848.2414399991</v>
      </c>
      <c r="R1807" s="181">
        <v>90128.851999999984</v>
      </c>
      <c r="S1807" s="181">
        <v>69645.021999999997</v>
      </c>
      <c r="T1807" s="181">
        <v>61.722000000000001</v>
      </c>
      <c r="U1807" s="181">
        <v>12362073.340319999</v>
      </c>
      <c r="V1807" s="181">
        <v>0</v>
      </c>
    </row>
    <row r="1808" spans="1:22">
      <c r="A1808" s="2" t="s">
        <v>3634</v>
      </c>
      <c r="B1808" s="2" t="s">
        <v>3635</v>
      </c>
      <c r="C1808" s="181">
        <v>50.746256000000002</v>
      </c>
      <c r="D1808" s="181">
        <v>6038.6975999999995</v>
      </c>
      <c r="E1808" s="181">
        <v>0</v>
      </c>
      <c r="F1808" s="181">
        <v>0</v>
      </c>
      <c r="G1808" s="181">
        <v>0</v>
      </c>
      <c r="H1808" s="181">
        <v>0</v>
      </c>
      <c r="I1808" s="181">
        <v>0</v>
      </c>
      <c r="J1808" s="181">
        <v>0</v>
      </c>
      <c r="K1808" s="181">
        <v>0</v>
      </c>
      <c r="L1808" s="181">
        <v>0</v>
      </c>
      <c r="M1808" s="181">
        <v>20103977.856479999</v>
      </c>
      <c r="N1808" s="181">
        <v>312992.92239999998</v>
      </c>
      <c r="O1808" s="181">
        <v>231057.60239999997</v>
      </c>
      <c r="P1808" s="181">
        <v>57.657999999999994</v>
      </c>
      <c r="Q1808" s="181">
        <v>20103977.856479999</v>
      </c>
      <c r="R1808" s="181">
        <v>312992.92239999998</v>
      </c>
      <c r="S1808" s="181">
        <v>231057.60239999997</v>
      </c>
      <c r="T1808" s="181">
        <v>57.657999999999994</v>
      </c>
      <c r="U1808" s="181">
        <v>40249578.855519995</v>
      </c>
      <c r="V1808" s="181">
        <v>0</v>
      </c>
    </row>
    <row r="1809" spans="1:22">
      <c r="A1809" s="2" t="s">
        <v>3636</v>
      </c>
      <c r="B1809" s="2" t="s">
        <v>3637</v>
      </c>
      <c r="C1809" s="181">
        <v>38.840975999999998</v>
      </c>
      <c r="D1809" s="181">
        <v>4619.3455999999996</v>
      </c>
      <c r="E1809" s="181">
        <v>0</v>
      </c>
      <c r="F1809" s="181">
        <v>0</v>
      </c>
      <c r="G1809" s="181">
        <v>0</v>
      </c>
      <c r="H1809" s="181">
        <v>0</v>
      </c>
      <c r="I1809" s="181">
        <v>0</v>
      </c>
      <c r="J1809" s="181">
        <v>0</v>
      </c>
      <c r="K1809" s="181">
        <v>0</v>
      </c>
      <c r="L1809" s="181">
        <v>0</v>
      </c>
      <c r="M1809" s="181">
        <v>15900040.45792</v>
      </c>
      <c r="N1809" s="181">
        <v>244167.2536</v>
      </c>
      <c r="O1809" s="181">
        <v>181896.41039999996</v>
      </c>
      <c r="P1809" s="181">
        <v>58.673999999999999</v>
      </c>
      <c r="Q1809" s="181">
        <v>15900040.45792</v>
      </c>
      <c r="R1809" s="181">
        <v>244167.2536</v>
      </c>
      <c r="S1809" s="181">
        <v>181896.41039999996</v>
      </c>
      <c r="T1809" s="181">
        <v>58.673999999999999</v>
      </c>
      <c r="U1809" s="181">
        <v>31800080.91584</v>
      </c>
      <c r="V1809" s="181">
        <v>0</v>
      </c>
    </row>
    <row r="1810" spans="1:22">
      <c r="A1810" s="2" t="s">
        <v>3638</v>
      </c>
      <c r="B1810" s="2" t="s">
        <v>3639</v>
      </c>
      <c r="C1810" s="181">
        <v>32.590703999999995</v>
      </c>
      <c r="D1810" s="181">
        <v>3883.8631999999993</v>
      </c>
      <c r="E1810" s="181">
        <v>0</v>
      </c>
      <c r="F1810" s="181">
        <v>0</v>
      </c>
      <c r="G1810" s="181">
        <v>0</v>
      </c>
      <c r="H1810" s="181">
        <v>0</v>
      </c>
      <c r="I1810" s="181">
        <v>0</v>
      </c>
      <c r="J1810" s="181">
        <v>0</v>
      </c>
      <c r="K1810" s="181">
        <v>0</v>
      </c>
      <c r="L1810" s="181">
        <v>0</v>
      </c>
      <c r="M1810" s="181">
        <v>13610767.61712</v>
      </c>
      <c r="N1810" s="181">
        <v>206477.00639999998</v>
      </c>
      <c r="O1810" s="181">
        <v>155840.97863999999</v>
      </c>
      <c r="P1810" s="181">
        <v>59.181999999999995</v>
      </c>
      <c r="Q1810" s="181">
        <v>13610767.61712</v>
      </c>
      <c r="R1810" s="181">
        <v>206477.00639999998</v>
      </c>
      <c r="S1810" s="181">
        <v>155840.97863999999</v>
      </c>
      <c r="T1810" s="181">
        <v>59.181999999999995</v>
      </c>
      <c r="U1810" s="181">
        <v>27221535.234239999</v>
      </c>
      <c r="V1810" s="181">
        <v>0</v>
      </c>
    </row>
    <row r="1811" spans="1:22">
      <c r="A1811" s="2" t="s">
        <v>3640</v>
      </c>
      <c r="B1811" s="2" t="s">
        <v>3641</v>
      </c>
      <c r="C1811" s="181">
        <v>26.340431999999996</v>
      </c>
      <c r="D1811" s="181">
        <v>3135.4776000000002</v>
      </c>
      <c r="E1811" s="181">
        <v>0</v>
      </c>
      <c r="F1811" s="181">
        <v>0</v>
      </c>
      <c r="G1811" s="181">
        <v>0</v>
      </c>
      <c r="H1811" s="181">
        <v>0</v>
      </c>
      <c r="I1811" s="181">
        <v>0</v>
      </c>
      <c r="J1811" s="181">
        <v>0</v>
      </c>
      <c r="K1811" s="181">
        <v>0</v>
      </c>
      <c r="L1811" s="181">
        <v>0</v>
      </c>
      <c r="M1811" s="181">
        <v>11155002.206079999</v>
      </c>
      <c r="N1811" s="181">
        <v>168786.7592</v>
      </c>
      <c r="O1811" s="181">
        <v>127982.96983999998</v>
      </c>
      <c r="P1811" s="181">
        <v>59.69</v>
      </c>
      <c r="Q1811" s="181">
        <v>11155002.206079999</v>
      </c>
      <c r="R1811" s="181">
        <v>168786.7592</v>
      </c>
      <c r="S1811" s="181">
        <v>127982.96983999998</v>
      </c>
      <c r="T1811" s="181">
        <v>59.69</v>
      </c>
      <c r="U1811" s="181">
        <v>22351627.554719999</v>
      </c>
      <c r="V1811" s="181">
        <v>0</v>
      </c>
    </row>
    <row r="1812" spans="1:22">
      <c r="A1812" s="2" t="s">
        <v>3642</v>
      </c>
      <c r="B1812" s="2" t="s">
        <v>3643</v>
      </c>
      <c r="C1812" s="181">
        <v>19.941344000000001</v>
      </c>
      <c r="D1812" s="181">
        <v>2361.2856000000002</v>
      </c>
      <c r="E1812" s="181">
        <v>0</v>
      </c>
      <c r="F1812" s="181">
        <v>0</v>
      </c>
      <c r="G1812" s="181">
        <v>0</v>
      </c>
      <c r="H1812" s="181">
        <v>0</v>
      </c>
      <c r="I1812" s="181">
        <v>0</v>
      </c>
      <c r="J1812" s="181">
        <v>0</v>
      </c>
      <c r="K1812" s="181">
        <v>0</v>
      </c>
      <c r="L1812" s="181">
        <v>0</v>
      </c>
      <c r="M1812" s="181">
        <v>8574367.3673599996</v>
      </c>
      <c r="N1812" s="181">
        <v>127982.96983999998</v>
      </c>
      <c r="O1812" s="181">
        <v>98158.513359999997</v>
      </c>
      <c r="P1812" s="181">
        <v>60.198</v>
      </c>
      <c r="Q1812" s="181">
        <v>8574367.3673599996</v>
      </c>
      <c r="R1812" s="181">
        <v>127982.96983999998</v>
      </c>
      <c r="S1812" s="181">
        <v>98158.513359999997</v>
      </c>
      <c r="T1812" s="181">
        <v>60.198</v>
      </c>
      <c r="U1812" s="181">
        <v>17107111.592159998</v>
      </c>
      <c r="V1812" s="181">
        <v>0</v>
      </c>
    </row>
    <row r="1813" spans="1:22">
      <c r="A1813" s="2" t="s">
        <v>3644</v>
      </c>
      <c r="B1813" s="2" t="s">
        <v>3645</v>
      </c>
      <c r="C1813" s="181">
        <v>48.662832000000002</v>
      </c>
      <c r="D1813" s="181">
        <v>5806.44</v>
      </c>
      <c r="E1813" s="181">
        <v>0</v>
      </c>
      <c r="F1813" s="181">
        <v>0</v>
      </c>
      <c r="G1813" s="181">
        <v>0</v>
      </c>
      <c r="H1813" s="181">
        <v>0</v>
      </c>
      <c r="I1813" s="181">
        <v>0</v>
      </c>
      <c r="J1813" s="181">
        <v>0</v>
      </c>
      <c r="K1813" s="181">
        <v>0</v>
      </c>
      <c r="L1813" s="181">
        <v>0</v>
      </c>
      <c r="M1813" s="181">
        <v>17856328.158239998</v>
      </c>
      <c r="N1813" s="181">
        <v>290051.03279999999</v>
      </c>
      <c r="O1813" s="181">
        <v>213031.83199999999</v>
      </c>
      <c r="P1813" s="181">
        <v>55.372</v>
      </c>
      <c r="Q1813" s="181">
        <v>17856328.158239998</v>
      </c>
      <c r="R1813" s="181">
        <v>290051.03279999999</v>
      </c>
      <c r="S1813" s="181">
        <v>213031.83199999999</v>
      </c>
      <c r="T1813" s="181">
        <v>55.372</v>
      </c>
      <c r="U1813" s="181">
        <v>35754279.459040001</v>
      </c>
      <c r="V1813" s="181">
        <v>0</v>
      </c>
    </row>
    <row r="1814" spans="1:22">
      <c r="A1814" s="2" t="s">
        <v>3646</v>
      </c>
      <c r="B1814" s="2" t="s">
        <v>3647</v>
      </c>
      <c r="C1814" s="181">
        <v>42.561376000000003</v>
      </c>
      <c r="D1814" s="181">
        <v>5083.8607999999995</v>
      </c>
      <c r="E1814" s="181">
        <v>0</v>
      </c>
      <c r="F1814" s="181">
        <v>0</v>
      </c>
      <c r="G1814" s="181">
        <v>0</v>
      </c>
      <c r="H1814" s="181">
        <v>0</v>
      </c>
      <c r="I1814" s="181">
        <v>0</v>
      </c>
      <c r="J1814" s="181">
        <v>0</v>
      </c>
      <c r="K1814" s="181">
        <v>0</v>
      </c>
      <c r="L1814" s="181">
        <v>0</v>
      </c>
      <c r="M1814" s="181">
        <v>15941663.600479998</v>
      </c>
      <c r="N1814" s="181">
        <v>255638.19839999996</v>
      </c>
      <c r="O1814" s="181">
        <v>190089.94239999997</v>
      </c>
      <c r="P1814" s="181">
        <v>55.88</v>
      </c>
      <c r="Q1814" s="181">
        <v>15941663.600479998</v>
      </c>
      <c r="R1814" s="181">
        <v>255638.19839999996</v>
      </c>
      <c r="S1814" s="181">
        <v>190089.94239999997</v>
      </c>
      <c r="T1814" s="181">
        <v>55.88</v>
      </c>
      <c r="U1814" s="181">
        <v>31883327.200959995</v>
      </c>
      <c r="V1814" s="181">
        <v>0</v>
      </c>
    </row>
    <row r="1815" spans="1:22">
      <c r="A1815" s="2" t="s">
        <v>3648</v>
      </c>
      <c r="B1815" s="2" t="s">
        <v>3649</v>
      </c>
      <c r="C1815" s="181">
        <v>37.352815999999997</v>
      </c>
      <c r="D1815" s="181">
        <v>4438.7007999999996</v>
      </c>
      <c r="E1815" s="181">
        <v>0</v>
      </c>
      <c r="F1815" s="181">
        <v>0</v>
      </c>
      <c r="G1815" s="181">
        <v>0</v>
      </c>
      <c r="H1815" s="181">
        <v>0</v>
      </c>
      <c r="I1815" s="181">
        <v>0</v>
      </c>
      <c r="J1815" s="181">
        <v>0</v>
      </c>
      <c r="K1815" s="181">
        <v>0</v>
      </c>
      <c r="L1815" s="181">
        <v>0</v>
      </c>
      <c r="M1815" s="181">
        <v>14151868.470399998</v>
      </c>
      <c r="N1815" s="181">
        <v>226141.48319999999</v>
      </c>
      <c r="O1815" s="181">
        <v>168786.7592</v>
      </c>
      <c r="P1815" s="181">
        <v>56.388000000000005</v>
      </c>
      <c r="Q1815" s="181">
        <v>14151868.470399998</v>
      </c>
      <c r="R1815" s="181">
        <v>226141.48319999999</v>
      </c>
      <c r="S1815" s="181">
        <v>168786.7592</v>
      </c>
      <c r="T1815" s="181">
        <v>56.388000000000005</v>
      </c>
      <c r="U1815" s="181">
        <v>28303736.940799996</v>
      </c>
      <c r="V1815" s="181">
        <v>0</v>
      </c>
    </row>
    <row r="1816" spans="1:22">
      <c r="A1816" s="2" t="s">
        <v>3650</v>
      </c>
      <c r="B1816" s="2" t="s">
        <v>3651</v>
      </c>
      <c r="C1816" s="181">
        <v>31.400176000000002</v>
      </c>
      <c r="D1816" s="181">
        <v>3735.4764</v>
      </c>
      <c r="E1816" s="181">
        <v>0</v>
      </c>
      <c r="F1816" s="181">
        <v>0</v>
      </c>
      <c r="G1816" s="181">
        <v>0</v>
      </c>
      <c r="H1816" s="181">
        <v>0</v>
      </c>
      <c r="I1816" s="181">
        <v>0</v>
      </c>
      <c r="J1816" s="181">
        <v>0</v>
      </c>
      <c r="K1816" s="181">
        <v>0</v>
      </c>
      <c r="L1816" s="181">
        <v>0</v>
      </c>
      <c r="M1816" s="181">
        <v>12112334.484959999</v>
      </c>
      <c r="N1816" s="181">
        <v>191728.64879999997</v>
      </c>
      <c r="O1816" s="181">
        <v>144042.29255999997</v>
      </c>
      <c r="P1816" s="181">
        <v>56.896000000000001</v>
      </c>
      <c r="Q1816" s="181">
        <v>12112334.484959999</v>
      </c>
      <c r="R1816" s="181">
        <v>191728.64879999997</v>
      </c>
      <c r="S1816" s="181">
        <v>144042.29255999997</v>
      </c>
      <c r="T1816" s="181">
        <v>56.896000000000001</v>
      </c>
      <c r="U1816" s="181">
        <v>24224668.969919998</v>
      </c>
      <c r="V1816" s="181">
        <v>0</v>
      </c>
    </row>
    <row r="1817" spans="1:22">
      <c r="A1817" s="2" t="s">
        <v>3652</v>
      </c>
      <c r="B1817" s="2" t="s">
        <v>3653</v>
      </c>
      <c r="C1817" s="181">
        <v>28.275039999999997</v>
      </c>
      <c r="D1817" s="181">
        <v>3367.7351999999996</v>
      </c>
      <c r="E1817" s="181">
        <v>0</v>
      </c>
      <c r="F1817" s="181">
        <v>0</v>
      </c>
      <c r="G1817" s="181">
        <v>0</v>
      </c>
      <c r="H1817" s="181">
        <v>0</v>
      </c>
      <c r="I1817" s="181">
        <v>0</v>
      </c>
      <c r="J1817" s="181">
        <v>0</v>
      </c>
      <c r="K1817" s="181">
        <v>0</v>
      </c>
      <c r="L1817" s="181">
        <v>0</v>
      </c>
      <c r="M1817" s="181">
        <v>11030132.778399998</v>
      </c>
      <c r="N1817" s="181">
        <v>173702.87839999999</v>
      </c>
      <c r="O1817" s="181">
        <v>130932.64135999999</v>
      </c>
      <c r="P1817" s="181">
        <v>57.15</v>
      </c>
      <c r="Q1817" s="181">
        <v>11030132.778399998</v>
      </c>
      <c r="R1817" s="181">
        <v>173702.87839999999</v>
      </c>
      <c r="S1817" s="181">
        <v>130932.64135999999</v>
      </c>
      <c r="T1817" s="181">
        <v>57.15</v>
      </c>
      <c r="U1817" s="181">
        <v>22018642.414239999</v>
      </c>
      <c r="V1817" s="181">
        <v>0</v>
      </c>
    </row>
    <row r="1818" spans="1:22">
      <c r="A1818" s="2" t="s">
        <v>3654</v>
      </c>
      <c r="B1818" s="2" t="s">
        <v>3655</v>
      </c>
      <c r="C1818" s="181">
        <v>25.298719999999999</v>
      </c>
      <c r="D1818" s="181">
        <v>3019.3487999999998</v>
      </c>
      <c r="E1818" s="181">
        <v>0</v>
      </c>
      <c r="F1818" s="181">
        <v>0</v>
      </c>
      <c r="G1818" s="181">
        <v>0</v>
      </c>
      <c r="H1818" s="181">
        <v>0</v>
      </c>
      <c r="I1818" s="181">
        <v>0</v>
      </c>
      <c r="J1818" s="181">
        <v>0</v>
      </c>
      <c r="K1818" s="181">
        <v>0</v>
      </c>
      <c r="L1818" s="181">
        <v>0</v>
      </c>
      <c r="M1818" s="181">
        <v>9947931.0718399975</v>
      </c>
      <c r="N1818" s="181">
        <v>156004.84927999997</v>
      </c>
      <c r="O1818" s="181">
        <v>118314.60207999998</v>
      </c>
      <c r="P1818" s="181">
        <v>57.403999999999989</v>
      </c>
      <c r="Q1818" s="181">
        <v>9947931.0718399975</v>
      </c>
      <c r="R1818" s="181">
        <v>156004.84927999997</v>
      </c>
      <c r="S1818" s="181">
        <v>118314.60207999998</v>
      </c>
      <c r="T1818" s="181">
        <v>57.403999999999989</v>
      </c>
      <c r="U1818" s="181">
        <v>19937485.286239997</v>
      </c>
      <c r="V1818" s="181">
        <v>0</v>
      </c>
    </row>
    <row r="1819" spans="1:22">
      <c r="A1819" s="2" t="s">
        <v>3656</v>
      </c>
      <c r="B1819" s="2" t="s">
        <v>3657</v>
      </c>
      <c r="C1819" s="181">
        <v>19.197264000000001</v>
      </c>
      <c r="D1819" s="181">
        <v>2277.4147999999996</v>
      </c>
      <c r="E1819" s="181">
        <v>0</v>
      </c>
      <c r="F1819" s="181">
        <v>0</v>
      </c>
      <c r="G1819" s="181">
        <v>0</v>
      </c>
      <c r="H1819" s="181">
        <v>0</v>
      </c>
      <c r="I1819" s="181">
        <v>0</v>
      </c>
      <c r="J1819" s="181">
        <v>0</v>
      </c>
      <c r="K1819" s="181">
        <v>0</v>
      </c>
      <c r="L1819" s="181">
        <v>0</v>
      </c>
      <c r="M1819" s="181">
        <v>7658658.2310399991</v>
      </c>
      <c r="N1819" s="181">
        <v>118642.34336</v>
      </c>
      <c r="O1819" s="181">
        <v>90784.334559999988</v>
      </c>
      <c r="P1819" s="181">
        <v>57.911999999999992</v>
      </c>
      <c r="Q1819" s="181">
        <v>7658658.2310399991</v>
      </c>
      <c r="R1819" s="181">
        <v>118642.34336</v>
      </c>
      <c r="S1819" s="181">
        <v>90784.334559999988</v>
      </c>
      <c r="T1819" s="181">
        <v>57.911999999999992</v>
      </c>
      <c r="U1819" s="181">
        <v>15275693.31952</v>
      </c>
      <c r="V1819" s="181">
        <v>0</v>
      </c>
    </row>
    <row r="1820" spans="1:22">
      <c r="A1820" s="2" t="s">
        <v>3658</v>
      </c>
      <c r="B1820" s="2" t="s">
        <v>3659</v>
      </c>
      <c r="C1820" s="181">
        <v>12.932110399999999</v>
      </c>
      <c r="D1820" s="181">
        <v>1529.0291999999999</v>
      </c>
      <c r="E1820" s="181">
        <v>0</v>
      </c>
      <c r="F1820" s="181">
        <v>0</v>
      </c>
      <c r="G1820" s="181">
        <v>0</v>
      </c>
      <c r="H1820" s="181">
        <v>0</v>
      </c>
      <c r="I1820" s="181">
        <v>0</v>
      </c>
      <c r="J1820" s="181">
        <v>0</v>
      </c>
      <c r="K1820" s="181">
        <v>0</v>
      </c>
      <c r="L1820" s="181">
        <v>0</v>
      </c>
      <c r="M1820" s="181">
        <v>5244515.962559999</v>
      </c>
      <c r="N1820" s="181">
        <v>80624.354879999984</v>
      </c>
      <c r="O1820" s="181">
        <v>62106.972559999995</v>
      </c>
      <c r="P1820" s="181">
        <v>58.419999999999995</v>
      </c>
      <c r="Q1820" s="181">
        <v>5244515.962559999</v>
      </c>
      <c r="R1820" s="181">
        <v>80624.354879999984</v>
      </c>
      <c r="S1820" s="181">
        <v>62106.972559999995</v>
      </c>
      <c r="T1820" s="181">
        <v>58.419999999999995</v>
      </c>
      <c r="U1820" s="181">
        <v>10447408.78256</v>
      </c>
      <c r="V1820" s="181">
        <v>0</v>
      </c>
    </row>
    <row r="1821" spans="1:22">
      <c r="A1821" s="2" t="s">
        <v>3660</v>
      </c>
      <c r="B1821" s="2" t="s">
        <v>3661</v>
      </c>
      <c r="C1821" s="181">
        <v>44.793616</v>
      </c>
      <c r="D1821" s="181">
        <v>5335.4731999999995</v>
      </c>
      <c r="E1821" s="181">
        <v>0</v>
      </c>
      <c r="F1821" s="181">
        <v>0</v>
      </c>
      <c r="G1821" s="181">
        <v>0</v>
      </c>
      <c r="H1821" s="181">
        <v>0</v>
      </c>
      <c r="I1821" s="181">
        <v>0</v>
      </c>
      <c r="J1821" s="181">
        <v>0</v>
      </c>
      <c r="K1821" s="181">
        <v>0</v>
      </c>
      <c r="L1821" s="181">
        <v>0</v>
      </c>
      <c r="M1821" s="181">
        <v>13860506.472479997</v>
      </c>
      <c r="N1821" s="181">
        <v>244167.2536</v>
      </c>
      <c r="O1821" s="181">
        <v>178618.9976</v>
      </c>
      <c r="P1821" s="181">
        <v>51.053999999999995</v>
      </c>
      <c r="Q1821" s="181">
        <v>13860506.472479997</v>
      </c>
      <c r="R1821" s="181">
        <v>244167.2536</v>
      </c>
      <c r="S1821" s="181">
        <v>178618.9976</v>
      </c>
      <c r="T1821" s="181">
        <v>51.053999999999995</v>
      </c>
      <c r="U1821" s="181">
        <v>27762636.08752</v>
      </c>
      <c r="V1821" s="181">
        <v>0</v>
      </c>
    </row>
    <row r="1822" spans="1:22">
      <c r="A1822" s="2" t="s">
        <v>3662</v>
      </c>
      <c r="B1822" s="2" t="s">
        <v>3663</v>
      </c>
      <c r="C1822" s="181">
        <v>34.376496000000003</v>
      </c>
      <c r="D1822" s="181">
        <v>4083.8627999999999</v>
      </c>
      <c r="E1822" s="181">
        <v>0</v>
      </c>
      <c r="F1822" s="181">
        <v>0</v>
      </c>
      <c r="G1822" s="181">
        <v>0</v>
      </c>
      <c r="H1822" s="181">
        <v>0</v>
      </c>
      <c r="I1822" s="181">
        <v>0</v>
      </c>
      <c r="J1822" s="181">
        <v>0</v>
      </c>
      <c r="K1822" s="181">
        <v>0</v>
      </c>
      <c r="L1822" s="181">
        <v>0</v>
      </c>
      <c r="M1822" s="181">
        <v>11030132.778399998</v>
      </c>
      <c r="N1822" s="181">
        <v>191728.64879999997</v>
      </c>
      <c r="O1822" s="181">
        <v>141911.97423999998</v>
      </c>
      <c r="P1822" s="181">
        <v>52.069999999999993</v>
      </c>
      <c r="Q1822" s="181">
        <v>11030132.778399998</v>
      </c>
      <c r="R1822" s="181">
        <v>191728.64879999997</v>
      </c>
      <c r="S1822" s="181">
        <v>141911.97423999998</v>
      </c>
      <c r="T1822" s="181">
        <v>52.069999999999993</v>
      </c>
      <c r="U1822" s="181">
        <v>22060265.556799997</v>
      </c>
      <c r="V1822" s="181">
        <v>0</v>
      </c>
    </row>
    <row r="1823" spans="1:22">
      <c r="A1823" s="2" t="s">
        <v>3664</v>
      </c>
      <c r="B1823" s="2" t="s">
        <v>3665</v>
      </c>
      <c r="C1823" s="181">
        <v>28.870303999999997</v>
      </c>
      <c r="D1823" s="181">
        <v>3438.7028</v>
      </c>
      <c r="E1823" s="181">
        <v>0</v>
      </c>
      <c r="F1823" s="181">
        <v>0</v>
      </c>
      <c r="G1823" s="181">
        <v>0</v>
      </c>
      <c r="H1823" s="181">
        <v>0</v>
      </c>
      <c r="I1823" s="181">
        <v>0</v>
      </c>
      <c r="J1823" s="181">
        <v>0</v>
      </c>
      <c r="K1823" s="181">
        <v>0</v>
      </c>
      <c r="L1823" s="181">
        <v>0</v>
      </c>
      <c r="M1823" s="181">
        <v>9448453.3611199986</v>
      </c>
      <c r="N1823" s="181">
        <v>162395.80424</v>
      </c>
      <c r="O1823" s="181">
        <v>121755.88551999998</v>
      </c>
      <c r="P1823" s="181">
        <v>52.577999999999996</v>
      </c>
      <c r="Q1823" s="181">
        <v>9448453.3611199986</v>
      </c>
      <c r="R1823" s="181">
        <v>162395.80424</v>
      </c>
      <c r="S1823" s="181">
        <v>121755.88551999998</v>
      </c>
      <c r="T1823" s="181">
        <v>52.577999999999996</v>
      </c>
      <c r="U1823" s="181">
        <v>18938529.864799999</v>
      </c>
      <c r="V1823" s="181">
        <v>0</v>
      </c>
    </row>
    <row r="1824" spans="1:22">
      <c r="A1824" s="2" t="s">
        <v>3666</v>
      </c>
      <c r="B1824" s="2" t="s">
        <v>3667</v>
      </c>
      <c r="C1824" s="181">
        <v>23.364111999999999</v>
      </c>
      <c r="D1824" s="181">
        <v>2780.6395999999995</v>
      </c>
      <c r="E1824" s="181">
        <v>0</v>
      </c>
      <c r="F1824" s="181">
        <v>0</v>
      </c>
      <c r="G1824" s="181">
        <v>0</v>
      </c>
      <c r="H1824" s="181">
        <v>0</v>
      </c>
      <c r="I1824" s="181">
        <v>0</v>
      </c>
      <c r="J1824" s="181">
        <v>0</v>
      </c>
      <c r="K1824" s="181">
        <v>0</v>
      </c>
      <c r="L1824" s="181">
        <v>0</v>
      </c>
      <c r="M1824" s="181">
        <v>7783527.6587199988</v>
      </c>
      <c r="N1824" s="181">
        <v>132571.34775999998</v>
      </c>
      <c r="O1824" s="181">
        <v>100288.83167999999</v>
      </c>
      <c r="P1824" s="181">
        <v>52.832000000000001</v>
      </c>
      <c r="Q1824" s="181">
        <v>7783527.6587199988</v>
      </c>
      <c r="R1824" s="181">
        <v>132571.34775999998</v>
      </c>
      <c r="S1824" s="181">
        <v>100288.83167999999</v>
      </c>
      <c r="T1824" s="181">
        <v>52.832000000000001</v>
      </c>
      <c r="U1824" s="181">
        <v>15608678.459999999</v>
      </c>
      <c r="V1824" s="181">
        <v>0</v>
      </c>
    </row>
    <row r="1825" spans="1:22">
      <c r="A1825" s="2" t="s">
        <v>3668</v>
      </c>
      <c r="B1825" s="2" t="s">
        <v>3669</v>
      </c>
      <c r="C1825" s="181">
        <v>17.709104</v>
      </c>
      <c r="D1825" s="181">
        <v>2096.77</v>
      </c>
      <c r="E1825" s="181">
        <v>0</v>
      </c>
      <c r="F1825" s="181">
        <v>0</v>
      </c>
      <c r="G1825" s="181">
        <v>0</v>
      </c>
      <c r="H1825" s="181">
        <v>0</v>
      </c>
      <c r="I1825" s="181">
        <v>0</v>
      </c>
      <c r="J1825" s="181">
        <v>0</v>
      </c>
      <c r="K1825" s="181">
        <v>0</v>
      </c>
      <c r="L1825" s="181">
        <v>0</v>
      </c>
      <c r="M1825" s="181">
        <v>5993732.5286399992</v>
      </c>
      <c r="N1825" s="181">
        <v>100944.31423999999</v>
      </c>
      <c r="O1825" s="181">
        <v>77183.071439999985</v>
      </c>
      <c r="P1825" s="181">
        <v>53.339999999999996</v>
      </c>
      <c r="Q1825" s="181">
        <v>5993732.5286399992</v>
      </c>
      <c r="R1825" s="181">
        <v>100944.31423999999</v>
      </c>
      <c r="S1825" s="181">
        <v>77183.071439999985</v>
      </c>
      <c r="T1825" s="181">
        <v>53.339999999999996</v>
      </c>
      <c r="U1825" s="181">
        <v>11987465.057279998</v>
      </c>
      <c r="V1825" s="181">
        <v>0</v>
      </c>
    </row>
    <row r="1826" spans="1:22">
      <c r="A1826" s="2" t="s">
        <v>3670</v>
      </c>
      <c r="B1826" s="2" t="s">
        <v>3671</v>
      </c>
      <c r="C1826" s="181">
        <v>43.751903999999996</v>
      </c>
      <c r="D1826" s="181">
        <v>5219.3444</v>
      </c>
      <c r="E1826" s="181">
        <v>0</v>
      </c>
      <c r="F1826" s="181">
        <v>0</v>
      </c>
      <c r="G1826" s="181">
        <v>0</v>
      </c>
      <c r="H1826" s="181">
        <v>0</v>
      </c>
      <c r="I1826" s="181">
        <v>0</v>
      </c>
      <c r="J1826" s="181">
        <v>0</v>
      </c>
      <c r="K1826" s="181">
        <v>0</v>
      </c>
      <c r="L1826" s="181">
        <v>0</v>
      </c>
      <c r="M1826" s="181">
        <v>12986420.478719998</v>
      </c>
      <c r="N1826" s="181">
        <v>234335.01519999999</v>
      </c>
      <c r="O1826" s="181">
        <v>170425.4656</v>
      </c>
      <c r="P1826" s="181">
        <v>49.783999999999999</v>
      </c>
      <c r="Q1826" s="181">
        <v>12986420.478719998</v>
      </c>
      <c r="R1826" s="181">
        <v>234335.01519999999</v>
      </c>
      <c r="S1826" s="181">
        <v>170425.4656</v>
      </c>
      <c r="T1826" s="181">
        <v>49.783999999999999</v>
      </c>
      <c r="U1826" s="181">
        <v>25972840.957439996</v>
      </c>
      <c r="V1826" s="181">
        <v>0</v>
      </c>
    </row>
    <row r="1827" spans="1:22">
      <c r="A1827" s="2" t="s">
        <v>3672</v>
      </c>
      <c r="B1827" s="2" t="s">
        <v>3673</v>
      </c>
      <c r="C1827" s="181">
        <v>33.483599999999996</v>
      </c>
      <c r="D1827" s="181">
        <v>3999.9919999999997</v>
      </c>
      <c r="E1827" s="181">
        <v>0</v>
      </c>
      <c r="F1827" s="181">
        <v>0</v>
      </c>
      <c r="G1827" s="181">
        <v>0</v>
      </c>
      <c r="H1827" s="181">
        <v>0</v>
      </c>
      <c r="I1827" s="181">
        <v>0</v>
      </c>
      <c r="J1827" s="181">
        <v>0</v>
      </c>
      <c r="K1827" s="181">
        <v>0</v>
      </c>
      <c r="L1827" s="181">
        <v>0</v>
      </c>
      <c r="M1827" s="181">
        <v>10322539.35488</v>
      </c>
      <c r="N1827" s="181">
        <v>183535.11679999996</v>
      </c>
      <c r="O1827" s="181">
        <v>135684.88991999999</v>
      </c>
      <c r="P1827" s="181">
        <v>50.8</v>
      </c>
      <c r="Q1827" s="181">
        <v>10322539.35488</v>
      </c>
      <c r="R1827" s="181">
        <v>183535.11679999996</v>
      </c>
      <c r="S1827" s="181">
        <v>135684.88991999999</v>
      </c>
      <c r="T1827" s="181">
        <v>50.8</v>
      </c>
      <c r="U1827" s="181">
        <v>20686701.852320001</v>
      </c>
      <c r="V1827" s="181">
        <v>0</v>
      </c>
    </row>
    <row r="1828" spans="1:22">
      <c r="A1828" s="2" t="s">
        <v>3674</v>
      </c>
      <c r="B1828" s="2" t="s">
        <v>3675</v>
      </c>
      <c r="C1828" s="181">
        <v>28.275039999999997</v>
      </c>
      <c r="D1828" s="181">
        <v>3367.7351999999996</v>
      </c>
      <c r="E1828" s="181">
        <v>0</v>
      </c>
      <c r="F1828" s="181">
        <v>0</v>
      </c>
      <c r="G1828" s="181">
        <v>0</v>
      </c>
      <c r="H1828" s="181">
        <v>0</v>
      </c>
      <c r="I1828" s="181">
        <v>0</v>
      </c>
      <c r="J1828" s="181">
        <v>0</v>
      </c>
      <c r="K1828" s="181">
        <v>0</v>
      </c>
      <c r="L1828" s="181">
        <v>0</v>
      </c>
      <c r="M1828" s="181">
        <v>8865729.3652799986</v>
      </c>
      <c r="N1828" s="181">
        <v>155513.23736</v>
      </c>
      <c r="O1828" s="181">
        <v>116512.02503999999</v>
      </c>
      <c r="P1828" s="181">
        <v>51.308</v>
      </c>
      <c r="Q1828" s="181">
        <v>8865729.3652799986</v>
      </c>
      <c r="R1828" s="181">
        <v>155513.23736</v>
      </c>
      <c r="S1828" s="181">
        <v>116512.02503999999</v>
      </c>
      <c r="T1828" s="181">
        <v>51.308</v>
      </c>
      <c r="U1828" s="181">
        <v>17731458.730559997</v>
      </c>
      <c r="V1828" s="181">
        <v>0</v>
      </c>
    </row>
    <row r="1829" spans="1:22">
      <c r="A1829" s="2" t="s">
        <v>3676</v>
      </c>
      <c r="B1829" s="2" t="s">
        <v>3677</v>
      </c>
      <c r="C1829" s="181">
        <v>25.447535999999999</v>
      </c>
      <c r="D1829" s="181">
        <v>3038.7035999999998</v>
      </c>
      <c r="E1829" s="181">
        <v>0</v>
      </c>
      <c r="F1829" s="181">
        <v>0</v>
      </c>
      <c r="G1829" s="181">
        <v>0</v>
      </c>
      <c r="H1829" s="181">
        <v>0</v>
      </c>
      <c r="I1829" s="181">
        <v>0</v>
      </c>
      <c r="J1829" s="181">
        <v>0</v>
      </c>
      <c r="K1829" s="181">
        <v>0</v>
      </c>
      <c r="L1829" s="181">
        <v>0</v>
      </c>
      <c r="M1829" s="181">
        <v>8074889.6566399988</v>
      </c>
      <c r="N1829" s="181">
        <v>140928.75039999999</v>
      </c>
      <c r="O1829" s="181">
        <v>106024.30407999999</v>
      </c>
      <c r="P1829" s="181">
        <v>51.561999999999991</v>
      </c>
      <c r="Q1829" s="181">
        <v>8074889.6566399988</v>
      </c>
      <c r="R1829" s="181">
        <v>140928.75039999999</v>
      </c>
      <c r="S1829" s="181">
        <v>106024.30407999999</v>
      </c>
      <c r="T1829" s="181">
        <v>51.561999999999991</v>
      </c>
      <c r="U1829" s="181">
        <v>16149779.313279998</v>
      </c>
      <c r="V1829" s="181">
        <v>0</v>
      </c>
    </row>
    <row r="1830" spans="1:22">
      <c r="A1830" s="2" t="s">
        <v>3678</v>
      </c>
      <c r="B1830" s="2" t="s">
        <v>3679</v>
      </c>
      <c r="C1830" s="181">
        <v>22.917663999999998</v>
      </c>
      <c r="D1830" s="181">
        <v>2722.5751999999998</v>
      </c>
      <c r="E1830" s="181">
        <v>0</v>
      </c>
      <c r="F1830" s="181">
        <v>0</v>
      </c>
      <c r="G1830" s="181">
        <v>0</v>
      </c>
      <c r="H1830" s="181">
        <v>0</v>
      </c>
      <c r="I1830" s="181">
        <v>0</v>
      </c>
      <c r="J1830" s="181">
        <v>0</v>
      </c>
      <c r="K1830" s="181">
        <v>0</v>
      </c>
      <c r="L1830" s="181">
        <v>0</v>
      </c>
      <c r="M1830" s="181">
        <v>7325673.0905599995</v>
      </c>
      <c r="N1830" s="181">
        <v>126999.74599999998</v>
      </c>
      <c r="O1830" s="181">
        <v>96028.195039999991</v>
      </c>
      <c r="P1830" s="181">
        <v>51.815999999999995</v>
      </c>
      <c r="Q1830" s="181">
        <v>7325673.0905599995</v>
      </c>
      <c r="R1830" s="181">
        <v>126999.74599999998</v>
      </c>
      <c r="S1830" s="181">
        <v>96028.195039999991</v>
      </c>
      <c r="T1830" s="181">
        <v>51.815999999999995</v>
      </c>
      <c r="U1830" s="181">
        <v>14651346.181119999</v>
      </c>
      <c r="V1830" s="181">
        <v>0</v>
      </c>
    </row>
    <row r="1831" spans="1:22">
      <c r="A1831" s="2" t="s">
        <v>3680</v>
      </c>
      <c r="B1831" s="2" t="s">
        <v>3681</v>
      </c>
      <c r="C1831" s="181">
        <v>17.411472</v>
      </c>
      <c r="D1831" s="181">
        <v>2051.6088</v>
      </c>
      <c r="E1831" s="181">
        <v>0</v>
      </c>
      <c r="F1831" s="181">
        <v>0</v>
      </c>
      <c r="G1831" s="181">
        <v>0</v>
      </c>
      <c r="H1831" s="181">
        <v>0</v>
      </c>
      <c r="I1831" s="181">
        <v>0</v>
      </c>
      <c r="J1831" s="181">
        <v>0</v>
      </c>
      <c r="K1831" s="181">
        <v>0</v>
      </c>
      <c r="L1831" s="181">
        <v>0</v>
      </c>
      <c r="M1831" s="181">
        <v>5619124.2455999991</v>
      </c>
      <c r="N1831" s="181">
        <v>96847.548239999989</v>
      </c>
      <c r="O1831" s="181">
        <v>73905.658639999994</v>
      </c>
      <c r="P1831" s="181">
        <v>52.323999999999998</v>
      </c>
      <c r="Q1831" s="181">
        <v>5619124.2455999991</v>
      </c>
      <c r="R1831" s="181">
        <v>96847.548239999989</v>
      </c>
      <c r="S1831" s="181">
        <v>73905.658639999994</v>
      </c>
      <c r="T1831" s="181">
        <v>52.323999999999998</v>
      </c>
      <c r="U1831" s="181">
        <v>11238248.491199998</v>
      </c>
      <c r="V1831" s="181">
        <v>0</v>
      </c>
    </row>
    <row r="1832" spans="1:22">
      <c r="A1832" s="2" t="s">
        <v>3682</v>
      </c>
      <c r="B1832" s="2" t="s">
        <v>3683</v>
      </c>
      <c r="C1832" s="181">
        <v>11.682055999999999</v>
      </c>
      <c r="D1832" s="181">
        <v>1380.6424</v>
      </c>
      <c r="E1832" s="181">
        <v>0</v>
      </c>
      <c r="F1832" s="181">
        <v>0</v>
      </c>
      <c r="G1832" s="181">
        <v>0</v>
      </c>
      <c r="H1832" s="181">
        <v>0</v>
      </c>
      <c r="I1832" s="181">
        <v>0</v>
      </c>
      <c r="J1832" s="181">
        <v>0</v>
      </c>
      <c r="K1832" s="181">
        <v>0</v>
      </c>
      <c r="L1832" s="181">
        <v>0</v>
      </c>
      <c r="M1832" s="181">
        <v>3862627.6295679994</v>
      </c>
      <c r="N1832" s="181">
        <v>65875.997279999981</v>
      </c>
      <c r="O1832" s="181">
        <v>50636.02775999999</v>
      </c>
      <c r="P1832" s="181">
        <v>52.832000000000001</v>
      </c>
      <c r="Q1832" s="181">
        <v>3862627.6295679994</v>
      </c>
      <c r="R1832" s="181">
        <v>65875.997279999981</v>
      </c>
      <c r="S1832" s="181">
        <v>50636.02775999999</v>
      </c>
      <c r="T1832" s="181">
        <v>52.832000000000001</v>
      </c>
      <c r="U1832" s="181">
        <v>7741904.5161600001</v>
      </c>
      <c r="V1832" s="181">
        <v>0</v>
      </c>
    </row>
    <row r="1833" spans="1:22">
      <c r="A1833" s="2" t="s">
        <v>3684</v>
      </c>
      <c r="B1833" s="2" t="s">
        <v>3685</v>
      </c>
      <c r="C1833" s="181">
        <v>30.953727999999998</v>
      </c>
      <c r="D1833" s="181">
        <v>3690.3151999999995</v>
      </c>
      <c r="E1833" s="181">
        <v>0</v>
      </c>
      <c r="F1833" s="181">
        <v>0</v>
      </c>
      <c r="G1833" s="181">
        <v>0</v>
      </c>
      <c r="H1833" s="181">
        <v>0</v>
      </c>
      <c r="I1833" s="181">
        <v>0</v>
      </c>
      <c r="J1833" s="181">
        <v>0</v>
      </c>
      <c r="K1833" s="181">
        <v>0</v>
      </c>
      <c r="L1833" s="181">
        <v>0</v>
      </c>
      <c r="M1833" s="181">
        <v>8116512.7991999993</v>
      </c>
      <c r="N1833" s="181">
        <v>155677.10799999998</v>
      </c>
      <c r="O1833" s="181">
        <v>115037.18927999998</v>
      </c>
      <c r="P1833" s="181">
        <v>46.99</v>
      </c>
      <c r="Q1833" s="181">
        <v>8116512.7991999993</v>
      </c>
      <c r="R1833" s="181">
        <v>155677.10799999998</v>
      </c>
      <c r="S1833" s="181">
        <v>115037.18927999998</v>
      </c>
      <c r="T1833" s="181">
        <v>46.99</v>
      </c>
      <c r="U1833" s="181">
        <v>16233025.598399999</v>
      </c>
      <c r="V1833" s="181">
        <v>0</v>
      </c>
    </row>
    <row r="1834" spans="1:22">
      <c r="A1834" s="2" t="s">
        <v>3686</v>
      </c>
      <c r="B1834" s="2" t="s">
        <v>3687</v>
      </c>
      <c r="C1834" s="181">
        <v>21.727135999999998</v>
      </c>
      <c r="D1834" s="181">
        <v>2599.9947999999999</v>
      </c>
      <c r="E1834" s="181">
        <v>0</v>
      </c>
      <c r="F1834" s="181">
        <v>0</v>
      </c>
      <c r="G1834" s="181">
        <v>0</v>
      </c>
      <c r="H1834" s="181">
        <v>0</v>
      </c>
      <c r="I1834" s="181">
        <v>0</v>
      </c>
      <c r="J1834" s="181">
        <v>0</v>
      </c>
      <c r="K1834" s="181">
        <v>0</v>
      </c>
      <c r="L1834" s="181">
        <v>0</v>
      </c>
      <c r="M1834" s="181">
        <v>5952109.3860799996</v>
      </c>
      <c r="N1834" s="181">
        <v>111923.64711999999</v>
      </c>
      <c r="O1834" s="181">
        <v>84229.508959999992</v>
      </c>
      <c r="P1834" s="181">
        <v>47.751999999999995</v>
      </c>
      <c r="Q1834" s="181">
        <v>5952109.3860799996</v>
      </c>
      <c r="R1834" s="181">
        <v>111923.64711999999</v>
      </c>
      <c r="S1834" s="181">
        <v>84229.508959999992</v>
      </c>
      <c r="T1834" s="181">
        <v>47.751999999999995</v>
      </c>
      <c r="U1834" s="181">
        <v>11904218.772159999</v>
      </c>
      <c r="V1834" s="181">
        <v>0</v>
      </c>
    </row>
    <row r="1835" spans="1:22">
      <c r="A1835" s="2" t="s">
        <v>3688</v>
      </c>
      <c r="B1835" s="2" t="s">
        <v>3689</v>
      </c>
      <c r="C1835" s="181">
        <v>16.072127999999999</v>
      </c>
      <c r="D1835" s="181">
        <v>1903.222</v>
      </c>
      <c r="E1835" s="181">
        <v>0</v>
      </c>
      <c r="F1835" s="181">
        <v>0</v>
      </c>
      <c r="G1835" s="181">
        <v>0</v>
      </c>
      <c r="H1835" s="181">
        <v>0</v>
      </c>
      <c r="I1835" s="181">
        <v>0</v>
      </c>
      <c r="J1835" s="181">
        <v>0</v>
      </c>
      <c r="K1835" s="181">
        <v>0</v>
      </c>
      <c r="L1835" s="181">
        <v>0</v>
      </c>
      <c r="M1835" s="181">
        <v>4453676.2539199991</v>
      </c>
      <c r="N1835" s="181">
        <v>82754.67319999999</v>
      </c>
      <c r="O1835" s="181">
        <v>63090.196399999993</v>
      </c>
      <c r="P1835" s="181">
        <v>48.513999999999996</v>
      </c>
      <c r="Q1835" s="181">
        <v>4453676.2539199991</v>
      </c>
      <c r="R1835" s="181">
        <v>82754.67319999999</v>
      </c>
      <c r="S1835" s="181">
        <v>63090.196399999993</v>
      </c>
      <c r="T1835" s="181">
        <v>48.513999999999996</v>
      </c>
      <c r="U1835" s="181">
        <v>8907352.5078399982</v>
      </c>
      <c r="V1835" s="181">
        <v>0</v>
      </c>
    </row>
    <row r="1836" spans="1:22">
      <c r="A1836" s="2" t="s">
        <v>3690</v>
      </c>
      <c r="B1836" s="2" t="s">
        <v>3691</v>
      </c>
      <c r="C1836" s="181">
        <v>11.5778848</v>
      </c>
      <c r="D1836" s="181">
        <v>1380.6424</v>
      </c>
      <c r="E1836" s="181">
        <v>0</v>
      </c>
      <c r="F1836" s="181">
        <v>0</v>
      </c>
      <c r="G1836" s="181">
        <v>0</v>
      </c>
      <c r="H1836" s="181">
        <v>0</v>
      </c>
      <c r="I1836" s="181">
        <v>0</v>
      </c>
      <c r="J1836" s="181">
        <v>0</v>
      </c>
      <c r="K1836" s="181">
        <v>0</v>
      </c>
      <c r="L1836" s="181">
        <v>0</v>
      </c>
      <c r="M1836" s="181">
        <v>3288228.2622399996</v>
      </c>
      <c r="N1836" s="181">
        <v>60632.1368</v>
      </c>
      <c r="O1836" s="181">
        <v>46539.261759999994</v>
      </c>
      <c r="P1836" s="181">
        <v>48.767999999999994</v>
      </c>
      <c r="Q1836" s="181">
        <v>3288228.2622399996</v>
      </c>
      <c r="R1836" s="181">
        <v>60632.1368</v>
      </c>
      <c r="S1836" s="181">
        <v>46539.261759999994</v>
      </c>
      <c r="T1836" s="181">
        <v>48.767999999999994</v>
      </c>
      <c r="U1836" s="181">
        <v>6576456.5244799992</v>
      </c>
      <c r="V1836" s="181">
        <v>0</v>
      </c>
    </row>
    <row r="1837" spans="1:22">
      <c r="A1837" s="2" t="s">
        <v>3692</v>
      </c>
      <c r="B1837" s="2" t="s">
        <v>3693</v>
      </c>
      <c r="C1837" s="181">
        <v>39.733871999999998</v>
      </c>
      <c r="D1837" s="181">
        <v>4748.3775999999998</v>
      </c>
      <c r="E1837" s="181">
        <v>0</v>
      </c>
      <c r="F1837" s="181">
        <v>0</v>
      </c>
      <c r="G1837" s="181">
        <v>0</v>
      </c>
      <c r="H1837" s="181">
        <v>0</v>
      </c>
      <c r="I1837" s="181">
        <v>0</v>
      </c>
      <c r="J1837" s="181">
        <v>0</v>
      </c>
      <c r="K1837" s="181">
        <v>0</v>
      </c>
      <c r="L1837" s="181">
        <v>0</v>
      </c>
      <c r="M1837" s="181">
        <v>9781438.5015999991</v>
      </c>
      <c r="N1837" s="181">
        <v>193367.35519999999</v>
      </c>
      <c r="O1837" s="181">
        <v>140109.39720000001</v>
      </c>
      <c r="P1837" s="181">
        <v>45.466000000000001</v>
      </c>
      <c r="Q1837" s="181">
        <v>9781438.5015999991</v>
      </c>
      <c r="R1837" s="181">
        <v>193367.35519999999</v>
      </c>
      <c r="S1837" s="181">
        <v>140109.39720000001</v>
      </c>
      <c r="T1837" s="181">
        <v>45.466000000000001</v>
      </c>
      <c r="U1837" s="181">
        <v>19562877.003199998</v>
      </c>
      <c r="V1837" s="181">
        <v>0</v>
      </c>
    </row>
    <row r="1838" spans="1:22">
      <c r="A1838" s="2" t="s">
        <v>3694</v>
      </c>
      <c r="B1838" s="2" t="s">
        <v>3695</v>
      </c>
      <c r="C1838" s="181">
        <v>30.507279999999998</v>
      </c>
      <c r="D1838" s="181">
        <v>3645.154</v>
      </c>
      <c r="E1838" s="181">
        <v>0</v>
      </c>
      <c r="F1838" s="181">
        <v>0</v>
      </c>
      <c r="G1838" s="181">
        <v>0</v>
      </c>
      <c r="H1838" s="181">
        <v>0</v>
      </c>
      <c r="I1838" s="181">
        <v>0</v>
      </c>
      <c r="J1838" s="181">
        <v>0</v>
      </c>
      <c r="K1838" s="181">
        <v>0</v>
      </c>
      <c r="L1838" s="181">
        <v>0</v>
      </c>
      <c r="M1838" s="181">
        <v>7825150.8012799993</v>
      </c>
      <c r="N1838" s="181">
        <v>151908.08327999999</v>
      </c>
      <c r="O1838" s="181">
        <v>112087.51775999999</v>
      </c>
      <c r="P1838" s="181">
        <v>46.481999999999999</v>
      </c>
      <c r="Q1838" s="181">
        <v>7825150.8012799993</v>
      </c>
      <c r="R1838" s="181">
        <v>151908.08327999999</v>
      </c>
      <c r="S1838" s="181">
        <v>112087.51775999999</v>
      </c>
      <c r="T1838" s="181">
        <v>46.481999999999999</v>
      </c>
      <c r="U1838" s="181">
        <v>15650301.602559999</v>
      </c>
      <c r="V1838" s="181">
        <v>0</v>
      </c>
    </row>
    <row r="1839" spans="1:22">
      <c r="A1839" s="2" t="s">
        <v>3696</v>
      </c>
      <c r="B1839" s="2" t="s">
        <v>3697</v>
      </c>
      <c r="C1839" s="181">
        <v>21.578319999999998</v>
      </c>
      <c r="D1839" s="181">
        <v>2567.7367999999997</v>
      </c>
      <c r="E1839" s="181">
        <v>0</v>
      </c>
      <c r="F1839" s="181">
        <v>0</v>
      </c>
      <c r="G1839" s="181">
        <v>0</v>
      </c>
      <c r="H1839" s="181">
        <v>0</v>
      </c>
      <c r="I1839" s="181">
        <v>0</v>
      </c>
      <c r="J1839" s="181">
        <v>0</v>
      </c>
      <c r="K1839" s="181">
        <v>0</v>
      </c>
      <c r="L1839" s="181">
        <v>0</v>
      </c>
      <c r="M1839" s="181">
        <v>5743993.6732799998</v>
      </c>
      <c r="N1839" s="181">
        <v>109301.71687999999</v>
      </c>
      <c r="O1839" s="181">
        <v>82263.06127999998</v>
      </c>
      <c r="P1839" s="181">
        <v>47.244</v>
      </c>
      <c r="Q1839" s="181">
        <v>5743993.6732799998</v>
      </c>
      <c r="R1839" s="181">
        <v>109301.71687999999</v>
      </c>
      <c r="S1839" s="181">
        <v>82263.06127999998</v>
      </c>
      <c r="T1839" s="181">
        <v>47.244</v>
      </c>
      <c r="U1839" s="181">
        <v>11487987.34656</v>
      </c>
      <c r="V1839" s="181">
        <v>0</v>
      </c>
    </row>
    <row r="1840" spans="1:22">
      <c r="A1840" s="2" t="s">
        <v>3698</v>
      </c>
      <c r="B1840" s="2" t="s">
        <v>3699</v>
      </c>
      <c r="C1840" s="181">
        <v>35.864656000000004</v>
      </c>
      <c r="D1840" s="181">
        <v>4270.9592000000002</v>
      </c>
      <c r="E1840" s="181">
        <v>0</v>
      </c>
      <c r="F1840" s="181">
        <v>0</v>
      </c>
      <c r="G1840" s="181">
        <v>0</v>
      </c>
      <c r="H1840" s="181">
        <v>0</v>
      </c>
      <c r="I1840" s="181">
        <v>0</v>
      </c>
      <c r="J1840" s="181">
        <v>0</v>
      </c>
      <c r="K1840" s="181">
        <v>0</v>
      </c>
      <c r="L1840" s="181">
        <v>0</v>
      </c>
      <c r="M1840" s="181">
        <v>7159180.5203199992</v>
      </c>
      <c r="N1840" s="181">
        <v>157315.81439999997</v>
      </c>
      <c r="O1840" s="181">
        <v>112743.00031999999</v>
      </c>
      <c r="P1840" s="181">
        <v>40.893999999999998</v>
      </c>
      <c r="Q1840" s="181">
        <v>7159180.5203199992</v>
      </c>
      <c r="R1840" s="181">
        <v>157315.81439999997</v>
      </c>
      <c r="S1840" s="181">
        <v>112743.00031999999</v>
      </c>
      <c r="T1840" s="181">
        <v>40.893999999999998</v>
      </c>
      <c r="U1840" s="181">
        <v>14318361.040639998</v>
      </c>
      <c r="V1840" s="181">
        <v>0</v>
      </c>
    </row>
    <row r="1841" spans="1:22">
      <c r="A1841" s="2" t="s">
        <v>3700</v>
      </c>
      <c r="B1841" s="2" t="s">
        <v>3701</v>
      </c>
      <c r="C1841" s="181">
        <v>27.53096</v>
      </c>
      <c r="D1841" s="181">
        <v>3290.3159999999998</v>
      </c>
      <c r="E1841" s="181">
        <v>0</v>
      </c>
      <c r="F1841" s="181">
        <v>0</v>
      </c>
      <c r="G1841" s="181">
        <v>0</v>
      </c>
      <c r="H1841" s="181">
        <v>0</v>
      </c>
      <c r="I1841" s="181">
        <v>0</v>
      </c>
      <c r="J1841" s="181">
        <v>0</v>
      </c>
      <c r="K1841" s="181">
        <v>0</v>
      </c>
      <c r="L1841" s="181">
        <v>0</v>
      </c>
      <c r="M1841" s="181">
        <v>5785616.8158399994</v>
      </c>
      <c r="N1841" s="181">
        <v>123886.20383999999</v>
      </c>
      <c r="O1841" s="181">
        <v>90948.205199999982</v>
      </c>
      <c r="P1841" s="181">
        <v>41.91</v>
      </c>
      <c r="Q1841" s="181">
        <v>5785616.8158399994</v>
      </c>
      <c r="R1841" s="181">
        <v>123886.20383999999</v>
      </c>
      <c r="S1841" s="181">
        <v>90948.205199999982</v>
      </c>
      <c r="T1841" s="181">
        <v>41.91</v>
      </c>
      <c r="U1841" s="181">
        <v>11529610.489119999</v>
      </c>
      <c r="V1841" s="181">
        <v>0</v>
      </c>
    </row>
    <row r="1842" spans="1:22">
      <c r="A1842" s="2" t="s">
        <v>3702</v>
      </c>
      <c r="B1842" s="2" t="s">
        <v>3703</v>
      </c>
      <c r="C1842" s="181">
        <v>23.215295999999999</v>
      </c>
      <c r="D1842" s="181">
        <v>2774.1879999999996</v>
      </c>
      <c r="E1842" s="181">
        <v>0</v>
      </c>
      <c r="F1842" s="181">
        <v>0</v>
      </c>
      <c r="G1842" s="181">
        <v>0</v>
      </c>
      <c r="H1842" s="181">
        <v>0</v>
      </c>
      <c r="I1842" s="181">
        <v>0</v>
      </c>
      <c r="J1842" s="181">
        <v>0</v>
      </c>
      <c r="K1842" s="181">
        <v>0</v>
      </c>
      <c r="L1842" s="181">
        <v>0</v>
      </c>
      <c r="M1842" s="181">
        <v>4994777.1071999995</v>
      </c>
      <c r="N1842" s="181">
        <v>105860.43343999999</v>
      </c>
      <c r="O1842" s="181">
        <v>78494.036559999993</v>
      </c>
      <c r="P1842" s="181">
        <v>42.417999999999999</v>
      </c>
      <c r="Q1842" s="181">
        <v>4994777.1071999995</v>
      </c>
      <c r="R1842" s="181">
        <v>105860.43343999999</v>
      </c>
      <c r="S1842" s="181">
        <v>78494.036559999993</v>
      </c>
      <c r="T1842" s="181">
        <v>42.417999999999999</v>
      </c>
      <c r="U1842" s="181">
        <v>9989554.214399999</v>
      </c>
      <c r="V1842" s="181">
        <v>0</v>
      </c>
    </row>
    <row r="1843" spans="1:22">
      <c r="A1843" s="2" t="s">
        <v>3704</v>
      </c>
      <c r="B1843" s="2" t="s">
        <v>3705</v>
      </c>
      <c r="C1843" s="181">
        <v>19.494895999999997</v>
      </c>
      <c r="D1843" s="181">
        <v>2322.576</v>
      </c>
      <c r="E1843" s="181">
        <v>0</v>
      </c>
      <c r="F1843" s="181">
        <v>0</v>
      </c>
      <c r="G1843" s="181">
        <v>0</v>
      </c>
      <c r="H1843" s="181">
        <v>0</v>
      </c>
      <c r="I1843" s="181">
        <v>0</v>
      </c>
      <c r="J1843" s="181">
        <v>0</v>
      </c>
      <c r="K1843" s="181">
        <v>0</v>
      </c>
      <c r="L1843" s="181">
        <v>0</v>
      </c>
      <c r="M1843" s="181">
        <v>4245560.5411199993</v>
      </c>
      <c r="N1843" s="181">
        <v>89473.369439999995</v>
      </c>
      <c r="O1843" s="181">
        <v>67023.091759999996</v>
      </c>
      <c r="P1843" s="181">
        <v>42.671999999999997</v>
      </c>
      <c r="Q1843" s="181">
        <v>4245560.5411199993</v>
      </c>
      <c r="R1843" s="181">
        <v>89473.369439999995</v>
      </c>
      <c r="S1843" s="181">
        <v>67023.091759999996</v>
      </c>
      <c r="T1843" s="181">
        <v>42.671999999999997</v>
      </c>
      <c r="U1843" s="181">
        <v>8532744.2248</v>
      </c>
      <c r="V1843" s="181">
        <v>0</v>
      </c>
    </row>
    <row r="1844" spans="1:22">
      <c r="A1844" s="2" t="s">
        <v>3706</v>
      </c>
      <c r="B1844" s="2" t="s">
        <v>3707</v>
      </c>
      <c r="C1844" s="181">
        <v>18.899631999999997</v>
      </c>
      <c r="D1844" s="181">
        <v>2251.6084000000001</v>
      </c>
      <c r="E1844" s="181">
        <v>0</v>
      </c>
      <c r="F1844" s="181">
        <v>0</v>
      </c>
      <c r="G1844" s="181">
        <v>0</v>
      </c>
      <c r="H1844" s="181">
        <v>0</v>
      </c>
      <c r="I1844" s="181">
        <v>0</v>
      </c>
      <c r="J1844" s="181">
        <v>0</v>
      </c>
      <c r="K1844" s="181">
        <v>0</v>
      </c>
      <c r="L1844" s="181">
        <v>0</v>
      </c>
      <c r="M1844" s="181">
        <v>4137340.3704639995</v>
      </c>
      <c r="N1844" s="181">
        <v>86851.439199999993</v>
      </c>
      <c r="O1844" s="181">
        <v>65056.644079999998</v>
      </c>
      <c r="P1844" s="181">
        <v>42.925999999999995</v>
      </c>
      <c r="Q1844" s="181">
        <v>4137340.3704639995</v>
      </c>
      <c r="R1844" s="181">
        <v>86851.439199999993</v>
      </c>
      <c r="S1844" s="181">
        <v>65056.644079999998</v>
      </c>
      <c r="T1844" s="181">
        <v>42.925999999999995</v>
      </c>
      <c r="U1844" s="181">
        <v>8283005.3694399986</v>
      </c>
      <c r="V1844" s="181">
        <v>0</v>
      </c>
    </row>
    <row r="1845" spans="1:22">
      <c r="A1845" s="2" t="s">
        <v>3708</v>
      </c>
      <c r="B1845" s="2" t="s">
        <v>3709</v>
      </c>
      <c r="C1845" s="181">
        <v>14.3905072</v>
      </c>
      <c r="D1845" s="181">
        <v>1703.2224000000001</v>
      </c>
      <c r="E1845" s="181">
        <v>0</v>
      </c>
      <c r="F1845" s="181">
        <v>0</v>
      </c>
      <c r="G1845" s="181">
        <v>0</v>
      </c>
      <c r="H1845" s="181">
        <v>0</v>
      </c>
      <c r="I1845" s="181">
        <v>0</v>
      </c>
      <c r="J1845" s="181">
        <v>0</v>
      </c>
      <c r="K1845" s="181">
        <v>0</v>
      </c>
      <c r="L1845" s="181">
        <v>0</v>
      </c>
      <c r="M1845" s="181">
        <v>3200819.6628640001</v>
      </c>
      <c r="N1845" s="181">
        <v>66367.609199999992</v>
      </c>
      <c r="O1845" s="181">
        <v>50472.157119999996</v>
      </c>
      <c r="P1845" s="181">
        <v>43.433999999999997</v>
      </c>
      <c r="Q1845" s="181">
        <v>3200819.6628640001</v>
      </c>
      <c r="R1845" s="181">
        <v>66367.609199999992</v>
      </c>
      <c r="S1845" s="181">
        <v>50472.157119999996</v>
      </c>
      <c r="T1845" s="181">
        <v>43.433999999999997</v>
      </c>
      <c r="U1845" s="181">
        <v>6409963.9542399999</v>
      </c>
      <c r="V1845" s="181">
        <v>0</v>
      </c>
    </row>
    <row r="1846" spans="1:22">
      <c r="A1846" s="2" t="s">
        <v>3710</v>
      </c>
      <c r="B1846" s="2" t="s">
        <v>3711</v>
      </c>
      <c r="C1846" s="181">
        <v>9.6879215999999992</v>
      </c>
      <c r="D1846" s="181">
        <v>1148.3848</v>
      </c>
      <c r="E1846" s="181">
        <v>0</v>
      </c>
      <c r="F1846" s="181">
        <v>0</v>
      </c>
      <c r="G1846" s="181">
        <v>0</v>
      </c>
      <c r="H1846" s="181">
        <v>0</v>
      </c>
      <c r="I1846" s="181">
        <v>0</v>
      </c>
      <c r="J1846" s="181">
        <v>0</v>
      </c>
      <c r="K1846" s="181">
        <v>0</v>
      </c>
      <c r="L1846" s="181">
        <v>0</v>
      </c>
      <c r="M1846" s="181">
        <v>2210188.8699359996</v>
      </c>
      <c r="N1846" s="181">
        <v>45392.167279999994</v>
      </c>
      <c r="O1846" s="181">
        <v>34740.575680000002</v>
      </c>
      <c r="P1846" s="181">
        <v>43.942</v>
      </c>
      <c r="Q1846" s="181">
        <v>2210188.8699359996</v>
      </c>
      <c r="R1846" s="181">
        <v>45392.167279999994</v>
      </c>
      <c r="S1846" s="181">
        <v>34740.575680000002</v>
      </c>
      <c r="T1846" s="181">
        <v>43.942</v>
      </c>
      <c r="U1846" s="181">
        <v>4412053.1113599995</v>
      </c>
      <c r="V1846" s="181">
        <v>0</v>
      </c>
    </row>
    <row r="1847" spans="1:22">
      <c r="A1847" s="2" t="s">
        <v>3712</v>
      </c>
      <c r="B1847" s="2" t="s">
        <v>3713</v>
      </c>
      <c r="C1847" s="181">
        <v>22.322399999999998</v>
      </c>
      <c r="D1847" s="181">
        <v>2670.9623999999999</v>
      </c>
      <c r="E1847" s="181">
        <v>0</v>
      </c>
      <c r="F1847" s="181">
        <v>0</v>
      </c>
      <c r="G1847" s="181">
        <v>0</v>
      </c>
      <c r="H1847" s="181">
        <v>0</v>
      </c>
      <c r="I1847" s="181">
        <v>0</v>
      </c>
      <c r="J1847" s="181">
        <v>0</v>
      </c>
      <c r="K1847" s="181">
        <v>0</v>
      </c>
      <c r="L1847" s="181">
        <v>0</v>
      </c>
      <c r="M1847" s="181">
        <v>3796030.6014719992</v>
      </c>
      <c r="N1847" s="181">
        <v>90620.463919999995</v>
      </c>
      <c r="O1847" s="181">
        <v>66367.609199999992</v>
      </c>
      <c r="P1847" s="181">
        <v>37.591999999999999</v>
      </c>
      <c r="Q1847" s="181">
        <v>3796030.6014719992</v>
      </c>
      <c r="R1847" s="181">
        <v>90620.463919999995</v>
      </c>
      <c r="S1847" s="181">
        <v>66367.609199999992</v>
      </c>
      <c r="T1847" s="181">
        <v>37.591999999999999</v>
      </c>
      <c r="U1847" s="181">
        <v>7575411.9459199989</v>
      </c>
      <c r="V1847" s="181">
        <v>0</v>
      </c>
    </row>
    <row r="1848" spans="1:22">
      <c r="A1848" s="2" t="s">
        <v>3714</v>
      </c>
      <c r="B1848" s="2" t="s">
        <v>3715</v>
      </c>
      <c r="C1848" s="181">
        <v>16.072127999999999</v>
      </c>
      <c r="D1848" s="181">
        <v>1916.1251999999999</v>
      </c>
      <c r="E1848" s="181">
        <v>0</v>
      </c>
      <c r="F1848" s="181">
        <v>0</v>
      </c>
      <c r="G1848" s="181">
        <v>0</v>
      </c>
      <c r="H1848" s="181">
        <v>0</v>
      </c>
      <c r="I1848" s="181">
        <v>0</v>
      </c>
      <c r="J1848" s="181">
        <v>0</v>
      </c>
      <c r="K1848" s="181">
        <v>0</v>
      </c>
      <c r="L1848" s="181">
        <v>0</v>
      </c>
      <c r="M1848" s="181">
        <v>2838698.322592</v>
      </c>
      <c r="N1848" s="181">
        <v>66367.609199999992</v>
      </c>
      <c r="O1848" s="181">
        <v>49652.803919999991</v>
      </c>
      <c r="P1848" s="181">
        <v>38.353999999999999</v>
      </c>
      <c r="Q1848" s="181">
        <v>2838698.322592</v>
      </c>
      <c r="R1848" s="181">
        <v>66367.609199999992</v>
      </c>
      <c r="S1848" s="181">
        <v>49652.803919999991</v>
      </c>
      <c r="T1848" s="181">
        <v>38.353999999999999</v>
      </c>
      <c r="U1848" s="181">
        <v>5660747.3881599996</v>
      </c>
      <c r="V1848" s="181">
        <v>0</v>
      </c>
    </row>
    <row r="1849" spans="1:22">
      <c r="A1849" s="2" t="s">
        <v>3716</v>
      </c>
      <c r="B1849" s="2" t="s">
        <v>3717</v>
      </c>
      <c r="C1849" s="181">
        <v>12.902347199999999</v>
      </c>
      <c r="D1849" s="181">
        <v>1522.5775999999998</v>
      </c>
      <c r="E1849" s="181">
        <v>0</v>
      </c>
      <c r="F1849" s="181">
        <v>0</v>
      </c>
      <c r="G1849" s="181">
        <v>0</v>
      </c>
      <c r="H1849" s="181">
        <v>0</v>
      </c>
      <c r="I1849" s="181">
        <v>0</v>
      </c>
      <c r="J1849" s="181">
        <v>0</v>
      </c>
      <c r="K1849" s="181">
        <v>0</v>
      </c>
      <c r="L1849" s="181">
        <v>0</v>
      </c>
      <c r="M1849" s="181">
        <v>2305922.0978239998</v>
      </c>
      <c r="N1849" s="181">
        <v>53421.828639999992</v>
      </c>
      <c r="O1849" s="181">
        <v>40312.177439999992</v>
      </c>
      <c r="P1849" s="181">
        <v>38.862000000000002</v>
      </c>
      <c r="Q1849" s="181">
        <v>2305922.0978239998</v>
      </c>
      <c r="R1849" s="181">
        <v>53421.828639999992</v>
      </c>
      <c r="S1849" s="181">
        <v>40312.177439999992</v>
      </c>
      <c r="T1849" s="181">
        <v>38.862000000000002</v>
      </c>
      <c r="U1849" s="181">
        <v>4620168.8241599994</v>
      </c>
      <c r="V1849" s="181">
        <v>0</v>
      </c>
    </row>
    <row r="1850" spans="1:22">
      <c r="A1850" s="2" t="s">
        <v>3718</v>
      </c>
      <c r="B1850" s="2" t="s">
        <v>3719</v>
      </c>
      <c r="C1850" s="181">
        <v>8.7057359999999999</v>
      </c>
      <c r="D1850" s="181">
        <v>1032.2560000000001</v>
      </c>
      <c r="E1850" s="181">
        <v>0</v>
      </c>
      <c r="F1850" s="181">
        <v>0</v>
      </c>
      <c r="G1850" s="181">
        <v>0</v>
      </c>
      <c r="H1850" s="181">
        <v>0</v>
      </c>
      <c r="I1850" s="181">
        <v>0</v>
      </c>
      <c r="J1850" s="181">
        <v>0</v>
      </c>
      <c r="K1850" s="181">
        <v>0</v>
      </c>
      <c r="L1850" s="181">
        <v>0</v>
      </c>
      <c r="M1850" s="181">
        <v>1598328.6743039999</v>
      </c>
      <c r="N1850" s="181">
        <v>36543.152719999998</v>
      </c>
      <c r="O1850" s="181">
        <v>28021.879439999997</v>
      </c>
      <c r="P1850" s="181">
        <v>39.369999999999997</v>
      </c>
      <c r="Q1850" s="181">
        <v>1598328.6743039999</v>
      </c>
      <c r="R1850" s="181">
        <v>36543.152719999998</v>
      </c>
      <c r="S1850" s="181">
        <v>28021.879439999997</v>
      </c>
      <c r="T1850" s="181">
        <v>39.369999999999997</v>
      </c>
      <c r="U1850" s="181">
        <v>3196657.3486079997</v>
      </c>
      <c r="V1850" s="181">
        <v>0</v>
      </c>
    </row>
    <row r="1851" spans="1:22">
      <c r="A1851" s="2" t="s">
        <v>3720</v>
      </c>
      <c r="B1851" s="2" t="s">
        <v>3721</v>
      </c>
      <c r="C1851" s="181">
        <v>19.643711999999997</v>
      </c>
      <c r="D1851" s="181">
        <v>2354.8339999999998</v>
      </c>
      <c r="E1851" s="181">
        <v>0</v>
      </c>
      <c r="F1851" s="181">
        <v>0</v>
      </c>
      <c r="G1851" s="181">
        <v>0</v>
      </c>
      <c r="H1851" s="181">
        <v>0</v>
      </c>
      <c r="I1851" s="181">
        <v>0</v>
      </c>
      <c r="J1851" s="181">
        <v>0</v>
      </c>
      <c r="K1851" s="181">
        <v>0</v>
      </c>
      <c r="L1851" s="181">
        <v>0</v>
      </c>
      <c r="M1851" s="181">
        <v>2597284.0957439998</v>
      </c>
      <c r="N1851" s="181">
        <v>70300.504560000001</v>
      </c>
      <c r="O1851" s="181">
        <v>51127.63968</v>
      </c>
      <c r="P1851" s="181">
        <v>33.274000000000001</v>
      </c>
      <c r="Q1851" s="181">
        <v>2597284.0957439998</v>
      </c>
      <c r="R1851" s="181">
        <v>70300.504560000001</v>
      </c>
      <c r="S1851" s="181">
        <v>51127.63968</v>
      </c>
      <c r="T1851" s="181">
        <v>33.274000000000001</v>
      </c>
      <c r="U1851" s="181">
        <v>5202892.8199999994</v>
      </c>
      <c r="V1851" s="181">
        <v>0</v>
      </c>
    </row>
    <row r="1852" spans="1:22">
      <c r="A1852" s="2" t="s">
        <v>3722</v>
      </c>
      <c r="B1852" s="2" t="s">
        <v>3723</v>
      </c>
      <c r="C1852" s="181">
        <v>18.304368</v>
      </c>
      <c r="D1852" s="181">
        <v>2187.0924</v>
      </c>
      <c r="E1852" s="181">
        <v>0</v>
      </c>
      <c r="F1852" s="181">
        <v>0</v>
      </c>
      <c r="G1852" s="181">
        <v>0</v>
      </c>
      <c r="H1852" s="181">
        <v>0</v>
      </c>
      <c r="I1852" s="181">
        <v>0</v>
      </c>
      <c r="J1852" s="181">
        <v>0</v>
      </c>
      <c r="K1852" s="181">
        <v>0</v>
      </c>
      <c r="L1852" s="181">
        <v>0</v>
      </c>
      <c r="M1852" s="181">
        <v>2443278.4682719996</v>
      </c>
      <c r="N1852" s="181">
        <v>65712.126639999988</v>
      </c>
      <c r="O1852" s="181">
        <v>48014.097519999996</v>
      </c>
      <c r="P1852" s="181">
        <v>33.527999999999999</v>
      </c>
      <c r="Q1852" s="181">
        <v>2443278.4682719996</v>
      </c>
      <c r="R1852" s="181">
        <v>65712.126639999988</v>
      </c>
      <c r="S1852" s="181">
        <v>48014.097519999996</v>
      </c>
      <c r="T1852" s="181">
        <v>33.527999999999999</v>
      </c>
      <c r="U1852" s="181">
        <v>4869907.6795199988</v>
      </c>
      <c r="V1852" s="181">
        <v>0</v>
      </c>
    </row>
    <row r="1853" spans="1:22">
      <c r="A1853" s="2" t="s">
        <v>3724</v>
      </c>
      <c r="B1853" s="2" t="s">
        <v>3725</v>
      </c>
      <c r="C1853" s="181">
        <v>14.881599999999999</v>
      </c>
      <c r="D1853" s="181">
        <v>1780.6415999999997</v>
      </c>
      <c r="E1853" s="181">
        <v>0</v>
      </c>
      <c r="F1853" s="181">
        <v>0</v>
      </c>
      <c r="G1853" s="181">
        <v>0</v>
      </c>
      <c r="H1853" s="181">
        <v>0</v>
      </c>
      <c r="I1853" s="181">
        <v>0</v>
      </c>
      <c r="J1853" s="181">
        <v>0</v>
      </c>
      <c r="K1853" s="181">
        <v>0</v>
      </c>
      <c r="L1853" s="181">
        <v>0</v>
      </c>
      <c r="M1853" s="181">
        <v>2043696.2996959998</v>
      </c>
      <c r="N1853" s="181">
        <v>54241.181839999997</v>
      </c>
      <c r="O1853" s="181">
        <v>40148.306799999998</v>
      </c>
      <c r="P1853" s="181">
        <v>33.781999999999996</v>
      </c>
      <c r="Q1853" s="181">
        <v>2043696.2996959998</v>
      </c>
      <c r="R1853" s="181">
        <v>54241.181839999997</v>
      </c>
      <c r="S1853" s="181">
        <v>40148.306799999998</v>
      </c>
      <c r="T1853" s="181">
        <v>33.781999999999996</v>
      </c>
      <c r="U1853" s="181">
        <v>4087392.5993919997</v>
      </c>
      <c r="V1853" s="181">
        <v>0</v>
      </c>
    </row>
    <row r="1854" spans="1:22">
      <c r="A1854" s="2" t="s">
        <v>3726</v>
      </c>
      <c r="B1854" s="2" t="s">
        <v>3727</v>
      </c>
      <c r="C1854" s="181">
        <v>14.182164799999999</v>
      </c>
      <c r="D1854" s="181">
        <v>1690.3191999999999</v>
      </c>
      <c r="E1854" s="181">
        <v>0</v>
      </c>
      <c r="F1854" s="181">
        <v>0</v>
      </c>
      <c r="G1854" s="181">
        <v>0</v>
      </c>
      <c r="H1854" s="181">
        <v>0</v>
      </c>
      <c r="I1854" s="181">
        <v>0</v>
      </c>
      <c r="J1854" s="181">
        <v>0</v>
      </c>
      <c r="K1854" s="181">
        <v>0</v>
      </c>
      <c r="L1854" s="181">
        <v>0</v>
      </c>
      <c r="M1854" s="181">
        <v>1956287.7003199998</v>
      </c>
      <c r="N1854" s="181">
        <v>51783.122239999997</v>
      </c>
      <c r="O1854" s="181">
        <v>38509.600399999996</v>
      </c>
      <c r="P1854" s="181">
        <v>34.036000000000001</v>
      </c>
      <c r="Q1854" s="181">
        <v>1956287.7003199998</v>
      </c>
      <c r="R1854" s="181">
        <v>51783.122239999997</v>
      </c>
      <c r="S1854" s="181">
        <v>38509.600399999996</v>
      </c>
      <c r="T1854" s="181">
        <v>34.036000000000001</v>
      </c>
      <c r="U1854" s="181">
        <v>3912575.4006399997</v>
      </c>
      <c r="V1854" s="181">
        <v>0</v>
      </c>
    </row>
    <row r="1855" spans="1:22">
      <c r="A1855" s="2" t="s">
        <v>3728</v>
      </c>
      <c r="B1855" s="2" t="s">
        <v>3729</v>
      </c>
      <c r="C1855" s="181">
        <v>13.572019199999998</v>
      </c>
      <c r="D1855" s="181">
        <v>1619.3515999999997</v>
      </c>
      <c r="E1855" s="181">
        <v>0</v>
      </c>
      <c r="F1855" s="181">
        <v>0</v>
      </c>
      <c r="G1855" s="181">
        <v>0</v>
      </c>
      <c r="H1855" s="181">
        <v>0</v>
      </c>
      <c r="I1855" s="181">
        <v>0</v>
      </c>
      <c r="J1855" s="181">
        <v>0</v>
      </c>
      <c r="K1855" s="181">
        <v>0</v>
      </c>
      <c r="L1855" s="181">
        <v>0</v>
      </c>
      <c r="M1855" s="181">
        <v>1881366.0437119997</v>
      </c>
      <c r="N1855" s="181">
        <v>49652.803919999991</v>
      </c>
      <c r="O1855" s="181">
        <v>37034.764639999994</v>
      </c>
      <c r="P1855" s="181">
        <v>34.036000000000001</v>
      </c>
      <c r="Q1855" s="181">
        <v>1881366.0437119997</v>
      </c>
      <c r="R1855" s="181">
        <v>49652.803919999991</v>
      </c>
      <c r="S1855" s="181">
        <v>37034.764639999994</v>
      </c>
      <c r="T1855" s="181">
        <v>34.036000000000001</v>
      </c>
      <c r="U1855" s="181">
        <v>3762732.0874239993</v>
      </c>
      <c r="V1855" s="181">
        <v>0</v>
      </c>
    </row>
    <row r="1856" spans="1:22">
      <c r="A1856" s="2" t="s">
        <v>3730</v>
      </c>
      <c r="B1856" s="2" t="s">
        <v>3731</v>
      </c>
      <c r="C1856" s="181">
        <v>13.229742400000001</v>
      </c>
      <c r="D1856" s="181">
        <v>1574.1904</v>
      </c>
      <c r="E1856" s="181">
        <v>0</v>
      </c>
      <c r="F1856" s="181">
        <v>0</v>
      </c>
      <c r="G1856" s="181">
        <v>0</v>
      </c>
      <c r="H1856" s="181">
        <v>0</v>
      </c>
      <c r="I1856" s="181">
        <v>0</v>
      </c>
      <c r="J1856" s="181">
        <v>0</v>
      </c>
      <c r="K1856" s="181">
        <v>0</v>
      </c>
      <c r="L1856" s="181">
        <v>0</v>
      </c>
      <c r="M1856" s="181">
        <v>1835580.586896</v>
      </c>
      <c r="N1856" s="181">
        <v>48505.709439999991</v>
      </c>
      <c r="O1856" s="181">
        <v>36215.411439999996</v>
      </c>
      <c r="P1856" s="181">
        <v>34.036000000000001</v>
      </c>
      <c r="Q1856" s="181">
        <v>1835580.586896</v>
      </c>
      <c r="R1856" s="181">
        <v>48505.709439999991</v>
      </c>
      <c r="S1856" s="181">
        <v>36215.411439999996</v>
      </c>
      <c r="T1856" s="181">
        <v>34.036000000000001</v>
      </c>
      <c r="U1856" s="181">
        <v>3675323.4880479998</v>
      </c>
      <c r="V1856" s="181">
        <v>0</v>
      </c>
    </row>
    <row r="1857" spans="1:22">
      <c r="A1857" s="2" t="s">
        <v>3732</v>
      </c>
      <c r="B1857" s="2" t="s">
        <v>3733</v>
      </c>
      <c r="C1857" s="181">
        <v>11.3993056</v>
      </c>
      <c r="D1857" s="181">
        <v>1348.3843999999999</v>
      </c>
      <c r="E1857" s="181">
        <v>0</v>
      </c>
      <c r="F1857" s="181">
        <v>0</v>
      </c>
      <c r="G1857" s="181">
        <v>0</v>
      </c>
      <c r="H1857" s="181">
        <v>0</v>
      </c>
      <c r="I1857" s="181">
        <v>0</v>
      </c>
      <c r="J1857" s="181">
        <v>0</v>
      </c>
      <c r="K1857" s="181">
        <v>0</v>
      </c>
      <c r="L1857" s="181">
        <v>0</v>
      </c>
      <c r="M1857" s="181">
        <v>1594166.3600479998</v>
      </c>
      <c r="N1857" s="181">
        <v>41787.013199999994</v>
      </c>
      <c r="O1857" s="181">
        <v>31463.162879999996</v>
      </c>
      <c r="P1857" s="181">
        <v>34.29</v>
      </c>
      <c r="Q1857" s="181">
        <v>1594166.3600479998</v>
      </c>
      <c r="R1857" s="181">
        <v>41787.013199999994</v>
      </c>
      <c r="S1857" s="181">
        <v>31463.162879999996</v>
      </c>
      <c r="T1857" s="181">
        <v>34.29</v>
      </c>
      <c r="U1857" s="181">
        <v>3192495.0343519999</v>
      </c>
      <c r="V1857" s="181">
        <v>0</v>
      </c>
    </row>
    <row r="1858" spans="1:22">
      <c r="A1858" s="2" t="s">
        <v>3734</v>
      </c>
      <c r="B1858" s="2" t="s">
        <v>3735</v>
      </c>
      <c r="C1858" s="181">
        <v>7.708668799999999</v>
      </c>
      <c r="D1858" s="181">
        <v>916.1271999999999</v>
      </c>
      <c r="E1858" s="181">
        <v>0</v>
      </c>
      <c r="F1858" s="181">
        <v>0</v>
      </c>
      <c r="G1858" s="181">
        <v>0</v>
      </c>
      <c r="H1858" s="181">
        <v>0</v>
      </c>
      <c r="I1858" s="181">
        <v>0</v>
      </c>
      <c r="J1858" s="181">
        <v>0</v>
      </c>
      <c r="K1858" s="181">
        <v>0</v>
      </c>
      <c r="L1858" s="181">
        <v>0</v>
      </c>
      <c r="M1858" s="181">
        <v>1111337.9063519998</v>
      </c>
      <c r="N1858" s="181">
        <v>28677.361999999997</v>
      </c>
      <c r="O1858" s="181">
        <v>21958.66576</v>
      </c>
      <c r="P1858" s="181">
        <v>34.798000000000002</v>
      </c>
      <c r="Q1858" s="181">
        <v>1111337.9063519998</v>
      </c>
      <c r="R1858" s="181">
        <v>28677.361999999997</v>
      </c>
      <c r="S1858" s="181">
        <v>21958.66576</v>
      </c>
      <c r="T1858" s="181">
        <v>34.798000000000002</v>
      </c>
      <c r="U1858" s="181">
        <v>2222675.8127039997</v>
      </c>
      <c r="V1858" s="181">
        <v>0</v>
      </c>
    </row>
    <row r="1859" spans="1:22">
      <c r="A1859" s="2" t="s">
        <v>3736</v>
      </c>
      <c r="B1859" s="2" t="s">
        <v>3737</v>
      </c>
      <c r="C1859" s="181">
        <v>15.923311999999997</v>
      </c>
      <c r="D1859" s="181">
        <v>1890.3188</v>
      </c>
      <c r="E1859" s="181">
        <v>0</v>
      </c>
      <c r="F1859" s="181">
        <v>0</v>
      </c>
      <c r="G1859" s="181">
        <v>0</v>
      </c>
      <c r="H1859" s="181">
        <v>0</v>
      </c>
      <c r="I1859" s="181">
        <v>0</v>
      </c>
      <c r="J1859" s="181">
        <v>0</v>
      </c>
      <c r="K1859" s="181">
        <v>0</v>
      </c>
      <c r="L1859" s="181">
        <v>0</v>
      </c>
      <c r="M1859" s="181">
        <v>1585841.7315359998</v>
      </c>
      <c r="N1859" s="181">
        <v>49161.191999999995</v>
      </c>
      <c r="O1859" s="181">
        <v>35723.79952</v>
      </c>
      <c r="P1859" s="181">
        <v>28.955999999999996</v>
      </c>
      <c r="Q1859" s="181">
        <v>1585841.7315359998</v>
      </c>
      <c r="R1859" s="181">
        <v>49161.191999999995</v>
      </c>
      <c r="S1859" s="181">
        <v>35723.79952</v>
      </c>
      <c r="T1859" s="181">
        <v>28.955999999999996</v>
      </c>
      <c r="U1859" s="181">
        <v>3167521.1488159997</v>
      </c>
      <c r="V1859" s="181">
        <v>0</v>
      </c>
    </row>
    <row r="1860" spans="1:22">
      <c r="A1860" s="2" t="s">
        <v>3738</v>
      </c>
      <c r="B1860" s="2" t="s">
        <v>3739</v>
      </c>
      <c r="C1860" s="181">
        <v>15.328048000000001</v>
      </c>
      <c r="D1860" s="181">
        <v>1825.8027999999999</v>
      </c>
      <c r="E1860" s="181">
        <v>0</v>
      </c>
      <c r="F1860" s="181">
        <v>0</v>
      </c>
      <c r="G1860" s="181">
        <v>0</v>
      </c>
      <c r="H1860" s="181">
        <v>0</v>
      </c>
      <c r="I1860" s="181">
        <v>0</v>
      </c>
      <c r="J1860" s="181">
        <v>0</v>
      </c>
      <c r="K1860" s="181">
        <v>0</v>
      </c>
      <c r="L1860" s="181">
        <v>0</v>
      </c>
      <c r="M1860" s="181">
        <v>1540056.2747199999</v>
      </c>
      <c r="N1860" s="181">
        <v>47686.356240000001</v>
      </c>
      <c r="O1860" s="181">
        <v>34576.705039999993</v>
      </c>
      <c r="P1860" s="181">
        <v>28.955999999999996</v>
      </c>
      <c r="Q1860" s="181">
        <v>1540056.2747199999</v>
      </c>
      <c r="R1860" s="181">
        <v>47686.356240000001</v>
      </c>
      <c r="S1860" s="181">
        <v>34576.705039999993</v>
      </c>
      <c r="T1860" s="181">
        <v>28.955999999999996</v>
      </c>
      <c r="U1860" s="181">
        <v>3080112.5494399997</v>
      </c>
      <c r="V1860" s="181">
        <v>0</v>
      </c>
    </row>
    <row r="1861" spans="1:22">
      <c r="A1861" s="2" t="s">
        <v>3740</v>
      </c>
      <c r="B1861" s="2" t="s">
        <v>3741</v>
      </c>
      <c r="C1861" s="181">
        <v>12.932110399999999</v>
      </c>
      <c r="D1861" s="181">
        <v>1541.9323999999999</v>
      </c>
      <c r="E1861" s="181">
        <v>0</v>
      </c>
      <c r="F1861" s="181">
        <v>0</v>
      </c>
      <c r="G1861" s="181">
        <v>0</v>
      </c>
      <c r="H1861" s="181">
        <v>0</v>
      </c>
      <c r="I1861" s="181">
        <v>0</v>
      </c>
      <c r="J1861" s="181">
        <v>0</v>
      </c>
      <c r="K1861" s="181">
        <v>0</v>
      </c>
      <c r="L1861" s="181">
        <v>0</v>
      </c>
      <c r="M1861" s="181">
        <v>1336102.8761759999</v>
      </c>
      <c r="N1861" s="181">
        <v>40803.789360000002</v>
      </c>
      <c r="O1861" s="181">
        <v>29988.327119999998</v>
      </c>
      <c r="P1861" s="181">
        <v>29.463999999999995</v>
      </c>
      <c r="Q1861" s="181">
        <v>1336102.8761759999</v>
      </c>
      <c r="R1861" s="181">
        <v>40803.789360000002</v>
      </c>
      <c r="S1861" s="181">
        <v>29988.327119999998</v>
      </c>
      <c r="T1861" s="181">
        <v>29.463999999999995</v>
      </c>
      <c r="U1861" s="181">
        <v>2668043.4380959999</v>
      </c>
      <c r="V1861" s="181">
        <v>0</v>
      </c>
    </row>
    <row r="1862" spans="1:22">
      <c r="A1862" s="2" t="s">
        <v>3742</v>
      </c>
      <c r="B1862" s="2" t="s">
        <v>3743</v>
      </c>
      <c r="C1862" s="181">
        <v>11.2802528</v>
      </c>
      <c r="D1862" s="181">
        <v>1341.9328</v>
      </c>
      <c r="E1862" s="181">
        <v>0</v>
      </c>
      <c r="F1862" s="181">
        <v>0</v>
      </c>
      <c r="G1862" s="181">
        <v>0</v>
      </c>
      <c r="H1862" s="181">
        <v>0</v>
      </c>
      <c r="I1862" s="181">
        <v>0</v>
      </c>
      <c r="J1862" s="181">
        <v>0</v>
      </c>
      <c r="K1862" s="181">
        <v>0</v>
      </c>
      <c r="L1862" s="181">
        <v>0</v>
      </c>
      <c r="M1862" s="181">
        <v>1182097.2487039999</v>
      </c>
      <c r="N1862" s="181">
        <v>35887.670159999994</v>
      </c>
      <c r="O1862" s="181">
        <v>26710.914319999996</v>
      </c>
      <c r="P1862" s="181">
        <v>29.717999999999996</v>
      </c>
      <c r="Q1862" s="181">
        <v>1182097.2487039999</v>
      </c>
      <c r="R1862" s="181">
        <v>35887.670159999994</v>
      </c>
      <c r="S1862" s="181">
        <v>26710.914319999996</v>
      </c>
      <c r="T1862" s="181">
        <v>29.717999999999996</v>
      </c>
      <c r="U1862" s="181">
        <v>2368356.8116640002</v>
      </c>
      <c r="V1862" s="181">
        <v>0</v>
      </c>
    </row>
    <row r="1863" spans="1:22">
      <c r="A1863" s="2" t="s">
        <v>3744</v>
      </c>
      <c r="B1863" s="2" t="s">
        <v>3745</v>
      </c>
      <c r="C1863" s="181">
        <v>10.640344000000001</v>
      </c>
      <c r="D1863" s="181">
        <v>1270.9651999999999</v>
      </c>
      <c r="E1863" s="181">
        <v>0</v>
      </c>
      <c r="F1863" s="181">
        <v>0</v>
      </c>
      <c r="G1863" s="181">
        <v>0</v>
      </c>
      <c r="H1863" s="181">
        <v>0</v>
      </c>
      <c r="I1863" s="181">
        <v>0</v>
      </c>
      <c r="J1863" s="181">
        <v>0</v>
      </c>
      <c r="K1863" s="181">
        <v>0</v>
      </c>
      <c r="L1863" s="181">
        <v>0</v>
      </c>
      <c r="M1863" s="181">
        <v>1123824.8491199999</v>
      </c>
      <c r="N1863" s="181">
        <v>33921.222479999997</v>
      </c>
      <c r="O1863" s="181">
        <v>25236.078559999998</v>
      </c>
      <c r="P1863" s="181">
        <v>29.717999999999996</v>
      </c>
      <c r="Q1863" s="181">
        <v>1123824.8491199999</v>
      </c>
      <c r="R1863" s="181">
        <v>33921.222479999997</v>
      </c>
      <c r="S1863" s="181">
        <v>25236.078559999998</v>
      </c>
      <c r="T1863" s="181">
        <v>29.717999999999996</v>
      </c>
      <c r="U1863" s="181">
        <v>2251812.0124959997</v>
      </c>
      <c r="V1863" s="181">
        <v>0</v>
      </c>
    </row>
    <row r="1864" spans="1:22">
      <c r="A1864" s="2" t="s">
        <v>3746</v>
      </c>
      <c r="B1864" s="2" t="s">
        <v>3747</v>
      </c>
      <c r="C1864" s="181">
        <v>9.9111455999999993</v>
      </c>
      <c r="D1864" s="181">
        <v>1174.1912</v>
      </c>
      <c r="E1864" s="181">
        <v>0</v>
      </c>
      <c r="F1864" s="181">
        <v>0</v>
      </c>
      <c r="G1864" s="181">
        <v>0</v>
      </c>
      <c r="H1864" s="181">
        <v>0</v>
      </c>
      <c r="I1864" s="181">
        <v>0</v>
      </c>
      <c r="J1864" s="181">
        <v>0</v>
      </c>
      <c r="K1864" s="181">
        <v>0</v>
      </c>
      <c r="L1864" s="181">
        <v>0</v>
      </c>
      <c r="M1864" s="181">
        <v>1048903.192512</v>
      </c>
      <c r="N1864" s="181">
        <v>31627.033519999997</v>
      </c>
      <c r="O1864" s="181">
        <v>23597.372159999995</v>
      </c>
      <c r="P1864" s="181">
        <v>29.971999999999998</v>
      </c>
      <c r="Q1864" s="181">
        <v>1048903.192512</v>
      </c>
      <c r="R1864" s="181">
        <v>31627.033519999997</v>
      </c>
      <c r="S1864" s="181">
        <v>23597.372159999995</v>
      </c>
      <c r="T1864" s="181">
        <v>29.971999999999998</v>
      </c>
      <c r="U1864" s="181">
        <v>2097806.385024</v>
      </c>
      <c r="V1864" s="181">
        <v>0</v>
      </c>
    </row>
    <row r="1865" spans="1:22">
      <c r="A1865" s="2" t="s">
        <v>3748</v>
      </c>
      <c r="B1865" s="2" t="s">
        <v>3749</v>
      </c>
      <c r="C1865" s="181">
        <v>6.7116015999999989</v>
      </c>
      <c r="D1865" s="181">
        <v>793.54679999999996</v>
      </c>
      <c r="E1865" s="181">
        <v>0</v>
      </c>
      <c r="F1865" s="181">
        <v>0</v>
      </c>
      <c r="G1865" s="181">
        <v>0</v>
      </c>
      <c r="H1865" s="181">
        <v>0</v>
      </c>
      <c r="I1865" s="181">
        <v>0</v>
      </c>
      <c r="J1865" s="181">
        <v>0</v>
      </c>
      <c r="K1865" s="181">
        <v>0</v>
      </c>
      <c r="L1865" s="181">
        <v>0</v>
      </c>
      <c r="M1865" s="181">
        <v>736729.62331199995</v>
      </c>
      <c r="N1865" s="181">
        <v>21794.795119999999</v>
      </c>
      <c r="O1865" s="181">
        <v>16550.934639999999</v>
      </c>
      <c r="P1865" s="181">
        <v>30.479999999999997</v>
      </c>
      <c r="Q1865" s="181">
        <v>736729.62331199995</v>
      </c>
      <c r="R1865" s="181">
        <v>21794.795119999999</v>
      </c>
      <c r="S1865" s="181">
        <v>16550.934639999999</v>
      </c>
      <c r="T1865" s="181">
        <v>30.479999999999997</v>
      </c>
      <c r="U1865" s="181">
        <v>1469296.9323679998</v>
      </c>
      <c r="V1865" s="181">
        <v>0</v>
      </c>
    </row>
    <row r="1866" spans="1:22">
      <c r="A1866" s="2" t="s">
        <v>3750</v>
      </c>
      <c r="B1866" s="2" t="s">
        <v>3751</v>
      </c>
      <c r="C1866" s="181">
        <v>12.887465599999999</v>
      </c>
      <c r="D1866" s="181">
        <v>1541.9323999999999</v>
      </c>
      <c r="E1866" s="181">
        <v>0</v>
      </c>
      <c r="F1866" s="181">
        <v>0</v>
      </c>
      <c r="G1866" s="181">
        <v>0</v>
      </c>
      <c r="H1866" s="181">
        <v>0</v>
      </c>
      <c r="I1866" s="181">
        <v>0</v>
      </c>
      <c r="J1866" s="181">
        <v>0</v>
      </c>
      <c r="K1866" s="181">
        <v>0</v>
      </c>
      <c r="L1866" s="181">
        <v>0</v>
      </c>
      <c r="M1866" s="181">
        <v>932358.39334399998</v>
      </c>
      <c r="N1866" s="181">
        <v>34085.093119999998</v>
      </c>
      <c r="O1866" s="181">
        <v>24416.725359999997</v>
      </c>
      <c r="P1866" s="181">
        <v>24.561799999999998</v>
      </c>
      <c r="Q1866" s="181">
        <v>932358.39334399998</v>
      </c>
      <c r="R1866" s="181">
        <v>34085.093119999998</v>
      </c>
      <c r="S1866" s="181">
        <v>24416.725359999997</v>
      </c>
      <c r="T1866" s="181">
        <v>24.561799999999998</v>
      </c>
      <c r="U1866" s="181">
        <v>1860554.4724319996</v>
      </c>
      <c r="V1866" s="181">
        <v>0</v>
      </c>
    </row>
    <row r="1867" spans="1:22">
      <c r="A1867" s="2" t="s">
        <v>3752</v>
      </c>
      <c r="B1867" s="2" t="s">
        <v>3753</v>
      </c>
      <c r="C1867" s="181">
        <v>10.937975999999999</v>
      </c>
      <c r="D1867" s="181">
        <v>1309.6747999999998</v>
      </c>
      <c r="E1867" s="181">
        <v>0</v>
      </c>
      <c r="F1867" s="181">
        <v>0</v>
      </c>
      <c r="G1867" s="181">
        <v>0</v>
      </c>
      <c r="H1867" s="181">
        <v>0</v>
      </c>
      <c r="I1867" s="181">
        <v>0</v>
      </c>
      <c r="J1867" s="181">
        <v>0</v>
      </c>
      <c r="K1867" s="181">
        <v>0</v>
      </c>
      <c r="L1867" s="181">
        <v>0</v>
      </c>
      <c r="M1867" s="181">
        <v>811651.27991999988</v>
      </c>
      <c r="N1867" s="181">
        <v>29332.844559999998</v>
      </c>
      <c r="O1867" s="181">
        <v>21303.183199999999</v>
      </c>
      <c r="P1867" s="181">
        <v>24.942799999999998</v>
      </c>
      <c r="Q1867" s="181">
        <v>811651.27991999988</v>
      </c>
      <c r="R1867" s="181">
        <v>29332.844559999998</v>
      </c>
      <c r="S1867" s="181">
        <v>21303.183199999999</v>
      </c>
      <c r="T1867" s="181">
        <v>24.942799999999998</v>
      </c>
      <c r="U1867" s="181">
        <v>1623302.5598399998</v>
      </c>
      <c r="V1867" s="181">
        <v>0</v>
      </c>
    </row>
    <row r="1868" spans="1:22">
      <c r="A1868" s="2" t="s">
        <v>3754</v>
      </c>
      <c r="B1868" s="2" t="s">
        <v>3755</v>
      </c>
      <c r="C1868" s="181">
        <v>9.5688687999999988</v>
      </c>
      <c r="D1868" s="181">
        <v>1141.9331999999999</v>
      </c>
      <c r="E1868" s="181">
        <v>0</v>
      </c>
      <c r="F1868" s="181">
        <v>0</v>
      </c>
      <c r="G1868" s="181">
        <v>0</v>
      </c>
      <c r="H1868" s="181">
        <v>0</v>
      </c>
      <c r="I1868" s="181">
        <v>0</v>
      </c>
      <c r="J1868" s="181">
        <v>0</v>
      </c>
      <c r="K1868" s="181">
        <v>0</v>
      </c>
      <c r="L1868" s="181">
        <v>0</v>
      </c>
      <c r="M1868" s="181">
        <v>724242.68054399989</v>
      </c>
      <c r="N1868" s="181">
        <v>25891.561119999998</v>
      </c>
      <c r="O1868" s="181">
        <v>19008.994239999996</v>
      </c>
      <c r="P1868" s="181">
        <v>25.1968</v>
      </c>
      <c r="Q1868" s="181">
        <v>724242.68054399989</v>
      </c>
      <c r="R1868" s="181">
        <v>25891.561119999998</v>
      </c>
      <c r="S1868" s="181">
        <v>19008.994239999996</v>
      </c>
      <c r="T1868" s="181">
        <v>25.1968</v>
      </c>
      <c r="U1868" s="181">
        <v>1448485.3610879998</v>
      </c>
      <c r="V1868" s="181">
        <v>0</v>
      </c>
    </row>
    <row r="1869" spans="1:22">
      <c r="A1869" s="2" t="s">
        <v>3756</v>
      </c>
      <c r="B1869" s="2" t="s">
        <v>3757</v>
      </c>
      <c r="C1869" s="181">
        <v>9.0331311999999997</v>
      </c>
      <c r="D1869" s="181">
        <v>1077.4171999999999</v>
      </c>
      <c r="E1869" s="181">
        <v>0</v>
      </c>
      <c r="F1869" s="181">
        <v>0</v>
      </c>
      <c r="G1869" s="181">
        <v>0</v>
      </c>
      <c r="H1869" s="181">
        <v>0</v>
      </c>
      <c r="I1869" s="181">
        <v>0</v>
      </c>
      <c r="J1869" s="181">
        <v>0</v>
      </c>
      <c r="K1869" s="181">
        <v>0</v>
      </c>
      <c r="L1869" s="181">
        <v>0</v>
      </c>
      <c r="M1869" s="181">
        <v>690944.1664959999</v>
      </c>
      <c r="N1869" s="181">
        <v>24580.595999999998</v>
      </c>
      <c r="O1869" s="181">
        <v>18025.770400000001</v>
      </c>
      <c r="P1869" s="181">
        <v>25.298399999999997</v>
      </c>
      <c r="Q1869" s="181">
        <v>690944.1664959999</v>
      </c>
      <c r="R1869" s="181">
        <v>24580.595999999998</v>
      </c>
      <c r="S1869" s="181">
        <v>18025.770400000001</v>
      </c>
      <c r="T1869" s="181">
        <v>25.298399999999997</v>
      </c>
      <c r="U1869" s="181">
        <v>1377726.0187359999</v>
      </c>
      <c r="V1869" s="181">
        <v>0</v>
      </c>
    </row>
    <row r="1870" spans="1:22">
      <c r="A1870" s="2" t="s">
        <v>3758</v>
      </c>
      <c r="B1870" s="2" t="s">
        <v>3759</v>
      </c>
      <c r="C1870" s="181">
        <v>8.4081039999999998</v>
      </c>
      <c r="D1870" s="181">
        <v>993.54639999999995</v>
      </c>
      <c r="E1870" s="181">
        <v>0</v>
      </c>
      <c r="F1870" s="181">
        <v>0</v>
      </c>
      <c r="G1870" s="181">
        <v>0</v>
      </c>
      <c r="H1870" s="181">
        <v>0</v>
      </c>
      <c r="I1870" s="181">
        <v>0</v>
      </c>
      <c r="J1870" s="181">
        <v>0</v>
      </c>
      <c r="K1870" s="181">
        <v>0</v>
      </c>
      <c r="L1870" s="181">
        <v>0</v>
      </c>
      <c r="M1870" s="181">
        <v>645158.70967999997</v>
      </c>
      <c r="N1870" s="181">
        <v>22778.018959999998</v>
      </c>
      <c r="O1870" s="181">
        <v>16878.675919999998</v>
      </c>
      <c r="P1870" s="181">
        <v>25.4</v>
      </c>
      <c r="Q1870" s="181">
        <v>645158.70967999997</v>
      </c>
      <c r="R1870" s="181">
        <v>22778.018959999998</v>
      </c>
      <c r="S1870" s="181">
        <v>16878.675919999998</v>
      </c>
      <c r="T1870" s="181">
        <v>25.4</v>
      </c>
      <c r="U1870" s="181">
        <v>1290317.4193599999</v>
      </c>
      <c r="V1870" s="181">
        <v>0</v>
      </c>
    </row>
    <row r="1871" spans="1:22">
      <c r="A1871" s="2" t="s">
        <v>3760</v>
      </c>
      <c r="B1871" s="2" t="s">
        <v>3761</v>
      </c>
      <c r="C1871" s="181">
        <v>6.8901807999999996</v>
      </c>
      <c r="D1871" s="181">
        <v>819.35320000000002</v>
      </c>
      <c r="E1871" s="181">
        <v>0</v>
      </c>
      <c r="F1871" s="181">
        <v>0</v>
      </c>
      <c r="G1871" s="181">
        <v>0</v>
      </c>
      <c r="H1871" s="181">
        <v>0</v>
      </c>
      <c r="I1871" s="181">
        <v>0</v>
      </c>
      <c r="J1871" s="181">
        <v>0</v>
      </c>
      <c r="K1871" s="181">
        <v>0</v>
      </c>
      <c r="L1871" s="181">
        <v>0</v>
      </c>
      <c r="M1871" s="181">
        <v>541100.85327999992</v>
      </c>
      <c r="N1871" s="181">
        <v>19008.994239999996</v>
      </c>
      <c r="O1871" s="181">
        <v>14256.745679999998</v>
      </c>
      <c r="P1871" s="181">
        <v>25.654</v>
      </c>
      <c r="Q1871" s="181">
        <v>541100.85327999992</v>
      </c>
      <c r="R1871" s="181">
        <v>19008.994239999996</v>
      </c>
      <c r="S1871" s="181">
        <v>14256.745679999998</v>
      </c>
      <c r="T1871" s="181">
        <v>25.654</v>
      </c>
      <c r="U1871" s="181">
        <v>1086364.0208159999</v>
      </c>
      <c r="V1871" s="181">
        <v>0</v>
      </c>
    </row>
    <row r="1872" spans="1:22">
      <c r="A1872" s="2" t="s">
        <v>3762</v>
      </c>
      <c r="B1872" s="2" t="s">
        <v>3763</v>
      </c>
      <c r="C1872" s="181">
        <v>6.1163376000000005</v>
      </c>
      <c r="D1872" s="181">
        <v>729.03079999999989</v>
      </c>
      <c r="E1872" s="181">
        <v>0</v>
      </c>
      <c r="F1872" s="181">
        <v>0</v>
      </c>
      <c r="G1872" s="181">
        <v>0</v>
      </c>
      <c r="H1872" s="181">
        <v>0</v>
      </c>
      <c r="I1872" s="181">
        <v>0</v>
      </c>
      <c r="J1872" s="181">
        <v>0</v>
      </c>
      <c r="K1872" s="181">
        <v>0</v>
      </c>
      <c r="L1872" s="181">
        <v>0</v>
      </c>
      <c r="M1872" s="181">
        <v>486990.76795199991</v>
      </c>
      <c r="N1872" s="181">
        <v>16878.675919999998</v>
      </c>
      <c r="O1872" s="181">
        <v>12765.522856</v>
      </c>
      <c r="P1872" s="181">
        <v>25.907999999999998</v>
      </c>
      <c r="Q1872" s="181">
        <v>486990.76795199991</v>
      </c>
      <c r="R1872" s="181">
        <v>16878.675919999998</v>
      </c>
      <c r="S1872" s="181">
        <v>12765.522856</v>
      </c>
      <c r="T1872" s="181">
        <v>25.907999999999998</v>
      </c>
      <c r="U1872" s="181">
        <v>973981.53590399981</v>
      </c>
      <c r="V1872" s="181">
        <v>0</v>
      </c>
    </row>
    <row r="1873" spans="1:22">
      <c r="A1873" s="2" t="s">
        <v>3764</v>
      </c>
      <c r="B1873" s="2" t="s">
        <v>3765</v>
      </c>
      <c r="C1873" s="181">
        <v>5.4913103999999997</v>
      </c>
      <c r="D1873" s="181">
        <v>658.06319999999994</v>
      </c>
      <c r="E1873" s="181">
        <v>0</v>
      </c>
      <c r="F1873" s="181">
        <v>0</v>
      </c>
      <c r="G1873" s="181">
        <v>0</v>
      </c>
      <c r="H1873" s="181">
        <v>0</v>
      </c>
      <c r="I1873" s="181">
        <v>0</v>
      </c>
      <c r="J1873" s="181">
        <v>0</v>
      </c>
      <c r="K1873" s="181">
        <v>0</v>
      </c>
      <c r="L1873" s="181">
        <v>0</v>
      </c>
      <c r="M1873" s="181">
        <v>441205.31113599997</v>
      </c>
      <c r="N1873" s="181">
        <v>15321.904839999999</v>
      </c>
      <c r="O1873" s="181">
        <v>11585.654247999999</v>
      </c>
      <c r="P1873" s="181">
        <v>25.907999999999998</v>
      </c>
      <c r="Q1873" s="181">
        <v>441205.31113599997</v>
      </c>
      <c r="R1873" s="181">
        <v>15321.904839999999</v>
      </c>
      <c r="S1873" s="181">
        <v>11585.654247999999</v>
      </c>
      <c r="T1873" s="181">
        <v>25.907999999999998</v>
      </c>
      <c r="U1873" s="181">
        <v>882410.62227199995</v>
      </c>
      <c r="V1873" s="181">
        <v>0</v>
      </c>
    </row>
    <row r="1874" spans="1:22">
      <c r="A1874" s="2" t="s">
        <v>3766</v>
      </c>
      <c r="B1874" s="2" t="s">
        <v>3767</v>
      </c>
      <c r="C1874" s="181">
        <v>10.446883199999998</v>
      </c>
      <c r="D1874" s="181">
        <v>1245.1587999999999</v>
      </c>
      <c r="E1874" s="181">
        <v>0</v>
      </c>
      <c r="F1874" s="181">
        <v>0</v>
      </c>
      <c r="G1874" s="181">
        <v>0</v>
      </c>
      <c r="H1874" s="181">
        <v>0</v>
      </c>
      <c r="I1874" s="181">
        <v>0</v>
      </c>
      <c r="J1874" s="181">
        <v>0</v>
      </c>
      <c r="K1874" s="181">
        <v>0</v>
      </c>
      <c r="L1874" s="181">
        <v>0</v>
      </c>
      <c r="M1874" s="181">
        <v>707593.42351999995</v>
      </c>
      <c r="N1874" s="181">
        <v>26710.914319999996</v>
      </c>
      <c r="O1874" s="181">
        <v>19336.735519999998</v>
      </c>
      <c r="P1874" s="181">
        <v>23.825199999999999</v>
      </c>
      <c r="Q1874" s="181">
        <v>707593.42351999995</v>
      </c>
      <c r="R1874" s="181">
        <v>26710.914319999996</v>
      </c>
      <c r="S1874" s="181">
        <v>19336.735519999998</v>
      </c>
      <c r="T1874" s="181">
        <v>23.825199999999999</v>
      </c>
      <c r="U1874" s="181">
        <v>1415186.8470399999</v>
      </c>
      <c r="V1874" s="181">
        <v>0</v>
      </c>
    </row>
    <row r="1875" spans="1:22">
      <c r="A1875" s="2" t="s">
        <v>3768</v>
      </c>
      <c r="B1875" s="2" t="s">
        <v>3769</v>
      </c>
      <c r="C1875" s="181">
        <v>8.6313279999999999</v>
      </c>
      <c r="D1875" s="181">
        <v>1025.8044</v>
      </c>
      <c r="E1875" s="181">
        <v>0</v>
      </c>
      <c r="F1875" s="181">
        <v>0</v>
      </c>
      <c r="G1875" s="181">
        <v>0</v>
      </c>
      <c r="H1875" s="181">
        <v>0</v>
      </c>
      <c r="I1875" s="181">
        <v>0</v>
      </c>
      <c r="J1875" s="181">
        <v>0</v>
      </c>
      <c r="K1875" s="181">
        <v>0</v>
      </c>
      <c r="L1875" s="181">
        <v>0</v>
      </c>
      <c r="M1875" s="181">
        <v>603535.56711999991</v>
      </c>
      <c r="N1875" s="181">
        <v>22450.277679999999</v>
      </c>
      <c r="O1875" s="181">
        <v>16550.934639999999</v>
      </c>
      <c r="P1875" s="181">
        <v>24.180799999999998</v>
      </c>
      <c r="Q1875" s="181">
        <v>603535.56711999991</v>
      </c>
      <c r="R1875" s="181">
        <v>22450.277679999999</v>
      </c>
      <c r="S1875" s="181">
        <v>16550.934639999999</v>
      </c>
      <c r="T1875" s="181">
        <v>24.180799999999998</v>
      </c>
      <c r="U1875" s="181">
        <v>1202908.8199839999</v>
      </c>
      <c r="V1875" s="181">
        <v>0</v>
      </c>
    </row>
    <row r="1876" spans="1:22">
      <c r="A1876" s="2" t="s">
        <v>3770</v>
      </c>
      <c r="B1876" s="2" t="s">
        <v>3771</v>
      </c>
      <c r="C1876" s="181">
        <v>8.0360639999999997</v>
      </c>
      <c r="D1876" s="181">
        <v>954.83679999999993</v>
      </c>
      <c r="E1876" s="181">
        <v>0</v>
      </c>
      <c r="F1876" s="181">
        <v>0</v>
      </c>
      <c r="G1876" s="181">
        <v>0</v>
      </c>
      <c r="H1876" s="181">
        <v>0</v>
      </c>
      <c r="I1876" s="181">
        <v>0</v>
      </c>
      <c r="J1876" s="181">
        <v>0</v>
      </c>
      <c r="K1876" s="181">
        <v>0</v>
      </c>
      <c r="L1876" s="181">
        <v>0</v>
      </c>
      <c r="M1876" s="181">
        <v>561912.42455999996</v>
      </c>
      <c r="N1876" s="181">
        <v>20811.57128</v>
      </c>
      <c r="O1876" s="181">
        <v>15420.227223999998</v>
      </c>
      <c r="P1876" s="181">
        <v>24.307799999999997</v>
      </c>
      <c r="Q1876" s="181">
        <v>561912.42455999996</v>
      </c>
      <c r="R1876" s="181">
        <v>20811.57128</v>
      </c>
      <c r="S1876" s="181">
        <v>15420.227223999998</v>
      </c>
      <c r="T1876" s="181">
        <v>24.307799999999997</v>
      </c>
      <c r="U1876" s="181">
        <v>1123824.8491199999</v>
      </c>
      <c r="V1876" s="181">
        <v>0</v>
      </c>
    </row>
    <row r="1877" spans="1:22">
      <c r="A1877" s="2" t="s">
        <v>3772</v>
      </c>
      <c r="B1877" s="2" t="s">
        <v>3773</v>
      </c>
      <c r="C1877" s="181">
        <v>5.4615472</v>
      </c>
      <c r="D1877" s="181">
        <v>651.61159999999995</v>
      </c>
      <c r="E1877" s="181">
        <v>0</v>
      </c>
      <c r="F1877" s="181">
        <v>0</v>
      </c>
      <c r="G1877" s="181">
        <v>0</v>
      </c>
      <c r="H1877" s="181">
        <v>0</v>
      </c>
      <c r="I1877" s="181">
        <v>0</v>
      </c>
      <c r="J1877" s="181">
        <v>0</v>
      </c>
      <c r="K1877" s="181">
        <v>0</v>
      </c>
      <c r="L1877" s="181">
        <v>0</v>
      </c>
      <c r="M1877" s="181">
        <v>398749.70572479995</v>
      </c>
      <c r="N1877" s="181">
        <v>14486.164575999999</v>
      </c>
      <c r="O1877" s="181">
        <v>10930.171688</v>
      </c>
      <c r="P1877" s="181">
        <v>24.790399999999998</v>
      </c>
      <c r="Q1877" s="181">
        <v>398749.70572479995</v>
      </c>
      <c r="R1877" s="181">
        <v>14486.164575999999</v>
      </c>
      <c r="S1877" s="181">
        <v>10930.171688</v>
      </c>
      <c r="T1877" s="181">
        <v>24.790399999999998</v>
      </c>
      <c r="U1877" s="181">
        <v>799164.33715199993</v>
      </c>
      <c r="V1877" s="181">
        <v>0</v>
      </c>
    </row>
    <row r="1878" spans="1:22">
      <c r="A1878" s="2" t="s">
        <v>3774</v>
      </c>
      <c r="B1878" s="2" t="s">
        <v>3775</v>
      </c>
      <c r="C1878" s="181">
        <v>8.9438415999999989</v>
      </c>
      <c r="D1878" s="181">
        <v>1070.9656</v>
      </c>
      <c r="E1878" s="181">
        <v>0</v>
      </c>
      <c r="F1878" s="181">
        <v>0</v>
      </c>
      <c r="G1878" s="181">
        <v>0</v>
      </c>
      <c r="H1878" s="181">
        <v>0</v>
      </c>
      <c r="I1878" s="181">
        <v>0</v>
      </c>
      <c r="J1878" s="181">
        <v>0</v>
      </c>
      <c r="K1878" s="181">
        <v>0</v>
      </c>
      <c r="L1878" s="181">
        <v>0</v>
      </c>
      <c r="M1878" s="181">
        <v>449529.939648</v>
      </c>
      <c r="N1878" s="181">
        <v>19664.476799999997</v>
      </c>
      <c r="O1878" s="181">
        <v>14125.649167999998</v>
      </c>
      <c r="P1878" s="181">
        <v>20.4724</v>
      </c>
      <c r="Q1878" s="181">
        <v>449529.939648</v>
      </c>
      <c r="R1878" s="181">
        <v>19664.476799999997</v>
      </c>
      <c r="S1878" s="181">
        <v>14125.649167999998</v>
      </c>
      <c r="T1878" s="181">
        <v>20.4724</v>
      </c>
      <c r="U1878" s="181">
        <v>894897.5650399999</v>
      </c>
      <c r="V1878" s="181">
        <v>0</v>
      </c>
    </row>
    <row r="1879" spans="1:22">
      <c r="A1879" s="2" t="s">
        <v>3776</v>
      </c>
      <c r="B1879" s="2" t="s">
        <v>3777</v>
      </c>
      <c r="C1879" s="181">
        <v>6.9199440000000001</v>
      </c>
      <c r="D1879" s="181">
        <v>819.35320000000002</v>
      </c>
      <c r="E1879" s="181">
        <v>0</v>
      </c>
      <c r="F1879" s="181">
        <v>0</v>
      </c>
      <c r="G1879" s="181">
        <v>0</v>
      </c>
      <c r="H1879" s="181">
        <v>0</v>
      </c>
      <c r="I1879" s="181">
        <v>0</v>
      </c>
      <c r="J1879" s="181">
        <v>0</v>
      </c>
      <c r="K1879" s="181">
        <v>0</v>
      </c>
      <c r="L1879" s="181">
        <v>0</v>
      </c>
      <c r="M1879" s="181">
        <v>360040.18314399995</v>
      </c>
      <c r="N1879" s="181">
        <v>15453.001351999997</v>
      </c>
      <c r="O1879" s="181">
        <v>11339.848287999997</v>
      </c>
      <c r="P1879" s="181">
        <v>20.954999999999998</v>
      </c>
      <c r="Q1879" s="181">
        <v>360040.18314399995</v>
      </c>
      <c r="R1879" s="181">
        <v>15453.001351999997</v>
      </c>
      <c r="S1879" s="181">
        <v>11339.848287999997</v>
      </c>
      <c r="T1879" s="181">
        <v>20.954999999999998</v>
      </c>
      <c r="U1879" s="181">
        <v>720080.3662879999</v>
      </c>
      <c r="V1879" s="181">
        <v>0</v>
      </c>
    </row>
    <row r="1880" spans="1:22">
      <c r="A1880" s="2" t="s">
        <v>3778</v>
      </c>
      <c r="B1880" s="2" t="s">
        <v>3779</v>
      </c>
      <c r="C1880" s="181">
        <v>4.7174671999999997</v>
      </c>
      <c r="D1880" s="181">
        <v>560.64404000000002</v>
      </c>
      <c r="E1880" s="181">
        <v>0</v>
      </c>
      <c r="F1880" s="181">
        <v>0</v>
      </c>
      <c r="G1880" s="181">
        <v>0</v>
      </c>
      <c r="H1880" s="181">
        <v>0</v>
      </c>
      <c r="I1880" s="181">
        <v>0</v>
      </c>
      <c r="J1880" s="181">
        <v>0</v>
      </c>
      <c r="K1880" s="181">
        <v>0</v>
      </c>
      <c r="L1880" s="181">
        <v>0</v>
      </c>
      <c r="M1880" s="181">
        <v>257647.25244639997</v>
      </c>
      <c r="N1880" s="181">
        <v>10815.462239999999</v>
      </c>
      <c r="O1880" s="181">
        <v>8111.5966799999987</v>
      </c>
      <c r="P1880" s="181">
        <v>21.4376</v>
      </c>
      <c r="Q1880" s="181">
        <v>257647.25244639997</v>
      </c>
      <c r="R1880" s="181">
        <v>10815.462239999999</v>
      </c>
      <c r="S1880" s="181">
        <v>8111.5966799999987</v>
      </c>
      <c r="T1880" s="181">
        <v>21.4376</v>
      </c>
      <c r="U1880" s="181">
        <v>516126.96774399997</v>
      </c>
      <c r="V1880" s="181">
        <v>0</v>
      </c>
    </row>
    <row r="1881" spans="1:22">
      <c r="A1881" s="2" t="s">
        <v>3780</v>
      </c>
      <c r="B1881" s="2" t="s">
        <v>3781</v>
      </c>
      <c r="C1881" s="181">
        <v>8.4527487999999984</v>
      </c>
      <c r="D1881" s="181">
        <v>1012.9012</v>
      </c>
      <c r="E1881" s="181">
        <v>0</v>
      </c>
      <c r="F1881" s="181">
        <v>0</v>
      </c>
      <c r="G1881" s="181">
        <v>0</v>
      </c>
      <c r="H1881" s="181">
        <v>0</v>
      </c>
      <c r="I1881" s="181">
        <v>0</v>
      </c>
      <c r="J1881" s="181">
        <v>0</v>
      </c>
      <c r="K1881" s="181">
        <v>0</v>
      </c>
      <c r="L1881" s="181">
        <v>0</v>
      </c>
      <c r="M1881" s="181">
        <v>378770.59729599999</v>
      </c>
      <c r="N1881" s="181">
        <v>17534.158479999998</v>
      </c>
      <c r="O1881" s="181">
        <v>12552.491023999999</v>
      </c>
      <c r="P1881" s="181">
        <v>19.354800000000001</v>
      </c>
      <c r="Q1881" s="181">
        <v>378770.59729599999</v>
      </c>
      <c r="R1881" s="181">
        <v>17534.158479999998</v>
      </c>
      <c r="S1881" s="181">
        <v>12552.491023999999</v>
      </c>
      <c r="T1881" s="181">
        <v>19.354800000000001</v>
      </c>
      <c r="U1881" s="181">
        <v>757541.19459199999</v>
      </c>
      <c r="V1881" s="181">
        <v>0</v>
      </c>
    </row>
    <row r="1882" spans="1:22">
      <c r="A1882" s="2" t="s">
        <v>3782</v>
      </c>
      <c r="B1882" s="2" t="s">
        <v>3783</v>
      </c>
      <c r="C1882" s="181">
        <v>7.4854447999999998</v>
      </c>
      <c r="D1882" s="181">
        <v>896.77239999999995</v>
      </c>
      <c r="E1882" s="181">
        <v>0</v>
      </c>
      <c r="F1882" s="181">
        <v>0</v>
      </c>
      <c r="G1882" s="181">
        <v>0</v>
      </c>
      <c r="H1882" s="181">
        <v>0</v>
      </c>
      <c r="I1882" s="181">
        <v>0</v>
      </c>
      <c r="J1882" s="181">
        <v>0</v>
      </c>
      <c r="K1882" s="181">
        <v>0</v>
      </c>
      <c r="L1882" s="181">
        <v>0</v>
      </c>
      <c r="M1882" s="181">
        <v>344223.38897119992</v>
      </c>
      <c r="N1882" s="181">
        <v>15797.129695999998</v>
      </c>
      <c r="O1882" s="181">
        <v>11405.396543999997</v>
      </c>
      <c r="P1882" s="181">
        <v>19.583400000000001</v>
      </c>
      <c r="Q1882" s="181">
        <v>344223.38897119992</v>
      </c>
      <c r="R1882" s="181">
        <v>15797.129695999998</v>
      </c>
      <c r="S1882" s="181">
        <v>11405.396543999997</v>
      </c>
      <c r="T1882" s="181">
        <v>19.583400000000001</v>
      </c>
      <c r="U1882" s="181">
        <v>686781.85223999992</v>
      </c>
      <c r="V1882" s="181">
        <v>0</v>
      </c>
    </row>
    <row r="1883" spans="1:22">
      <c r="A1883" s="2" t="s">
        <v>3784</v>
      </c>
      <c r="B1883" s="2" t="s">
        <v>3785</v>
      </c>
      <c r="C1883" s="181">
        <v>6.5479039999999999</v>
      </c>
      <c r="D1883" s="181">
        <v>774.19199999999989</v>
      </c>
      <c r="E1883" s="181">
        <v>0</v>
      </c>
      <c r="F1883" s="181">
        <v>0</v>
      </c>
      <c r="G1883" s="181">
        <v>0</v>
      </c>
      <c r="H1883" s="181">
        <v>0</v>
      </c>
      <c r="I1883" s="181">
        <v>0</v>
      </c>
      <c r="J1883" s="181">
        <v>0</v>
      </c>
      <c r="K1883" s="181">
        <v>0</v>
      </c>
      <c r="L1883" s="181">
        <v>0</v>
      </c>
      <c r="M1883" s="181">
        <v>305097.63496479997</v>
      </c>
      <c r="N1883" s="181">
        <v>13847.069079999997</v>
      </c>
      <c r="O1883" s="181">
        <v>10110.818487999999</v>
      </c>
      <c r="P1883" s="181">
        <v>19.837399999999999</v>
      </c>
      <c r="Q1883" s="181">
        <v>305097.63496479997</v>
      </c>
      <c r="R1883" s="181">
        <v>13847.069079999997</v>
      </c>
      <c r="S1883" s="181">
        <v>10110.818487999999</v>
      </c>
      <c r="T1883" s="181">
        <v>19.837399999999999</v>
      </c>
      <c r="U1883" s="181">
        <v>611860.19563199987</v>
      </c>
      <c r="V1883" s="181">
        <v>0</v>
      </c>
    </row>
    <row r="1884" spans="1:22">
      <c r="A1884" s="2" t="s">
        <v>3786</v>
      </c>
      <c r="B1884" s="2" t="s">
        <v>3787</v>
      </c>
      <c r="C1884" s="181">
        <v>5.4466656000000002</v>
      </c>
      <c r="D1884" s="181">
        <v>645.16</v>
      </c>
      <c r="E1884" s="181">
        <v>0</v>
      </c>
      <c r="F1884" s="181">
        <v>0</v>
      </c>
      <c r="G1884" s="181">
        <v>0</v>
      </c>
      <c r="H1884" s="181">
        <v>0</v>
      </c>
      <c r="I1884" s="181">
        <v>0</v>
      </c>
      <c r="J1884" s="181">
        <v>0</v>
      </c>
      <c r="K1884" s="181">
        <v>0</v>
      </c>
      <c r="L1884" s="181">
        <v>0</v>
      </c>
      <c r="M1884" s="181">
        <v>260977.10385119996</v>
      </c>
      <c r="N1884" s="181">
        <v>11683.976631999998</v>
      </c>
      <c r="O1884" s="181">
        <v>8652.3697919999995</v>
      </c>
      <c r="P1884" s="181">
        <v>20.0914</v>
      </c>
      <c r="Q1884" s="181">
        <v>260977.10385119996</v>
      </c>
      <c r="R1884" s="181">
        <v>11683.976631999998</v>
      </c>
      <c r="S1884" s="181">
        <v>8652.3697919999995</v>
      </c>
      <c r="T1884" s="181">
        <v>20.0914</v>
      </c>
      <c r="U1884" s="181">
        <v>520289.28199999995</v>
      </c>
      <c r="V1884" s="181">
        <v>0</v>
      </c>
    </row>
    <row r="1885" spans="1:22">
      <c r="A1885" s="2" t="s">
        <v>3788</v>
      </c>
      <c r="B1885" s="2" t="s">
        <v>3789</v>
      </c>
      <c r="C1885" s="181">
        <v>4.4793615999999998</v>
      </c>
      <c r="D1885" s="181">
        <v>530.96668</v>
      </c>
      <c r="E1885" s="181">
        <v>0</v>
      </c>
      <c r="F1885" s="181">
        <v>0</v>
      </c>
      <c r="G1885" s="181">
        <v>0</v>
      </c>
      <c r="H1885" s="181">
        <v>0</v>
      </c>
      <c r="I1885" s="181">
        <v>0</v>
      </c>
      <c r="J1885" s="181">
        <v>0</v>
      </c>
      <c r="K1885" s="181">
        <v>0</v>
      </c>
      <c r="L1885" s="181">
        <v>0</v>
      </c>
      <c r="M1885" s="181">
        <v>219353.96129119999</v>
      </c>
      <c r="N1885" s="181">
        <v>9701.1418879999983</v>
      </c>
      <c r="O1885" s="181">
        <v>7259.4693519999992</v>
      </c>
      <c r="P1885" s="181">
        <v>20.32</v>
      </c>
      <c r="Q1885" s="181">
        <v>219353.96129119999</v>
      </c>
      <c r="R1885" s="181">
        <v>9701.1418879999983</v>
      </c>
      <c r="S1885" s="181">
        <v>7259.4693519999992</v>
      </c>
      <c r="T1885" s="181">
        <v>20.32</v>
      </c>
      <c r="U1885" s="181">
        <v>437042.99687999999</v>
      </c>
      <c r="V1885" s="181">
        <v>0</v>
      </c>
    </row>
    <row r="1886" spans="1:22">
      <c r="A1886" s="2" t="s">
        <v>3790</v>
      </c>
      <c r="B1886" s="2" t="s">
        <v>3791</v>
      </c>
      <c r="C1886" s="181">
        <v>4.0477952000000004</v>
      </c>
      <c r="D1886" s="181">
        <v>483.22483999999997</v>
      </c>
      <c r="E1886" s="181">
        <v>0</v>
      </c>
      <c r="F1886" s="181">
        <v>0</v>
      </c>
      <c r="G1886" s="181">
        <v>0</v>
      </c>
      <c r="H1886" s="181">
        <v>0</v>
      </c>
      <c r="I1886" s="181">
        <v>0</v>
      </c>
      <c r="J1886" s="181">
        <v>0</v>
      </c>
      <c r="K1886" s="181">
        <v>0</v>
      </c>
      <c r="L1886" s="181">
        <v>0</v>
      </c>
      <c r="M1886" s="181">
        <v>121955.80770079998</v>
      </c>
      <c r="N1886" s="181">
        <v>6898.953943999999</v>
      </c>
      <c r="O1886" s="181">
        <v>5063.6027759999997</v>
      </c>
      <c r="P1886" s="181">
        <v>15.900399999999999</v>
      </c>
      <c r="Q1886" s="181">
        <v>121955.80770079998</v>
      </c>
      <c r="R1886" s="181">
        <v>6898.953943999999</v>
      </c>
      <c r="S1886" s="181">
        <v>5063.6027759999997</v>
      </c>
      <c r="T1886" s="181">
        <v>15.900399999999999</v>
      </c>
      <c r="U1886" s="181">
        <v>243911.61540159996</v>
      </c>
      <c r="V1886" s="181">
        <v>0</v>
      </c>
    </row>
    <row r="1887" spans="1:22">
      <c r="A1887" s="2" t="s">
        <v>3792</v>
      </c>
      <c r="B1887" s="2" t="s">
        <v>3793</v>
      </c>
      <c r="C1887" s="181">
        <v>3.3781231999999997</v>
      </c>
      <c r="D1887" s="181">
        <v>403.22499999999997</v>
      </c>
      <c r="E1887" s="181">
        <v>0</v>
      </c>
      <c r="F1887" s="181">
        <v>0</v>
      </c>
      <c r="G1887" s="181">
        <v>0</v>
      </c>
      <c r="H1887" s="181">
        <v>0</v>
      </c>
      <c r="I1887" s="181">
        <v>0</v>
      </c>
      <c r="J1887" s="181">
        <v>0</v>
      </c>
      <c r="K1887" s="181">
        <v>0</v>
      </c>
      <c r="L1887" s="181">
        <v>0</v>
      </c>
      <c r="M1887" s="181">
        <v>76586.582310399986</v>
      </c>
      <c r="N1887" s="181">
        <v>4998.0545199999997</v>
      </c>
      <c r="O1887" s="181">
        <v>3637.9282079999998</v>
      </c>
      <c r="P1887" s="181">
        <v>13.792199999999999</v>
      </c>
      <c r="Q1887" s="181">
        <v>76586.582310399986</v>
      </c>
      <c r="R1887" s="181">
        <v>4998.0545199999997</v>
      </c>
      <c r="S1887" s="181">
        <v>3637.9282079999998</v>
      </c>
      <c r="T1887" s="181">
        <v>13.792199999999999</v>
      </c>
      <c r="U1887" s="181">
        <v>153173.16462079997</v>
      </c>
      <c r="V1887" s="181">
        <v>0</v>
      </c>
    </row>
    <row r="1888" spans="1:22">
      <c r="A1888" s="2" t="s">
        <v>3794</v>
      </c>
      <c r="B1888" s="2" t="s">
        <v>3795</v>
      </c>
      <c r="C1888" s="181">
        <v>1.26791232</v>
      </c>
      <c r="D1888" s="181">
        <v>161.29</v>
      </c>
      <c r="E1888" s="181">
        <v>0</v>
      </c>
      <c r="F1888" s="181">
        <v>0</v>
      </c>
      <c r="G1888" s="181">
        <v>0</v>
      </c>
      <c r="H1888" s="181">
        <v>0</v>
      </c>
      <c r="I1888" s="181">
        <v>2.7685999999999997</v>
      </c>
      <c r="J1888" s="181">
        <v>0</v>
      </c>
      <c r="K1888" s="181">
        <v>0</v>
      </c>
      <c r="L1888" s="181">
        <v>0</v>
      </c>
      <c r="M1888" s="181">
        <v>7117.5573777599993</v>
      </c>
      <c r="N1888" s="181">
        <v>961.92065679999996</v>
      </c>
      <c r="O1888" s="181">
        <v>666.95350479999991</v>
      </c>
      <c r="P1888" s="181">
        <v>6.6293999999999995</v>
      </c>
      <c r="Q1888" s="181">
        <v>7117.5573777599993</v>
      </c>
      <c r="R1888" s="181">
        <v>961.92065679999996</v>
      </c>
      <c r="S1888" s="181">
        <v>666.95350479999991</v>
      </c>
      <c r="T1888" s="181">
        <v>6.6293999999999995</v>
      </c>
      <c r="U1888" s="181">
        <v>14235.114755519999</v>
      </c>
      <c r="V1888" s="181">
        <v>0</v>
      </c>
    </row>
    <row r="1889" spans="1:22">
      <c r="A1889" s="2" t="s">
        <v>3796</v>
      </c>
      <c r="B1889" s="2" t="s">
        <v>3797</v>
      </c>
      <c r="C1889" s="181">
        <v>1.6816207999999997</v>
      </c>
      <c r="D1889" s="181">
        <v>214.83828</v>
      </c>
      <c r="E1889" s="181">
        <v>0</v>
      </c>
      <c r="F1889" s="181">
        <v>0</v>
      </c>
      <c r="G1889" s="181">
        <v>0</v>
      </c>
      <c r="H1889" s="181">
        <v>0</v>
      </c>
      <c r="I1889" s="181">
        <v>2.8702000000000001</v>
      </c>
      <c r="J1889" s="181">
        <v>0</v>
      </c>
      <c r="K1889" s="181">
        <v>0</v>
      </c>
      <c r="L1889" s="181">
        <v>0</v>
      </c>
      <c r="M1889" s="181">
        <v>15400.562747199998</v>
      </c>
      <c r="N1889" s="181">
        <v>1633.7902807999999</v>
      </c>
      <c r="O1889" s="181">
        <v>1155.2880119999998</v>
      </c>
      <c r="P1889" s="181">
        <v>8.4835999999999991</v>
      </c>
      <c r="Q1889" s="181">
        <v>15400.562747199998</v>
      </c>
      <c r="R1889" s="181">
        <v>1633.7902807999999</v>
      </c>
      <c r="S1889" s="181">
        <v>1155.2880119999998</v>
      </c>
      <c r="T1889" s="181">
        <v>8.4835999999999991</v>
      </c>
      <c r="U1889" s="181">
        <v>30842.748636959997</v>
      </c>
      <c r="V1889" s="181">
        <v>0</v>
      </c>
    </row>
    <row r="1890" spans="1:22">
      <c r="A1890" s="2" t="s">
        <v>3798</v>
      </c>
      <c r="B1890" s="2" t="s">
        <v>3799</v>
      </c>
      <c r="C1890" s="181">
        <v>2.5001087999999996</v>
      </c>
      <c r="D1890" s="181">
        <v>318.70903999999996</v>
      </c>
      <c r="E1890" s="181">
        <v>0</v>
      </c>
      <c r="F1890" s="181">
        <v>0</v>
      </c>
      <c r="G1890" s="181">
        <v>0</v>
      </c>
      <c r="H1890" s="181">
        <v>0</v>
      </c>
      <c r="I1890" s="181">
        <v>3.3782000000000001</v>
      </c>
      <c r="J1890" s="181">
        <v>0</v>
      </c>
      <c r="K1890" s="181">
        <v>0</v>
      </c>
      <c r="L1890" s="181">
        <v>0</v>
      </c>
      <c r="M1890" s="181">
        <v>36337.003454879996</v>
      </c>
      <c r="N1890" s="181">
        <v>3064.3809679999995</v>
      </c>
      <c r="O1890" s="181">
        <v>2179.4795119999999</v>
      </c>
      <c r="P1890" s="181">
        <v>10.693399999999999</v>
      </c>
      <c r="Q1890" s="181">
        <v>36337.003454879996</v>
      </c>
      <c r="R1890" s="181">
        <v>3064.3809679999995</v>
      </c>
      <c r="S1890" s="181">
        <v>2179.4795119999999</v>
      </c>
      <c r="T1890" s="181">
        <v>10.693399999999999</v>
      </c>
      <c r="U1890" s="181">
        <v>72840.499479999984</v>
      </c>
      <c r="V1890" s="181">
        <v>0</v>
      </c>
    </row>
    <row r="1891" spans="1:22">
      <c r="A1891" s="2" t="s">
        <v>3800</v>
      </c>
      <c r="B1891" s="2" t="s">
        <v>3801</v>
      </c>
      <c r="C1891" s="181">
        <v>3.3781231999999997</v>
      </c>
      <c r="D1891" s="181">
        <v>431.61203999999998</v>
      </c>
      <c r="E1891" s="181">
        <v>0</v>
      </c>
      <c r="F1891" s="181">
        <v>0</v>
      </c>
      <c r="G1891" s="181">
        <v>0</v>
      </c>
      <c r="H1891" s="181">
        <v>0</v>
      </c>
      <c r="I1891" s="181">
        <v>3.556</v>
      </c>
      <c r="J1891" s="181">
        <v>0</v>
      </c>
      <c r="K1891" s="181">
        <v>0</v>
      </c>
      <c r="L1891" s="181">
        <v>0</v>
      </c>
      <c r="M1891" s="181">
        <v>81165.127991999994</v>
      </c>
      <c r="N1891" s="181">
        <v>5309.4087359999994</v>
      </c>
      <c r="O1891" s="181">
        <v>3850.9600399999995</v>
      </c>
      <c r="P1891" s="181">
        <v>13.715999999999999</v>
      </c>
      <c r="Q1891" s="181">
        <v>81165.127991999994</v>
      </c>
      <c r="R1891" s="181">
        <v>5309.4087359999994</v>
      </c>
      <c r="S1891" s="181">
        <v>3850.9600399999995</v>
      </c>
      <c r="T1891" s="181">
        <v>13.715999999999999</v>
      </c>
      <c r="U1891" s="181">
        <v>161914.02455839998</v>
      </c>
      <c r="V1891" s="181">
        <v>0</v>
      </c>
    </row>
    <row r="1892" spans="1:22">
      <c r="A1892" s="2" t="s">
        <v>3802</v>
      </c>
      <c r="B1892" s="2" t="s">
        <v>3803</v>
      </c>
      <c r="C1892" s="181">
        <v>4.0477952000000004</v>
      </c>
      <c r="D1892" s="181">
        <v>515.48284000000001</v>
      </c>
      <c r="E1892" s="181">
        <v>0</v>
      </c>
      <c r="F1892" s="181">
        <v>0</v>
      </c>
      <c r="G1892" s="181">
        <v>0</v>
      </c>
      <c r="H1892" s="181">
        <v>0</v>
      </c>
      <c r="I1892" s="181">
        <v>3.6829999999999994</v>
      </c>
      <c r="J1892" s="181">
        <v>0</v>
      </c>
      <c r="K1892" s="181">
        <v>0</v>
      </c>
      <c r="L1892" s="181">
        <v>0</v>
      </c>
      <c r="M1892" s="181">
        <v>129031.74193599999</v>
      </c>
      <c r="N1892" s="181">
        <v>7341.4046719999997</v>
      </c>
      <c r="O1892" s="181">
        <v>5342.1828639999994</v>
      </c>
      <c r="P1892" s="181">
        <v>15.824199999999999</v>
      </c>
      <c r="Q1892" s="181">
        <v>129031.74193599999</v>
      </c>
      <c r="R1892" s="181">
        <v>7341.4046719999997</v>
      </c>
      <c r="S1892" s="181">
        <v>5342.1828639999994</v>
      </c>
      <c r="T1892" s="181">
        <v>15.824199999999999</v>
      </c>
      <c r="U1892" s="181">
        <v>258063.48387199998</v>
      </c>
      <c r="V1892" s="181">
        <v>0</v>
      </c>
    </row>
    <row r="1893" spans="1:22">
      <c r="A1893" s="2" t="s">
        <v>3804</v>
      </c>
      <c r="B1893" s="2" t="s">
        <v>3805</v>
      </c>
      <c r="C1893" s="181">
        <v>5.4466656000000002</v>
      </c>
      <c r="D1893" s="181">
        <v>690.32119999999998</v>
      </c>
      <c r="E1893" s="181">
        <v>0</v>
      </c>
      <c r="F1893" s="181">
        <v>0</v>
      </c>
      <c r="G1893" s="181">
        <v>0</v>
      </c>
      <c r="H1893" s="181">
        <v>0</v>
      </c>
      <c r="I1893" s="181">
        <v>3.9115999999999995</v>
      </c>
      <c r="J1893" s="181">
        <v>0</v>
      </c>
      <c r="K1893" s="181">
        <v>0</v>
      </c>
      <c r="L1893" s="181">
        <v>0</v>
      </c>
      <c r="M1893" s="181">
        <v>277210.1294496</v>
      </c>
      <c r="N1893" s="181">
        <v>12470.555703999999</v>
      </c>
      <c r="O1893" s="181">
        <v>9193.1429040000003</v>
      </c>
      <c r="P1893" s="181">
        <v>19.989799999999999</v>
      </c>
      <c r="Q1893" s="181">
        <v>277210.1294496</v>
      </c>
      <c r="R1893" s="181">
        <v>12470.555703999999</v>
      </c>
      <c r="S1893" s="181">
        <v>9193.1429040000003</v>
      </c>
      <c r="T1893" s="181">
        <v>19.989799999999999</v>
      </c>
      <c r="U1893" s="181">
        <v>553587.79604799999</v>
      </c>
      <c r="V1893" s="181">
        <v>0</v>
      </c>
    </row>
    <row r="1894" spans="1:22">
      <c r="A1894" s="2" t="s">
        <v>3806</v>
      </c>
      <c r="B1894" s="2" t="s">
        <v>3807</v>
      </c>
      <c r="C1894" s="181">
        <v>8.6313279999999999</v>
      </c>
      <c r="D1894" s="181">
        <v>1096.7719999999999</v>
      </c>
      <c r="E1894" s="181">
        <v>0</v>
      </c>
      <c r="F1894" s="181">
        <v>0</v>
      </c>
      <c r="G1894" s="181">
        <v>0</v>
      </c>
      <c r="H1894" s="181">
        <v>0</v>
      </c>
      <c r="I1894" s="181">
        <v>5.1562000000000001</v>
      </c>
      <c r="J1894" s="181">
        <v>0</v>
      </c>
      <c r="K1894" s="181">
        <v>0</v>
      </c>
      <c r="L1894" s="181">
        <v>0</v>
      </c>
      <c r="M1894" s="181">
        <v>636834.081168</v>
      </c>
      <c r="N1894" s="181">
        <v>23761.242799999996</v>
      </c>
      <c r="O1894" s="181">
        <v>17370.287840000001</v>
      </c>
      <c r="P1894" s="181">
        <v>24.053799999999999</v>
      </c>
      <c r="Q1894" s="181">
        <v>636834.081168</v>
      </c>
      <c r="R1894" s="181">
        <v>23761.242799999996</v>
      </c>
      <c r="S1894" s="181">
        <v>17370.287840000001</v>
      </c>
      <c r="T1894" s="181">
        <v>24.053799999999999</v>
      </c>
      <c r="U1894" s="181">
        <v>1273668.162336</v>
      </c>
      <c r="V1894" s="181">
        <v>0</v>
      </c>
    </row>
    <row r="1895" spans="1:22">
      <c r="A1895" s="2" t="s">
        <v>3808</v>
      </c>
      <c r="B1895" s="2" t="s">
        <v>3809</v>
      </c>
      <c r="C1895" s="181">
        <v>11.2802528</v>
      </c>
      <c r="D1895" s="181">
        <v>1438.7067999999999</v>
      </c>
      <c r="E1895" s="181">
        <v>0</v>
      </c>
      <c r="F1895" s="181">
        <v>0</v>
      </c>
      <c r="G1895" s="181">
        <v>0</v>
      </c>
      <c r="H1895" s="181">
        <v>0</v>
      </c>
      <c r="I1895" s="181">
        <v>5.4863999999999997</v>
      </c>
      <c r="J1895" s="181">
        <v>0</v>
      </c>
      <c r="K1895" s="181">
        <v>0</v>
      </c>
      <c r="L1895" s="181">
        <v>0</v>
      </c>
      <c r="M1895" s="181">
        <v>1257018.9053119998</v>
      </c>
      <c r="N1895" s="181">
        <v>38181.859120000001</v>
      </c>
      <c r="O1895" s="181">
        <v>28185.750079999998</v>
      </c>
      <c r="P1895" s="181">
        <v>29.463999999999995</v>
      </c>
      <c r="Q1895" s="181">
        <v>1257018.9053119998</v>
      </c>
      <c r="R1895" s="181">
        <v>38181.859120000001</v>
      </c>
      <c r="S1895" s="181">
        <v>28185.750079999998</v>
      </c>
      <c r="T1895" s="181">
        <v>29.463999999999995</v>
      </c>
      <c r="U1895" s="181">
        <v>2509875.4963679998</v>
      </c>
      <c r="V1895" s="181">
        <v>0</v>
      </c>
    </row>
    <row r="1896" spans="1:22">
      <c r="A1896" s="2" t="s">
        <v>3810</v>
      </c>
      <c r="B1896" s="2" t="s">
        <v>3811</v>
      </c>
      <c r="C1896" s="181">
        <v>13.572019199999998</v>
      </c>
      <c r="D1896" s="181">
        <v>1729.0288</v>
      </c>
      <c r="E1896" s="181">
        <v>0</v>
      </c>
      <c r="F1896" s="181">
        <v>0</v>
      </c>
      <c r="G1896" s="181">
        <v>0</v>
      </c>
      <c r="H1896" s="181">
        <v>0</v>
      </c>
      <c r="I1896" s="181">
        <v>5.7404000000000002</v>
      </c>
      <c r="J1896" s="181">
        <v>0</v>
      </c>
      <c r="K1896" s="181">
        <v>0</v>
      </c>
      <c r="L1896" s="181">
        <v>0</v>
      </c>
      <c r="M1896" s="181">
        <v>1993748.5286239998</v>
      </c>
      <c r="N1896" s="181">
        <v>52766.346079999996</v>
      </c>
      <c r="O1896" s="181">
        <v>39165.08296</v>
      </c>
      <c r="P1896" s="181">
        <v>34.036000000000001</v>
      </c>
      <c r="Q1896" s="181">
        <v>1993748.5286239998</v>
      </c>
      <c r="R1896" s="181">
        <v>52766.346079999996</v>
      </c>
      <c r="S1896" s="181">
        <v>39165.08296</v>
      </c>
      <c r="T1896" s="181">
        <v>34.036000000000001</v>
      </c>
      <c r="U1896" s="181">
        <v>3987497.0572479996</v>
      </c>
      <c r="V1896" s="181">
        <v>0</v>
      </c>
    </row>
    <row r="1897" spans="1:22">
      <c r="A1897" s="2" t="s">
        <v>3812</v>
      </c>
      <c r="B1897" s="2" t="s">
        <v>3813</v>
      </c>
      <c r="C1897" s="181">
        <v>16.072127999999999</v>
      </c>
      <c r="D1897" s="181">
        <v>2045.1571999999999</v>
      </c>
      <c r="E1897" s="181">
        <v>0</v>
      </c>
      <c r="F1897" s="181">
        <v>0</v>
      </c>
      <c r="G1897" s="181">
        <v>0</v>
      </c>
      <c r="H1897" s="181">
        <v>0</v>
      </c>
      <c r="I1897" s="181">
        <v>6.0197999999999992</v>
      </c>
      <c r="J1897" s="181">
        <v>0</v>
      </c>
      <c r="K1897" s="181">
        <v>0</v>
      </c>
      <c r="L1897" s="181">
        <v>0</v>
      </c>
      <c r="M1897" s="181">
        <v>3009353.2070879997</v>
      </c>
      <c r="N1897" s="181">
        <v>70628.245839999989</v>
      </c>
      <c r="O1897" s="181">
        <v>52602.475439999995</v>
      </c>
      <c r="P1897" s="181">
        <v>38.353999999999999</v>
      </c>
      <c r="Q1897" s="181">
        <v>3009353.2070879997</v>
      </c>
      <c r="R1897" s="181">
        <v>70628.245839999989</v>
      </c>
      <c r="S1897" s="181">
        <v>52602.475439999995</v>
      </c>
      <c r="T1897" s="181">
        <v>38.353999999999999</v>
      </c>
      <c r="U1897" s="181">
        <v>6035355.6711999997</v>
      </c>
      <c r="V1897" s="181">
        <v>0</v>
      </c>
    </row>
    <row r="1898" spans="1:22">
      <c r="A1898" s="2" t="s">
        <v>3814</v>
      </c>
      <c r="B1898" s="2" t="s">
        <v>3815</v>
      </c>
      <c r="C1898" s="181">
        <v>21.727135999999998</v>
      </c>
      <c r="D1898" s="181">
        <v>2774.1879999999996</v>
      </c>
      <c r="E1898" s="181">
        <v>0</v>
      </c>
      <c r="F1898" s="181">
        <v>0</v>
      </c>
      <c r="G1898" s="181">
        <v>0</v>
      </c>
      <c r="H1898" s="181">
        <v>0</v>
      </c>
      <c r="I1898" s="181">
        <v>6.5531999999999995</v>
      </c>
      <c r="J1898" s="181">
        <v>0</v>
      </c>
      <c r="K1898" s="181">
        <v>0</v>
      </c>
      <c r="L1898" s="181">
        <v>0</v>
      </c>
      <c r="M1898" s="181">
        <v>6326717.6691199988</v>
      </c>
      <c r="N1898" s="181">
        <v>119133.95527999998</v>
      </c>
      <c r="O1898" s="181">
        <v>89309.498800000001</v>
      </c>
      <c r="P1898" s="181">
        <v>47.751999999999995</v>
      </c>
      <c r="Q1898" s="181">
        <v>6326717.6691199988</v>
      </c>
      <c r="R1898" s="181">
        <v>119133.95527999998</v>
      </c>
      <c r="S1898" s="181">
        <v>89309.498800000001</v>
      </c>
      <c r="T1898" s="181">
        <v>47.751999999999995</v>
      </c>
      <c r="U1898" s="181">
        <v>12611812.19568</v>
      </c>
      <c r="V1898" s="181">
        <v>0</v>
      </c>
    </row>
    <row r="1899" spans="1:22">
      <c r="A1899" s="2" t="s">
        <v>3816</v>
      </c>
      <c r="B1899" s="2" t="s">
        <v>3817</v>
      </c>
      <c r="C1899" s="181">
        <v>28.275039999999997</v>
      </c>
      <c r="D1899" s="181">
        <v>3599.9928</v>
      </c>
      <c r="E1899" s="181">
        <v>0</v>
      </c>
      <c r="F1899" s="181">
        <v>0</v>
      </c>
      <c r="G1899" s="181">
        <v>0</v>
      </c>
      <c r="H1899" s="181">
        <v>0</v>
      </c>
      <c r="I1899" s="181">
        <v>7.1120000000000001</v>
      </c>
      <c r="J1899" s="181">
        <v>0</v>
      </c>
      <c r="K1899" s="181">
        <v>0</v>
      </c>
      <c r="L1899" s="181">
        <v>0</v>
      </c>
      <c r="M1899" s="181">
        <v>11696103.059359999</v>
      </c>
      <c r="N1899" s="181">
        <v>185173.82319999998</v>
      </c>
      <c r="O1899" s="181">
        <v>139290.04399999999</v>
      </c>
      <c r="P1899" s="181">
        <v>57.15</v>
      </c>
      <c r="Q1899" s="181">
        <v>11696103.059359999</v>
      </c>
      <c r="R1899" s="181">
        <v>185173.82319999998</v>
      </c>
      <c r="S1899" s="181">
        <v>139290.04399999999</v>
      </c>
      <c r="T1899" s="181">
        <v>57.15</v>
      </c>
      <c r="U1899" s="181">
        <v>23433829.261279996</v>
      </c>
      <c r="V1899" s="181">
        <v>0</v>
      </c>
    </row>
    <row r="1900" spans="1:22">
      <c r="A1900" s="2" t="s">
        <v>3818</v>
      </c>
      <c r="B1900" s="2" t="s">
        <v>3819</v>
      </c>
      <c r="C1900" s="181">
        <v>42.561376000000003</v>
      </c>
      <c r="D1900" s="181">
        <v>5419.3440000000001</v>
      </c>
      <c r="E1900" s="181">
        <v>0</v>
      </c>
      <c r="F1900" s="181">
        <v>0</v>
      </c>
      <c r="G1900" s="181">
        <v>0</v>
      </c>
      <c r="H1900" s="181">
        <v>0</v>
      </c>
      <c r="I1900" s="181">
        <v>8.178799999999999</v>
      </c>
      <c r="J1900" s="181">
        <v>0</v>
      </c>
      <c r="K1900" s="181">
        <v>0</v>
      </c>
      <c r="L1900" s="181">
        <v>0</v>
      </c>
      <c r="M1900" s="181">
        <v>30176778.355999999</v>
      </c>
      <c r="N1900" s="181">
        <v>363792.82079999993</v>
      </c>
      <c r="O1900" s="181">
        <v>275302.6752</v>
      </c>
      <c r="P1900" s="181">
        <v>74.675999999999988</v>
      </c>
      <c r="Q1900" s="181">
        <v>30176778.355999999</v>
      </c>
      <c r="R1900" s="181">
        <v>363792.82079999993</v>
      </c>
      <c r="S1900" s="181">
        <v>275302.6752</v>
      </c>
      <c r="T1900" s="181">
        <v>74.675999999999988</v>
      </c>
      <c r="U1900" s="181">
        <v>60353556.711999997</v>
      </c>
      <c r="V1900" s="181">
        <v>0</v>
      </c>
    </row>
    <row r="1901" spans="1:22">
      <c r="A1901" s="2" t="s">
        <v>3820</v>
      </c>
      <c r="B1901" s="2" t="s">
        <v>3821</v>
      </c>
      <c r="C1901" s="181">
        <v>60.270479999999999</v>
      </c>
      <c r="D1901" s="181">
        <v>7677.4039999999995</v>
      </c>
      <c r="E1901" s="181">
        <v>0</v>
      </c>
      <c r="F1901" s="181">
        <v>0</v>
      </c>
      <c r="G1901" s="181">
        <v>0</v>
      </c>
      <c r="H1901" s="181">
        <v>0</v>
      </c>
      <c r="I1901" s="181">
        <v>9.270999999999999</v>
      </c>
      <c r="J1901" s="181">
        <v>0</v>
      </c>
      <c r="K1901" s="181">
        <v>0</v>
      </c>
      <c r="L1901" s="181">
        <v>0</v>
      </c>
      <c r="M1901" s="181">
        <v>67013259.521599993</v>
      </c>
      <c r="N1901" s="181">
        <v>645650.32159999991</v>
      </c>
      <c r="O1901" s="181">
        <v>489973.21359999996</v>
      </c>
      <c r="P1901" s="181">
        <v>93.217999999999989</v>
      </c>
      <c r="Q1901" s="181">
        <v>67013259.521599993</v>
      </c>
      <c r="R1901" s="181">
        <v>645650.32159999991</v>
      </c>
      <c r="S1901" s="181">
        <v>489973.21359999996</v>
      </c>
      <c r="T1901" s="181">
        <v>93.217999999999989</v>
      </c>
      <c r="U1901" s="181">
        <v>133610287.61759999</v>
      </c>
      <c r="V1901" s="181">
        <v>0</v>
      </c>
    </row>
    <row r="1902" spans="1:22">
      <c r="A1902" s="2" t="s">
        <v>3822</v>
      </c>
      <c r="B1902" s="2" t="s">
        <v>3823</v>
      </c>
      <c r="C1902" s="181">
        <v>73.812736000000001</v>
      </c>
      <c r="D1902" s="181">
        <v>9419.3359999999993</v>
      </c>
      <c r="E1902" s="181">
        <v>0</v>
      </c>
      <c r="F1902" s="181">
        <v>0</v>
      </c>
      <c r="G1902" s="181">
        <v>0</v>
      </c>
      <c r="H1902" s="181">
        <v>0</v>
      </c>
      <c r="I1902" s="181">
        <v>9.5249999999999986</v>
      </c>
      <c r="J1902" s="181">
        <v>0</v>
      </c>
      <c r="K1902" s="181">
        <v>0</v>
      </c>
      <c r="L1902" s="181">
        <v>0</v>
      </c>
      <c r="M1902" s="181">
        <v>116128567.74239999</v>
      </c>
      <c r="N1902" s="181">
        <v>940617.47359999991</v>
      </c>
      <c r="O1902" s="181">
        <v>717753.40319999994</v>
      </c>
      <c r="P1902" s="181">
        <v>111.252</v>
      </c>
      <c r="Q1902" s="181">
        <v>116128567.74239999</v>
      </c>
      <c r="R1902" s="181">
        <v>940617.47359999991</v>
      </c>
      <c r="S1902" s="181">
        <v>717753.40319999994</v>
      </c>
      <c r="T1902" s="181">
        <v>111.252</v>
      </c>
      <c r="U1902" s="181">
        <v>232673366.91039997</v>
      </c>
      <c r="V1902" s="181">
        <v>0</v>
      </c>
    </row>
    <row r="1903" spans="1:22">
      <c r="A1903" s="2" t="s">
        <v>3824</v>
      </c>
      <c r="B1903" s="2" t="s">
        <v>3825</v>
      </c>
      <c r="C1903" s="181">
        <v>1.6220943999999999</v>
      </c>
      <c r="D1903" s="181">
        <v>206.4512</v>
      </c>
      <c r="E1903" s="181">
        <v>0</v>
      </c>
      <c r="F1903" s="181">
        <v>0</v>
      </c>
      <c r="G1903" s="181">
        <v>0</v>
      </c>
      <c r="H1903" s="181">
        <v>0</v>
      </c>
      <c r="I1903" s="181">
        <v>3.7337999999999996</v>
      </c>
      <c r="J1903" s="181">
        <v>0</v>
      </c>
      <c r="K1903" s="181">
        <v>0</v>
      </c>
      <c r="L1903" s="181">
        <v>0</v>
      </c>
      <c r="M1903" s="181">
        <v>8366.2516545599992</v>
      </c>
      <c r="N1903" s="181">
        <v>1174.9524887999999</v>
      </c>
      <c r="O1903" s="181">
        <v>783.30165920000002</v>
      </c>
      <c r="P1903" s="181">
        <v>6.35</v>
      </c>
      <c r="Q1903" s="181">
        <v>8366.2516545599992</v>
      </c>
      <c r="R1903" s="181">
        <v>1174.9524887999999</v>
      </c>
      <c r="S1903" s="181">
        <v>783.30165920000002</v>
      </c>
      <c r="T1903" s="181">
        <v>6.35</v>
      </c>
      <c r="U1903" s="181">
        <v>16732.503309119998</v>
      </c>
      <c r="V1903" s="181">
        <v>0</v>
      </c>
    </row>
    <row r="1904" spans="1:22">
      <c r="A1904" s="2" t="s">
        <v>3826</v>
      </c>
      <c r="B1904" s="2" t="s">
        <v>3827</v>
      </c>
      <c r="C1904" s="181">
        <v>2.2024767999999999</v>
      </c>
      <c r="D1904" s="181">
        <v>279.35427999999996</v>
      </c>
      <c r="E1904" s="181">
        <v>0</v>
      </c>
      <c r="F1904" s="181">
        <v>0</v>
      </c>
      <c r="G1904" s="181">
        <v>0</v>
      </c>
      <c r="H1904" s="181">
        <v>0</v>
      </c>
      <c r="I1904" s="181">
        <v>3.9115999999999995</v>
      </c>
      <c r="J1904" s="181">
        <v>0</v>
      </c>
      <c r="K1904" s="181">
        <v>0</v>
      </c>
      <c r="L1904" s="181">
        <v>0</v>
      </c>
      <c r="M1904" s="181">
        <v>18647.167866879998</v>
      </c>
      <c r="N1904" s="181">
        <v>2048.3829999999998</v>
      </c>
      <c r="O1904" s="181">
        <v>1397.8165591999998</v>
      </c>
      <c r="P1904" s="181">
        <v>8.1533999999999995</v>
      </c>
      <c r="Q1904" s="181">
        <v>18647.167866879998</v>
      </c>
      <c r="R1904" s="181">
        <v>2048.3829999999998</v>
      </c>
      <c r="S1904" s="181">
        <v>1397.8165591999998</v>
      </c>
      <c r="T1904" s="181">
        <v>8.1533999999999995</v>
      </c>
      <c r="U1904" s="181">
        <v>37294.335733759995</v>
      </c>
      <c r="V1904" s="181">
        <v>0</v>
      </c>
    </row>
    <row r="1905" spans="1:22">
      <c r="A1905" s="2" t="s">
        <v>3828</v>
      </c>
      <c r="B1905" s="2" t="s">
        <v>3829</v>
      </c>
      <c r="C1905" s="181">
        <v>3.2293071999999996</v>
      </c>
      <c r="D1905" s="181">
        <v>412.25723999999997</v>
      </c>
      <c r="E1905" s="181">
        <v>0</v>
      </c>
      <c r="F1905" s="181">
        <v>0</v>
      </c>
      <c r="G1905" s="181">
        <v>0</v>
      </c>
      <c r="H1905" s="181">
        <v>0</v>
      </c>
      <c r="I1905" s="181">
        <v>4.5465999999999998</v>
      </c>
      <c r="J1905" s="181">
        <v>0</v>
      </c>
      <c r="K1905" s="181">
        <v>0</v>
      </c>
      <c r="L1905" s="181">
        <v>0</v>
      </c>
      <c r="M1905" s="181">
        <v>44120.531113599995</v>
      </c>
      <c r="N1905" s="181">
        <v>3818.1859119999999</v>
      </c>
      <c r="O1905" s="181">
        <v>2638.3173039999997</v>
      </c>
      <c r="P1905" s="181">
        <v>10.337799999999998</v>
      </c>
      <c r="Q1905" s="181">
        <v>44120.531113599995</v>
      </c>
      <c r="R1905" s="181">
        <v>3818.1859119999999</v>
      </c>
      <c r="S1905" s="181">
        <v>2638.3173039999997</v>
      </c>
      <c r="T1905" s="181">
        <v>10.337799999999998</v>
      </c>
      <c r="U1905" s="181">
        <v>87824.830801599994</v>
      </c>
      <c r="V1905" s="181">
        <v>0</v>
      </c>
    </row>
    <row r="1906" spans="1:22">
      <c r="A1906" s="2" t="s">
        <v>3830</v>
      </c>
      <c r="B1906" s="2" t="s">
        <v>3831</v>
      </c>
      <c r="C1906" s="181">
        <v>4.46448</v>
      </c>
      <c r="D1906" s="181">
        <v>568.38595999999995</v>
      </c>
      <c r="E1906" s="181">
        <v>0</v>
      </c>
      <c r="F1906" s="181">
        <v>0</v>
      </c>
      <c r="G1906" s="181">
        <v>0</v>
      </c>
      <c r="H1906" s="181">
        <v>0</v>
      </c>
      <c r="I1906" s="181">
        <v>4.8513999999999999</v>
      </c>
      <c r="J1906" s="181">
        <v>0</v>
      </c>
      <c r="K1906" s="181">
        <v>0</v>
      </c>
      <c r="L1906" s="181">
        <v>0</v>
      </c>
      <c r="M1906" s="181">
        <v>100728.00499519998</v>
      </c>
      <c r="N1906" s="181">
        <v>6784.2444959999993</v>
      </c>
      <c r="O1906" s="181">
        <v>4768.6356239999996</v>
      </c>
      <c r="P1906" s="181">
        <v>13.3096</v>
      </c>
      <c r="Q1906" s="181">
        <v>100728.00499519998</v>
      </c>
      <c r="R1906" s="181">
        <v>6784.2444959999993</v>
      </c>
      <c r="S1906" s="181">
        <v>4768.6356239999996</v>
      </c>
      <c r="T1906" s="181">
        <v>13.3096</v>
      </c>
      <c r="U1906" s="181">
        <v>201456.00999039997</v>
      </c>
      <c r="V1906" s="181">
        <v>0</v>
      </c>
    </row>
    <row r="1907" spans="1:22">
      <c r="A1907" s="2" t="s">
        <v>3832</v>
      </c>
      <c r="B1907" s="2" t="s">
        <v>3833</v>
      </c>
      <c r="C1907" s="181">
        <v>5.4020207999999998</v>
      </c>
      <c r="D1907" s="181">
        <v>690.32119999999998</v>
      </c>
      <c r="E1907" s="181">
        <v>0</v>
      </c>
      <c r="F1907" s="181">
        <v>0</v>
      </c>
      <c r="G1907" s="181">
        <v>0</v>
      </c>
      <c r="H1907" s="181">
        <v>0</v>
      </c>
      <c r="I1907" s="181">
        <v>5.08</v>
      </c>
      <c r="J1907" s="181">
        <v>0</v>
      </c>
      <c r="K1907" s="181">
        <v>0</v>
      </c>
      <c r="L1907" s="181">
        <v>0</v>
      </c>
      <c r="M1907" s="181">
        <v>162746.4874096</v>
      </c>
      <c r="N1907" s="181">
        <v>9520.8841839999986</v>
      </c>
      <c r="O1907" s="181">
        <v>6751.4703679999993</v>
      </c>
      <c r="P1907" s="181">
        <v>15.366999999999999</v>
      </c>
      <c r="Q1907" s="181">
        <v>162746.4874096</v>
      </c>
      <c r="R1907" s="181">
        <v>9520.8841839999986</v>
      </c>
      <c r="S1907" s="181">
        <v>6751.4703679999993</v>
      </c>
      <c r="T1907" s="181">
        <v>15.366999999999999</v>
      </c>
      <c r="U1907" s="181">
        <v>325492.9748192</v>
      </c>
      <c r="V1907" s="181">
        <v>0</v>
      </c>
    </row>
    <row r="1908" spans="1:22">
      <c r="A1908" s="2" t="s">
        <v>3834</v>
      </c>
      <c r="B1908" s="2" t="s">
        <v>3835</v>
      </c>
      <c r="C1908" s="181">
        <v>7.4854447999999998</v>
      </c>
      <c r="D1908" s="181">
        <v>954.83679999999993</v>
      </c>
      <c r="E1908" s="181">
        <v>0</v>
      </c>
      <c r="F1908" s="181">
        <v>0</v>
      </c>
      <c r="G1908" s="181">
        <v>0</v>
      </c>
      <c r="H1908" s="181">
        <v>0</v>
      </c>
      <c r="I1908" s="181">
        <v>5.5371999999999995</v>
      </c>
      <c r="J1908" s="181">
        <v>0</v>
      </c>
      <c r="K1908" s="181">
        <v>0</v>
      </c>
      <c r="L1908" s="181">
        <v>0</v>
      </c>
      <c r="M1908" s="181">
        <v>361288.87742079998</v>
      </c>
      <c r="N1908" s="181">
        <v>16714.80528</v>
      </c>
      <c r="O1908" s="181">
        <v>11978.943783999999</v>
      </c>
      <c r="P1908" s="181">
        <v>19.456399999999999</v>
      </c>
      <c r="Q1908" s="181">
        <v>361288.87742079998</v>
      </c>
      <c r="R1908" s="181">
        <v>16714.80528</v>
      </c>
      <c r="S1908" s="181">
        <v>11978.943783999999</v>
      </c>
      <c r="T1908" s="181">
        <v>19.456399999999999</v>
      </c>
      <c r="U1908" s="181">
        <v>724242.68054399989</v>
      </c>
      <c r="V1908" s="181">
        <v>0</v>
      </c>
    </row>
    <row r="1909" spans="1:22">
      <c r="A1909" s="2" t="s">
        <v>3836</v>
      </c>
      <c r="B1909" s="2" t="s">
        <v>3837</v>
      </c>
      <c r="C1909" s="181">
        <v>11.414187199999999</v>
      </c>
      <c r="D1909" s="181">
        <v>1451.61</v>
      </c>
      <c r="E1909" s="181">
        <v>0</v>
      </c>
      <c r="F1909" s="181">
        <v>0</v>
      </c>
      <c r="G1909" s="181">
        <v>0</v>
      </c>
      <c r="H1909" s="181">
        <v>0</v>
      </c>
      <c r="I1909" s="181">
        <v>7.0104000000000006</v>
      </c>
      <c r="J1909" s="181">
        <v>0</v>
      </c>
      <c r="K1909" s="181">
        <v>0</v>
      </c>
      <c r="L1909" s="181">
        <v>0</v>
      </c>
      <c r="M1909" s="181">
        <v>799164.33715199993</v>
      </c>
      <c r="N1909" s="181">
        <v>30643.809679999998</v>
      </c>
      <c r="O1909" s="181">
        <v>21958.66576</v>
      </c>
      <c r="P1909" s="181">
        <v>23.4696</v>
      </c>
      <c r="Q1909" s="181">
        <v>799164.33715199993</v>
      </c>
      <c r="R1909" s="181">
        <v>30643.809679999998</v>
      </c>
      <c r="S1909" s="181">
        <v>21958.66576</v>
      </c>
      <c r="T1909" s="181">
        <v>23.4696</v>
      </c>
      <c r="U1909" s="181">
        <v>1602490.98856</v>
      </c>
      <c r="V1909" s="181">
        <v>0</v>
      </c>
    </row>
    <row r="1910" spans="1:22">
      <c r="A1910" s="2" t="s">
        <v>3838</v>
      </c>
      <c r="B1910" s="2" t="s">
        <v>3839</v>
      </c>
      <c r="C1910" s="181">
        <v>15.328048000000001</v>
      </c>
      <c r="D1910" s="181">
        <v>1948.3832</v>
      </c>
      <c r="E1910" s="181">
        <v>0</v>
      </c>
      <c r="F1910" s="181">
        <v>0</v>
      </c>
      <c r="G1910" s="181">
        <v>0</v>
      </c>
      <c r="H1910" s="181">
        <v>0</v>
      </c>
      <c r="I1910" s="181">
        <v>7.6199999999999992</v>
      </c>
      <c r="J1910" s="181">
        <v>0</v>
      </c>
      <c r="K1910" s="181">
        <v>0</v>
      </c>
      <c r="L1910" s="181">
        <v>0</v>
      </c>
      <c r="M1910" s="181">
        <v>1619140.2455839999</v>
      </c>
      <c r="N1910" s="181">
        <v>50472.157119999996</v>
      </c>
      <c r="O1910" s="181">
        <v>36543.152719999998</v>
      </c>
      <c r="P1910" s="181">
        <v>28.955999999999996</v>
      </c>
      <c r="Q1910" s="181">
        <v>1619140.2455839999</v>
      </c>
      <c r="R1910" s="181">
        <v>50472.157119999996</v>
      </c>
      <c r="S1910" s="181">
        <v>36543.152719999998</v>
      </c>
      <c r="T1910" s="181">
        <v>28.955999999999996</v>
      </c>
      <c r="U1910" s="181">
        <v>3242442.8054239997</v>
      </c>
      <c r="V1910" s="181">
        <v>0</v>
      </c>
    </row>
    <row r="1911" spans="1:22">
      <c r="A1911" s="2" t="s">
        <v>3840</v>
      </c>
      <c r="B1911" s="2" t="s">
        <v>3841</v>
      </c>
      <c r="C1911" s="181">
        <v>18.602</v>
      </c>
      <c r="D1911" s="181">
        <v>2374.1887999999999</v>
      </c>
      <c r="E1911" s="181">
        <v>0</v>
      </c>
      <c r="F1911" s="181">
        <v>0</v>
      </c>
      <c r="G1911" s="181">
        <v>0</v>
      </c>
      <c r="H1911" s="181">
        <v>0</v>
      </c>
      <c r="I1911" s="181">
        <v>8.0771999999999995</v>
      </c>
      <c r="J1911" s="181">
        <v>0</v>
      </c>
      <c r="K1911" s="181">
        <v>0</v>
      </c>
      <c r="L1911" s="181">
        <v>0</v>
      </c>
      <c r="M1911" s="181">
        <v>2613933.3527679997</v>
      </c>
      <c r="N1911" s="181">
        <v>70792.116479999997</v>
      </c>
      <c r="O1911" s="181">
        <v>51455.380959999995</v>
      </c>
      <c r="P1911" s="181">
        <v>33.274000000000001</v>
      </c>
      <c r="Q1911" s="181">
        <v>2613933.3527679997</v>
      </c>
      <c r="R1911" s="181">
        <v>70792.116479999997</v>
      </c>
      <c r="S1911" s="181">
        <v>51455.380959999995</v>
      </c>
      <c r="T1911" s="181">
        <v>33.274000000000001</v>
      </c>
      <c r="U1911" s="181">
        <v>5244515.962559999</v>
      </c>
      <c r="V1911" s="181">
        <v>0</v>
      </c>
    </row>
    <row r="1912" spans="1:22">
      <c r="A1912" s="2" t="s">
        <v>3842</v>
      </c>
      <c r="B1912" s="2" t="s">
        <v>3843</v>
      </c>
      <c r="C1912" s="181">
        <v>22.322399999999998</v>
      </c>
      <c r="D1912" s="181">
        <v>2845.1556</v>
      </c>
      <c r="E1912" s="181">
        <v>0</v>
      </c>
      <c r="F1912" s="181">
        <v>0</v>
      </c>
      <c r="G1912" s="181">
        <v>0</v>
      </c>
      <c r="H1912" s="181">
        <v>0</v>
      </c>
      <c r="I1912" s="181">
        <v>8.5597999999999992</v>
      </c>
      <c r="J1912" s="181">
        <v>0</v>
      </c>
      <c r="K1912" s="181">
        <v>0</v>
      </c>
      <c r="L1912" s="181">
        <v>0</v>
      </c>
      <c r="M1912" s="181">
        <v>3999984.0000159992</v>
      </c>
      <c r="N1912" s="181">
        <v>95864.324399999983</v>
      </c>
      <c r="O1912" s="181">
        <v>69972.763279999985</v>
      </c>
      <c r="P1912" s="181">
        <v>37.591999999999999</v>
      </c>
      <c r="Q1912" s="181">
        <v>3999984.0000159992</v>
      </c>
      <c r="R1912" s="181">
        <v>95864.324399999983</v>
      </c>
      <c r="S1912" s="181">
        <v>69972.763279999985</v>
      </c>
      <c r="T1912" s="181">
        <v>37.591999999999999</v>
      </c>
      <c r="U1912" s="181">
        <v>7991643.3715199986</v>
      </c>
      <c r="V1912" s="181">
        <v>0</v>
      </c>
    </row>
    <row r="1913" spans="1:22">
      <c r="A1913" s="2" t="s">
        <v>3844</v>
      </c>
      <c r="B1913" s="2" t="s">
        <v>3845</v>
      </c>
      <c r="C1913" s="181">
        <v>30.953727999999998</v>
      </c>
      <c r="D1913" s="181">
        <v>3941.9276</v>
      </c>
      <c r="E1913" s="181">
        <v>0</v>
      </c>
      <c r="F1913" s="181">
        <v>0</v>
      </c>
      <c r="G1913" s="181">
        <v>0</v>
      </c>
      <c r="H1913" s="181">
        <v>0</v>
      </c>
      <c r="I1913" s="181">
        <v>9.5249999999999986</v>
      </c>
      <c r="J1913" s="181">
        <v>0</v>
      </c>
      <c r="K1913" s="181">
        <v>0</v>
      </c>
      <c r="L1913" s="181">
        <v>0</v>
      </c>
      <c r="M1913" s="181">
        <v>8615990.5099199992</v>
      </c>
      <c r="N1913" s="181">
        <v>165509.34639999998</v>
      </c>
      <c r="O1913" s="181">
        <v>121755.88551999998</v>
      </c>
      <c r="P1913" s="181">
        <v>46.735999999999997</v>
      </c>
      <c r="Q1913" s="181">
        <v>8615990.5099199992</v>
      </c>
      <c r="R1913" s="181">
        <v>165509.34639999998</v>
      </c>
      <c r="S1913" s="181">
        <v>121755.88551999998</v>
      </c>
      <c r="T1913" s="181">
        <v>46.735999999999997</v>
      </c>
      <c r="U1913" s="181">
        <v>17190357.877279997</v>
      </c>
      <c r="V1913" s="181">
        <v>0</v>
      </c>
    </row>
    <row r="1914" spans="1:22">
      <c r="A1914" s="2" t="s">
        <v>3846</v>
      </c>
      <c r="B1914" s="2" t="s">
        <v>3847</v>
      </c>
      <c r="C1914" s="181">
        <v>42.561376000000003</v>
      </c>
      <c r="D1914" s="181">
        <v>5419.3440000000001</v>
      </c>
      <c r="E1914" s="181">
        <v>0</v>
      </c>
      <c r="F1914" s="181">
        <v>0</v>
      </c>
      <c r="G1914" s="181">
        <v>0</v>
      </c>
      <c r="H1914" s="181">
        <v>0</v>
      </c>
      <c r="I1914" s="181">
        <v>10.972799999999999</v>
      </c>
      <c r="J1914" s="181">
        <v>0</v>
      </c>
      <c r="K1914" s="181">
        <v>0</v>
      </c>
      <c r="L1914" s="181">
        <v>0</v>
      </c>
      <c r="M1914" s="181">
        <v>16857372.7368</v>
      </c>
      <c r="N1914" s="181">
        <v>272025.26240000001</v>
      </c>
      <c r="O1914" s="181">
        <v>199922.18079999997</v>
      </c>
      <c r="P1914" s="181">
        <v>55.625999999999998</v>
      </c>
      <c r="Q1914" s="181">
        <v>16857372.7368</v>
      </c>
      <c r="R1914" s="181">
        <v>272025.26240000001</v>
      </c>
      <c r="S1914" s="181">
        <v>199922.18079999997</v>
      </c>
      <c r="T1914" s="181">
        <v>55.625999999999998</v>
      </c>
      <c r="U1914" s="181">
        <v>33714745.4736</v>
      </c>
      <c r="V1914" s="181">
        <v>0</v>
      </c>
    </row>
    <row r="1915" spans="1:22">
      <c r="A1915" s="2" t="s">
        <v>3848</v>
      </c>
      <c r="B1915" s="2" t="s">
        <v>3849</v>
      </c>
      <c r="C1915" s="181">
        <v>64.58614399999999</v>
      </c>
      <c r="D1915" s="181">
        <v>8258.0480000000007</v>
      </c>
      <c r="E1915" s="181">
        <v>0</v>
      </c>
      <c r="F1915" s="181">
        <v>0</v>
      </c>
      <c r="G1915" s="181">
        <v>0</v>
      </c>
      <c r="H1915" s="181">
        <v>0</v>
      </c>
      <c r="I1915" s="181">
        <v>12.7</v>
      </c>
      <c r="J1915" s="181">
        <v>0</v>
      </c>
      <c r="K1915" s="181">
        <v>0</v>
      </c>
      <c r="L1915" s="181">
        <v>0</v>
      </c>
      <c r="M1915" s="181">
        <v>44120531.113599993</v>
      </c>
      <c r="N1915" s="181">
        <v>540773.11199999996</v>
      </c>
      <c r="O1915" s="181">
        <v>401483.06799999997</v>
      </c>
      <c r="P1915" s="181">
        <v>73.151999999999987</v>
      </c>
      <c r="Q1915" s="181">
        <v>44120531.113599993</v>
      </c>
      <c r="R1915" s="181">
        <v>540773.11199999996</v>
      </c>
      <c r="S1915" s="181">
        <v>401483.06799999997</v>
      </c>
      <c r="T1915" s="181">
        <v>73.151999999999987</v>
      </c>
      <c r="U1915" s="181">
        <v>87824830.801599994</v>
      </c>
      <c r="V1915" s="181">
        <v>0</v>
      </c>
    </row>
    <row r="1916" spans="1:22">
      <c r="A1916" s="2" t="s">
        <v>3850</v>
      </c>
      <c r="B1916" s="2" t="s">
        <v>3851</v>
      </c>
      <c r="C1916" s="181">
        <v>81.55116799999999</v>
      </c>
      <c r="D1916" s="181">
        <v>10387.076000000001</v>
      </c>
      <c r="E1916" s="181">
        <v>0</v>
      </c>
      <c r="F1916" s="181">
        <v>0</v>
      </c>
      <c r="G1916" s="181">
        <v>0</v>
      </c>
      <c r="H1916" s="181">
        <v>0</v>
      </c>
      <c r="I1916" s="181">
        <v>12.7</v>
      </c>
      <c r="J1916" s="181">
        <v>0</v>
      </c>
      <c r="K1916" s="181">
        <v>0</v>
      </c>
      <c r="L1916" s="181">
        <v>0</v>
      </c>
      <c r="M1916" s="181">
        <v>88241062.227199987</v>
      </c>
      <c r="N1916" s="181">
        <v>861959.56639999989</v>
      </c>
      <c r="O1916" s="181">
        <v>645650.32159999991</v>
      </c>
      <c r="P1916" s="181">
        <v>92.201999999999998</v>
      </c>
      <c r="Q1916" s="181">
        <v>88241062.227199987</v>
      </c>
      <c r="R1916" s="181">
        <v>861959.56639999989</v>
      </c>
      <c r="S1916" s="181">
        <v>645650.32159999991</v>
      </c>
      <c r="T1916" s="181">
        <v>92.201999999999998</v>
      </c>
      <c r="U1916" s="181">
        <v>176482124.45439997</v>
      </c>
      <c r="V1916" s="181">
        <v>0</v>
      </c>
    </row>
    <row r="1917" spans="1:22">
      <c r="A1917" s="2" t="s">
        <v>3852</v>
      </c>
      <c r="B1917" s="2" t="s">
        <v>3853</v>
      </c>
      <c r="C1917" s="181">
        <v>97.47448</v>
      </c>
      <c r="D1917" s="181">
        <v>12387.071999999998</v>
      </c>
      <c r="E1917" s="181">
        <v>0</v>
      </c>
      <c r="F1917" s="181">
        <v>0</v>
      </c>
      <c r="G1917" s="181">
        <v>0</v>
      </c>
      <c r="H1917" s="181">
        <v>0</v>
      </c>
      <c r="I1917" s="181">
        <v>12.7</v>
      </c>
      <c r="J1917" s="181">
        <v>0</v>
      </c>
      <c r="K1917" s="181">
        <v>0</v>
      </c>
      <c r="L1917" s="181">
        <v>0</v>
      </c>
      <c r="M1917" s="181">
        <v>150675776.06719998</v>
      </c>
      <c r="N1917" s="181">
        <v>1230668.5063999998</v>
      </c>
      <c r="O1917" s="181">
        <v>929146.52879999997</v>
      </c>
      <c r="P1917" s="181">
        <v>109.982</v>
      </c>
      <c r="Q1917" s="181">
        <v>150675776.06719998</v>
      </c>
      <c r="R1917" s="181">
        <v>1230668.5063999998</v>
      </c>
      <c r="S1917" s="181">
        <v>929146.52879999997</v>
      </c>
      <c r="T1917" s="181">
        <v>109.982</v>
      </c>
      <c r="U1917" s="181">
        <v>300935320.70879996</v>
      </c>
      <c r="V1917" s="181">
        <v>0</v>
      </c>
    </row>
    <row r="1918" spans="1:22">
      <c r="A1918" s="2" t="s">
        <v>3854</v>
      </c>
      <c r="B1918" s="2" t="s">
        <v>3855</v>
      </c>
      <c r="C1918" s="181">
        <v>13.452966399999998</v>
      </c>
      <c r="D1918" s="181">
        <v>1716.1256000000001</v>
      </c>
      <c r="E1918" s="181">
        <v>0</v>
      </c>
      <c r="F1918" s="181">
        <v>0</v>
      </c>
      <c r="G1918" s="181">
        <v>0</v>
      </c>
      <c r="H1918" s="181">
        <v>0</v>
      </c>
      <c r="I1918" s="181">
        <v>11.074399999999999</v>
      </c>
      <c r="J1918" s="181">
        <v>0</v>
      </c>
      <c r="K1918" s="181">
        <v>0</v>
      </c>
      <c r="L1918" s="181">
        <v>0</v>
      </c>
      <c r="M1918" s="181">
        <v>545263.16753600002</v>
      </c>
      <c r="N1918" s="181">
        <v>27366.396879999997</v>
      </c>
      <c r="O1918" s="181">
        <v>18025.770400000001</v>
      </c>
      <c r="P1918" s="181">
        <v>17.856199999999998</v>
      </c>
      <c r="Q1918" s="181">
        <v>545263.16753600002</v>
      </c>
      <c r="R1918" s="181">
        <v>27366.396879999997</v>
      </c>
      <c r="S1918" s="181">
        <v>18025.770400000001</v>
      </c>
      <c r="T1918" s="181">
        <v>17.856199999999998</v>
      </c>
      <c r="U1918" s="181">
        <v>1090526.335072</v>
      </c>
      <c r="V1918" s="181">
        <v>0</v>
      </c>
    </row>
    <row r="1919" spans="1:22">
      <c r="A1919" s="2" t="s">
        <v>3856</v>
      </c>
      <c r="B1919" s="2" t="s">
        <v>3857</v>
      </c>
      <c r="C1919" s="181">
        <v>20.387791999999997</v>
      </c>
      <c r="D1919" s="181">
        <v>2599.9947999999999</v>
      </c>
      <c r="E1919" s="181">
        <v>0</v>
      </c>
      <c r="F1919" s="181">
        <v>0</v>
      </c>
      <c r="G1919" s="181">
        <v>0</v>
      </c>
      <c r="H1919" s="181">
        <v>0</v>
      </c>
      <c r="I1919" s="181">
        <v>14.020800000000001</v>
      </c>
      <c r="J1919" s="181">
        <v>0</v>
      </c>
      <c r="K1919" s="181">
        <v>0</v>
      </c>
      <c r="L1919" s="181">
        <v>0</v>
      </c>
      <c r="M1919" s="181">
        <v>1194584.191472</v>
      </c>
      <c r="N1919" s="181">
        <v>49652.803919999991</v>
      </c>
      <c r="O1919" s="181">
        <v>32774.127999999997</v>
      </c>
      <c r="P1919" s="181">
        <v>21.4376</v>
      </c>
      <c r="Q1919" s="181">
        <v>1194584.191472</v>
      </c>
      <c r="R1919" s="181">
        <v>49652.803919999991</v>
      </c>
      <c r="S1919" s="181">
        <v>32774.127999999997</v>
      </c>
      <c r="T1919" s="181">
        <v>21.4376</v>
      </c>
      <c r="U1919" s="181">
        <v>2389168.382944</v>
      </c>
      <c r="V1919" s="181">
        <v>0</v>
      </c>
    </row>
    <row r="1920" spans="1:22">
      <c r="A1920" s="2" t="s">
        <v>3858</v>
      </c>
      <c r="B1920" s="2" t="s">
        <v>3859</v>
      </c>
      <c r="C1920" s="181">
        <v>27.679776</v>
      </c>
      <c r="D1920" s="181">
        <v>3529.0251999999996</v>
      </c>
      <c r="E1920" s="181">
        <v>0</v>
      </c>
      <c r="F1920" s="181">
        <v>0</v>
      </c>
      <c r="G1920" s="181">
        <v>0</v>
      </c>
      <c r="H1920" s="181">
        <v>0</v>
      </c>
      <c r="I1920" s="181">
        <v>15.239999999999998</v>
      </c>
      <c r="J1920" s="181">
        <v>0</v>
      </c>
      <c r="K1920" s="181">
        <v>0</v>
      </c>
      <c r="L1920" s="181">
        <v>0</v>
      </c>
      <c r="M1920" s="181">
        <v>2493226.2393439999</v>
      </c>
      <c r="N1920" s="181">
        <v>83901.76767999999</v>
      </c>
      <c r="O1920" s="181">
        <v>56043.758879999994</v>
      </c>
      <c r="P1920" s="181">
        <v>26.669999999999998</v>
      </c>
      <c r="Q1920" s="181">
        <v>2493226.2393439999</v>
      </c>
      <c r="R1920" s="181">
        <v>83901.76767999999</v>
      </c>
      <c r="S1920" s="181">
        <v>56043.758879999994</v>
      </c>
      <c r="T1920" s="181">
        <v>26.669999999999998</v>
      </c>
      <c r="U1920" s="181">
        <v>4994777.1071999995</v>
      </c>
      <c r="V1920" s="181">
        <v>0</v>
      </c>
    </row>
    <row r="1921" spans="1:22">
      <c r="A1921" s="2" t="s">
        <v>3860</v>
      </c>
      <c r="B1921" s="2" t="s">
        <v>3861</v>
      </c>
      <c r="C1921" s="181">
        <v>41.073216000000002</v>
      </c>
      <c r="D1921" s="181">
        <v>5225.7959999999994</v>
      </c>
      <c r="E1921" s="181">
        <v>0</v>
      </c>
      <c r="F1921" s="181">
        <v>0</v>
      </c>
      <c r="G1921" s="181">
        <v>0</v>
      </c>
      <c r="H1921" s="181">
        <v>0</v>
      </c>
      <c r="I1921" s="181">
        <v>17.119599999999998</v>
      </c>
      <c r="J1921" s="181">
        <v>0</v>
      </c>
      <c r="K1921" s="181">
        <v>0</v>
      </c>
      <c r="L1921" s="181">
        <v>0</v>
      </c>
      <c r="M1921" s="181">
        <v>6368340.8116799993</v>
      </c>
      <c r="N1921" s="181">
        <v>163379.02807999999</v>
      </c>
      <c r="O1921" s="181">
        <v>111268.16455999999</v>
      </c>
      <c r="P1921" s="181">
        <v>34.798000000000002</v>
      </c>
      <c r="Q1921" s="181">
        <v>6368340.8116799993</v>
      </c>
      <c r="R1921" s="181">
        <v>163379.02807999999</v>
      </c>
      <c r="S1921" s="181">
        <v>111268.16455999999</v>
      </c>
      <c r="T1921" s="181">
        <v>34.798000000000002</v>
      </c>
      <c r="U1921" s="181">
        <v>12736681.623359999</v>
      </c>
      <c r="V1921" s="181">
        <v>0</v>
      </c>
    </row>
    <row r="1922" spans="1:22">
      <c r="A1922" s="2" t="s">
        <v>3862</v>
      </c>
      <c r="B1922" s="2" t="s">
        <v>3863</v>
      </c>
      <c r="C1922" s="181">
        <v>57.442976000000002</v>
      </c>
      <c r="D1922" s="181">
        <v>7290.308</v>
      </c>
      <c r="E1922" s="181">
        <v>0</v>
      </c>
      <c r="F1922" s="181">
        <v>0</v>
      </c>
      <c r="G1922" s="181">
        <v>0</v>
      </c>
      <c r="H1922" s="181">
        <v>0</v>
      </c>
      <c r="I1922" s="181">
        <v>19.049999999999997</v>
      </c>
      <c r="J1922" s="181">
        <v>0</v>
      </c>
      <c r="K1922" s="181">
        <v>0</v>
      </c>
      <c r="L1922" s="181">
        <v>0</v>
      </c>
      <c r="M1922" s="181">
        <v>13985375.90016</v>
      </c>
      <c r="N1922" s="181">
        <v>286773.62</v>
      </c>
      <c r="O1922" s="181">
        <v>198283.47439999998</v>
      </c>
      <c r="P1922" s="181">
        <v>43.687999999999995</v>
      </c>
      <c r="Q1922" s="181">
        <v>13985375.90016</v>
      </c>
      <c r="R1922" s="181">
        <v>286773.62</v>
      </c>
      <c r="S1922" s="181">
        <v>198283.47439999998</v>
      </c>
      <c r="T1922" s="181">
        <v>43.687999999999995</v>
      </c>
      <c r="U1922" s="181">
        <v>28012374.942879997</v>
      </c>
      <c r="V1922" s="181">
        <v>0</v>
      </c>
    </row>
    <row r="1923" spans="1:22">
      <c r="A1923" s="2" t="s">
        <v>3864</v>
      </c>
      <c r="B1923" s="2" t="s">
        <v>3865</v>
      </c>
      <c r="C1923" s="181">
        <v>79.170112000000003</v>
      </c>
      <c r="D1923" s="181">
        <v>10064.495999999999</v>
      </c>
      <c r="E1923" s="181">
        <v>0</v>
      </c>
      <c r="F1923" s="181">
        <v>0</v>
      </c>
      <c r="G1923" s="181">
        <v>0</v>
      </c>
      <c r="H1923" s="181">
        <v>0</v>
      </c>
      <c r="I1923" s="181">
        <v>21.945599999999999</v>
      </c>
      <c r="J1923" s="181">
        <v>0</v>
      </c>
      <c r="K1923" s="181">
        <v>0</v>
      </c>
      <c r="L1923" s="181">
        <v>0</v>
      </c>
      <c r="M1923" s="181">
        <v>27596143.517279997</v>
      </c>
      <c r="N1923" s="181">
        <v>473586.14959999995</v>
      </c>
      <c r="O1923" s="181">
        <v>327741.27999999997</v>
      </c>
      <c r="P1923" s="181">
        <v>52.323999999999998</v>
      </c>
      <c r="Q1923" s="181">
        <v>27596143.517279997</v>
      </c>
      <c r="R1923" s="181">
        <v>473586.14959999995</v>
      </c>
      <c r="S1923" s="181">
        <v>327741.27999999997</v>
      </c>
      <c r="T1923" s="181">
        <v>52.323999999999998</v>
      </c>
      <c r="U1923" s="181">
        <v>55358779.604799993</v>
      </c>
      <c r="V1923" s="181">
        <v>0</v>
      </c>
    </row>
    <row r="1924" spans="1:22">
      <c r="A1924" s="2" t="s">
        <v>3866</v>
      </c>
      <c r="B1924" s="2" t="s">
        <v>3867</v>
      </c>
      <c r="C1924" s="181">
        <v>107.8916</v>
      </c>
      <c r="D1924" s="181">
        <v>13741.907999999999</v>
      </c>
      <c r="E1924" s="181">
        <v>0</v>
      </c>
      <c r="F1924" s="181">
        <v>0</v>
      </c>
      <c r="G1924" s="181">
        <v>0</v>
      </c>
      <c r="H1924" s="181">
        <v>0</v>
      </c>
      <c r="I1924" s="181">
        <v>22.224999999999998</v>
      </c>
      <c r="J1924" s="181">
        <v>0</v>
      </c>
      <c r="K1924" s="181">
        <v>0</v>
      </c>
      <c r="L1924" s="181">
        <v>0</v>
      </c>
      <c r="M1924" s="181">
        <v>67429490.9472</v>
      </c>
      <c r="N1924" s="181">
        <v>865236.97919999983</v>
      </c>
      <c r="O1924" s="181">
        <v>616153.60639999993</v>
      </c>
      <c r="P1924" s="181">
        <v>70.103999999999985</v>
      </c>
      <c r="Q1924" s="181">
        <v>67429490.9472</v>
      </c>
      <c r="R1924" s="181">
        <v>865236.97919999983</v>
      </c>
      <c r="S1924" s="181">
        <v>616153.60639999993</v>
      </c>
      <c r="T1924" s="181">
        <v>70.103999999999985</v>
      </c>
      <c r="U1924" s="181">
        <v>134858981.8944</v>
      </c>
      <c r="V1924" s="181">
        <v>0</v>
      </c>
    </row>
    <row r="1925" spans="1:22">
      <c r="A1925" s="174" t="s">
        <v>3878</v>
      </c>
      <c r="B1925" s="174" t="s">
        <v>3878</v>
      </c>
      <c r="C1925" s="182">
        <f>D1925*0.00786</f>
        <v>4.9518000000000004</v>
      </c>
      <c r="D1925" s="182">
        <v>630</v>
      </c>
      <c r="E1925" s="182">
        <v>78</v>
      </c>
      <c r="F1925" s="182">
        <v>46</v>
      </c>
      <c r="G1925" s="182">
        <v>3.2</v>
      </c>
      <c r="H1925" s="182">
        <v>4.2</v>
      </c>
      <c r="I1925" s="182"/>
      <c r="J1925" s="182">
        <v>5</v>
      </c>
      <c r="K1925" s="182">
        <f t="shared" ref="K1925:K1988" si="0">F1925/2/H1925</f>
        <v>5.4761904761904763</v>
      </c>
      <c r="L1925" s="182">
        <f>(E1925-2*H1925-2*J1925)/G1925</f>
        <v>18.624999999999996</v>
      </c>
      <c r="M1925" s="182">
        <v>641000</v>
      </c>
      <c r="N1925" s="182">
        <v>18900</v>
      </c>
      <c r="O1925" s="182">
        <v>16400</v>
      </c>
      <c r="P1925" s="182">
        <v>31.9</v>
      </c>
      <c r="Q1925" s="182">
        <v>68500</v>
      </c>
      <c r="R1925" s="182">
        <v>4700</v>
      </c>
      <c r="S1925" s="182">
        <v>2980</v>
      </c>
      <c r="T1925" s="182">
        <v>10.4</v>
      </c>
      <c r="U1925" s="182">
        <v>3830</v>
      </c>
      <c r="V1925" s="182">
        <v>90000000</v>
      </c>
    </row>
    <row r="1926" spans="1:22">
      <c r="A1926" s="174" t="s">
        <v>3879</v>
      </c>
      <c r="B1926" s="174" t="s">
        <v>3879</v>
      </c>
      <c r="C1926" s="182">
        <f t="shared" ref="C1926:C1989" si="1">D1926*0.00786</f>
        <v>5.0304000000000002</v>
      </c>
      <c r="D1926" s="182">
        <v>640</v>
      </c>
      <c r="E1926" s="182">
        <v>78</v>
      </c>
      <c r="F1926" s="182">
        <v>46</v>
      </c>
      <c r="G1926" s="182">
        <v>3.3</v>
      </c>
      <c r="H1926" s="182">
        <v>4.2</v>
      </c>
      <c r="I1926" s="182"/>
      <c r="J1926" s="182">
        <v>5</v>
      </c>
      <c r="K1926" s="182">
        <f t="shared" si="0"/>
        <v>5.4761904761904763</v>
      </c>
      <c r="L1926" s="182">
        <f t="shared" ref="L1926:L1989" si="2">(E1926-2*H1926-2*J1926)/G1926</f>
        <v>18.060606060606059</v>
      </c>
      <c r="M1926" s="182">
        <v>644000</v>
      </c>
      <c r="N1926" s="182">
        <v>19000</v>
      </c>
      <c r="O1926" s="182">
        <v>16500</v>
      </c>
      <c r="P1926" s="182">
        <v>31.8</v>
      </c>
      <c r="Q1926" s="182">
        <v>68500</v>
      </c>
      <c r="R1926" s="182">
        <v>4700</v>
      </c>
      <c r="S1926" s="182">
        <v>2980</v>
      </c>
      <c r="T1926" s="182">
        <v>10.4</v>
      </c>
      <c r="U1926" s="182">
        <v>3930</v>
      </c>
      <c r="V1926" s="182">
        <v>90000000</v>
      </c>
    </row>
    <row r="1927" spans="1:22">
      <c r="A1927" s="174" t="s">
        <v>3880</v>
      </c>
      <c r="B1927" s="174" t="s">
        <v>3880</v>
      </c>
      <c r="C1927" s="182">
        <f t="shared" si="1"/>
        <v>5.9736000000000002</v>
      </c>
      <c r="D1927" s="182">
        <v>760</v>
      </c>
      <c r="E1927" s="182">
        <v>80</v>
      </c>
      <c r="F1927" s="182">
        <v>46</v>
      </c>
      <c r="G1927" s="182">
        <v>3.8</v>
      </c>
      <c r="H1927" s="182">
        <v>5.2</v>
      </c>
      <c r="I1927" s="182"/>
      <c r="J1927" s="182">
        <v>5</v>
      </c>
      <c r="K1927" s="182">
        <f t="shared" si="0"/>
        <v>4.4230769230769234</v>
      </c>
      <c r="L1927" s="182">
        <f t="shared" si="2"/>
        <v>15.684210526315789</v>
      </c>
      <c r="M1927" s="182">
        <v>801000</v>
      </c>
      <c r="N1927" s="182">
        <v>23200</v>
      </c>
      <c r="O1927" s="182">
        <v>20000</v>
      </c>
      <c r="P1927" s="182">
        <v>32.400000000000006</v>
      </c>
      <c r="Q1927" s="182">
        <v>84900</v>
      </c>
      <c r="R1927" s="182">
        <v>5800</v>
      </c>
      <c r="S1927" s="182">
        <v>3690</v>
      </c>
      <c r="T1927" s="182">
        <v>10.5</v>
      </c>
      <c r="U1927" s="182">
        <v>6720</v>
      </c>
      <c r="V1927" s="182">
        <v>120000000</v>
      </c>
    </row>
    <row r="1928" spans="1:22">
      <c r="A1928" s="174" t="s">
        <v>3881</v>
      </c>
      <c r="B1928" s="174" t="s">
        <v>3881</v>
      </c>
      <c r="C1928" s="182">
        <f t="shared" si="1"/>
        <v>6.7596000000000007</v>
      </c>
      <c r="D1928" s="182">
        <v>860</v>
      </c>
      <c r="E1928" s="182">
        <v>97.6</v>
      </c>
      <c r="F1928" s="182">
        <v>55</v>
      </c>
      <c r="G1928" s="182">
        <v>3.6</v>
      </c>
      <c r="H1928" s="182">
        <v>4.5</v>
      </c>
      <c r="I1928" s="182"/>
      <c r="J1928" s="182">
        <v>7</v>
      </c>
      <c r="K1928" s="182">
        <f t="shared" si="0"/>
        <v>6.1111111111111107</v>
      </c>
      <c r="L1928" s="182">
        <f t="shared" si="2"/>
        <v>20.722222222222221</v>
      </c>
      <c r="M1928" s="182">
        <v>1360000</v>
      </c>
      <c r="N1928" s="182">
        <v>31900</v>
      </c>
      <c r="O1928" s="182">
        <v>27900</v>
      </c>
      <c r="P1928" s="182">
        <v>39.799999999999997</v>
      </c>
      <c r="Q1928" s="182">
        <v>126000</v>
      </c>
      <c r="R1928" s="182">
        <v>7200</v>
      </c>
      <c r="S1928" s="182">
        <v>4570</v>
      </c>
      <c r="T1928" s="182">
        <v>12.1</v>
      </c>
      <c r="U1928" s="182">
        <v>6720</v>
      </c>
      <c r="V1928" s="182">
        <v>270000000</v>
      </c>
    </row>
    <row r="1929" spans="1:22">
      <c r="A1929" s="174" t="s">
        <v>3882</v>
      </c>
      <c r="B1929" s="174" t="s">
        <v>3882</v>
      </c>
      <c r="C1929" s="182">
        <f t="shared" si="1"/>
        <v>6.9168000000000012</v>
      </c>
      <c r="D1929" s="182">
        <v>880.00000000000011</v>
      </c>
      <c r="E1929" s="182">
        <v>98</v>
      </c>
      <c r="F1929" s="182">
        <v>55</v>
      </c>
      <c r="G1929" s="182">
        <v>3.6</v>
      </c>
      <c r="H1929" s="182">
        <v>4.7</v>
      </c>
      <c r="I1929" s="182"/>
      <c r="J1929" s="182">
        <v>7</v>
      </c>
      <c r="K1929" s="182">
        <f t="shared" si="0"/>
        <v>5.8510638297872335</v>
      </c>
      <c r="L1929" s="182">
        <f t="shared" si="2"/>
        <v>20.722222222222221</v>
      </c>
      <c r="M1929" s="182">
        <v>1410000</v>
      </c>
      <c r="N1929" s="182">
        <v>33000</v>
      </c>
      <c r="O1929" s="182">
        <v>28800</v>
      </c>
      <c r="P1929" s="182">
        <v>40.099999999999994</v>
      </c>
      <c r="Q1929" s="182">
        <v>131000</v>
      </c>
      <c r="R1929" s="182">
        <v>7500</v>
      </c>
      <c r="S1929" s="182">
        <v>4770</v>
      </c>
      <c r="T1929" s="182">
        <v>12.2</v>
      </c>
      <c r="U1929" s="182">
        <v>7270</v>
      </c>
      <c r="V1929" s="182">
        <v>280000000</v>
      </c>
    </row>
    <row r="1930" spans="1:22">
      <c r="A1930" s="174" t="s">
        <v>3883</v>
      </c>
      <c r="B1930" s="174" t="s">
        <v>3883</v>
      </c>
      <c r="C1930" s="182">
        <f t="shared" si="1"/>
        <v>8.0958000000000006</v>
      </c>
      <c r="D1930" s="182">
        <v>1030</v>
      </c>
      <c r="E1930" s="182">
        <v>100</v>
      </c>
      <c r="F1930" s="182">
        <v>55</v>
      </c>
      <c r="G1930" s="182">
        <v>4.0999999999999996</v>
      </c>
      <c r="H1930" s="182">
        <v>5.7</v>
      </c>
      <c r="I1930" s="182"/>
      <c r="J1930" s="182">
        <v>7</v>
      </c>
      <c r="K1930" s="182">
        <f t="shared" si="0"/>
        <v>4.8245614035087714</v>
      </c>
      <c r="L1930" s="182">
        <f t="shared" si="2"/>
        <v>18.195121951219512</v>
      </c>
      <c r="M1930" s="182">
        <v>1710000</v>
      </c>
      <c r="N1930" s="182">
        <v>39400</v>
      </c>
      <c r="O1930" s="182">
        <v>34200</v>
      </c>
      <c r="P1930" s="182">
        <v>40.700000000000003</v>
      </c>
      <c r="Q1930" s="182">
        <v>159000</v>
      </c>
      <c r="R1930" s="182">
        <v>9200</v>
      </c>
      <c r="S1930" s="182">
        <v>5790</v>
      </c>
      <c r="T1930" s="182">
        <v>12.4</v>
      </c>
      <c r="U1930" s="182">
        <v>11570</v>
      </c>
      <c r="V1930" s="182">
        <v>350000000</v>
      </c>
    </row>
    <row r="1931" spans="1:22">
      <c r="A1931" s="174" t="s">
        <v>3884</v>
      </c>
      <c r="B1931" s="174" t="s">
        <v>3884</v>
      </c>
      <c r="C1931" s="182">
        <f t="shared" si="1"/>
        <v>8.4102000000000015</v>
      </c>
      <c r="D1931" s="182">
        <v>1070</v>
      </c>
      <c r="E1931" s="182">
        <v>117</v>
      </c>
      <c r="F1931" s="182">
        <v>64</v>
      </c>
      <c r="G1931" s="182">
        <v>3.8</v>
      </c>
      <c r="H1931" s="182">
        <v>4.8</v>
      </c>
      <c r="I1931" s="182"/>
      <c r="J1931" s="182">
        <v>7</v>
      </c>
      <c r="K1931" s="182">
        <f t="shared" si="0"/>
        <v>6.666666666666667</v>
      </c>
      <c r="L1931" s="182">
        <f t="shared" si="2"/>
        <v>24.578947368421055</v>
      </c>
      <c r="M1931" s="182">
        <v>2440000</v>
      </c>
      <c r="N1931" s="182">
        <v>47600</v>
      </c>
      <c r="O1931" s="182">
        <v>41700</v>
      </c>
      <c r="P1931" s="182">
        <v>47.9</v>
      </c>
      <c r="Q1931" s="182">
        <v>211000</v>
      </c>
      <c r="R1931" s="182">
        <v>10400</v>
      </c>
      <c r="S1931" s="182">
        <v>6590</v>
      </c>
      <c r="T1931" s="182">
        <v>14.1</v>
      </c>
      <c r="U1931" s="182">
        <v>8900</v>
      </c>
      <c r="V1931" s="182">
        <v>660000000</v>
      </c>
    </row>
    <row r="1932" spans="1:22">
      <c r="A1932" s="174" t="s">
        <v>3885</v>
      </c>
      <c r="B1932" s="174" t="s">
        <v>3885</v>
      </c>
      <c r="C1932" s="182">
        <f t="shared" si="1"/>
        <v>8.6460000000000008</v>
      </c>
      <c r="D1932" s="182">
        <v>1100</v>
      </c>
      <c r="E1932" s="182">
        <v>117.6</v>
      </c>
      <c r="F1932" s="182">
        <v>64</v>
      </c>
      <c r="G1932" s="182">
        <v>3.8</v>
      </c>
      <c r="H1932" s="182">
        <v>5.0999999999999996</v>
      </c>
      <c r="I1932" s="182"/>
      <c r="J1932" s="182">
        <v>7</v>
      </c>
      <c r="K1932" s="182">
        <f t="shared" si="0"/>
        <v>6.2745098039215694</v>
      </c>
      <c r="L1932" s="182">
        <f t="shared" si="2"/>
        <v>24.578947368421051</v>
      </c>
      <c r="M1932" s="182">
        <v>2570000</v>
      </c>
      <c r="N1932" s="182">
        <v>49900</v>
      </c>
      <c r="O1932" s="182">
        <v>43800</v>
      </c>
      <c r="P1932" s="182">
        <v>48.3</v>
      </c>
      <c r="Q1932" s="182">
        <v>224000</v>
      </c>
      <c r="R1932" s="182">
        <v>11000</v>
      </c>
      <c r="S1932" s="182">
        <v>7000</v>
      </c>
      <c r="T1932" s="182">
        <v>14.2</v>
      </c>
      <c r="U1932" s="182">
        <v>9960</v>
      </c>
      <c r="V1932" s="182">
        <v>710000000</v>
      </c>
    </row>
    <row r="1933" spans="1:22">
      <c r="A1933" s="174" t="s">
        <v>3886</v>
      </c>
      <c r="B1933" s="174" t="s">
        <v>3886</v>
      </c>
      <c r="C1933" s="182">
        <f t="shared" si="1"/>
        <v>10.375200000000001</v>
      </c>
      <c r="D1933" s="182">
        <v>1320</v>
      </c>
      <c r="E1933" s="182">
        <v>120</v>
      </c>
      <c r="F1933" s="182">
        <v>64</v>
      </c>
      <c r="G1933" s="182">
        <v>4.4000000000000004</v>
      </c>
      <c r="H1933" s="182">
        <v>6.3</v>
      </c>
      <c r="I1933" s="182"/>
      <c r="J1933" s="182">
        <v>7</v>
      </c>
      <c r="K1933" s="182">
        <f t="shared" si="0"/>
        <v>5.0793650793650791</v>
      </c>
      <c r="L1933" s="182">
        <f t="shared" si="2"/>
        <v>21.227272727272727</v>
      </c>
      <c r="M1933" s="182">
        <v>3180000</v>
      </c>
      <c r="N1933" s="182">
        <v>60700</v>
      </c>
      <c r="O1933" s="182">
        <v>53000</v>
      </c>
      <c r="P1933" s="182">
        <v>49</v>
      </c>
      <c r="Q1933" s="182">
        <v>277000</v>
      </c>
      <c r="R1933" s="182">
        <v>13600</v>
      </c>
      <c r="S1933" s="182">
        <v>8650</v>
      </c>
      <c r="T1933" s="182">
        <v>14.5</v>
      </c>
      <c r="U1933" s="182">
        <v>16900</v>
      </c>
      <c r="V1933" s="182">
        <v>890000000</v>
      </c>
    </row>
    <row r="1934" spans="1:22">
      <c r="A1934" s="174" t="s">
        <v>3887</v>
      </c>
      <c r="B1934" s="174" t="s">
        <v>3887</v>
      </c>
      <c r="C1934" s="182">
        <f t="shared" si="1"/>
        <v>10.0608</v>
      </c>
      <c r="D1934" s="182">
        <v>1280</v>
      </c>
      <c r="E1934" s="182">
        <v>136.6</v>
      </c>
      <c r="F1934" s="182">
        <v>73</v>
      </c>
      <c r="G1934" s="182">
        <v>3.8</v>
      </c>
      <c r="H1934" s="182">
        <v>5.2</v>
      </c>
      <c r="I1934" s="182"/>
      <c r="J1934" s="182">
        <v>7</v>
      </c>
      <c r="K1934" s="182">
        <f t="shared" si="0"/>
        <v>7.0192307692307692</v>
      </c>
      <c r="L1934" s="182">
        <f t="shared" si="2"/>
        <v>29.526315789473681</v>
      </c>
      <c r="M1934" s="182">
        <v>4070000</v>
      </c>
      <c r="N1934" s="182">
        <v>67600</v>
      </c>
      <c r="O1934" s="182">
        <v>59700</v>
      </c>
      <c r="P1934" s="182">
        <v>56.4</v>
      </c>
      <c r="Q1934" s="182">
        <v>338000</v>
      </c>
      <c r="R1934" s="182">
        <v>14500</v>
      </c>
      <c r="S1934" s="182">
        <v>9270</v>
      </c>
      <c r="T1934" s="182">
        <v>16.299999999999997</v>
      </c>
      <c r="U1934" s="182">
        <v>11530</v>
      </c>
      <c r="V1934" s="182">
        <v>1460000000</v>
      </c>
    </row>
    <row r="1935" spans="1:22">
      <c r="A1935" s="174" t="s">
        <v>3888</v>
      </c>
      <c r="B1935" s="174" t="s">
        <v>3888</v>
      </c>
      <c r="C1935" s="182">
        <f t="shared" si="1"/>
        <v>10.532400000000001</v>
      </c>
      <c r="D1935" s="182">
        <v>1340</v>
      </c>
      <c r="E1935" s="182">
        <v>137.4</v>
      </c>
      <c r="F1935" s="182">
        <v>73</v>
      </c>
      <c r="G1935" s="182">
        <v>3.8</v>
      </c>
      <c r="H1935" s="182">
        <v>5.6</v>
      </c>
      <c r="I1935" s="182"/>
      <c r="J1935" s="182">
        <v>7</v>
      </c>
      <c r="K1935" s="182">
        <f t="shared" si="0"/>
        <v>6.5178571428571432</v>
      </c>
      <c r="L1935" s="182">
        <f t="shared" si="2"/>
        <v>29.526315789473685</v>
      </c>
      <c r="M1935" s="182">
        <v>4350000</v>
      </c>
      <c r="N1935" s="182">
        <v>71600</v>
      </c>
      <c r="O1935" s="182">
        <v>63300</v>
      </c>
      <c r="P1935" s="182">
        <v>57</v>
      </c>
      <c r="Q1935" s="182">
        <v>364000</v>
      </c>
      <c r="R1935" s="182">
        <v>15500</v>
      </c>
      <c r="S1935" s="182">
        <v>10000</v>
      </c>
      <c r="T1935" s="182">
        <v>16.5</v>
      </c>
      <c r="U1935" s="182">
        <v>13380</v>
      </c>
      <c r="V1935" s="182">
        <v>1580000000</v>
      </c>
    </row>
    <row r="1936" spans="1:22">
      <c r="A1936" s="174" t="s">
        <v>3889</v>
      </c>
      <c r="B1936" s="174" t="s">
        <v>3889</v>
      </c>
      <c r="C1936" s="182">
        <f t="shared" si="1"/>
        <v>12.8904</v>
      </c>
      <c r="D1936" s="182">
        <v>1639.9999999999998</v>
      </c>
      <c r="E1936" s="182">
        <v>140</v>
      </c>
      <c r="F1936" s="182">
        <v>73</v>
      </c>
      <c r="G1936" s="182">
        <v>4.7</v>
      </c>
      <c r="H1936" s="182">
        <v>6.9</v>
      </c>
      <c r="I1936" s="182"/>
      <c r="J1936" s="182">
        <v>7</v>
      </c>
      <c r="K1936" s="182">
        <f t="shared" si="0"/>
        <v>5.2898550724637676</v>
      </c>
      <c r="L1936" s="182">
        <f t="shared" si="2"/>
        <v>23.872340425531913</v>
      </c>
      <c r="M1936" s="182">
        <v>5410000</v>
      </c>
      <c r="N1936" s="182">
        <v>88300</v>
      </c>
      <c r="O1936" s="182">
        <v>77300</v>
      </c>
      <c r="P1936" s="182">
        <v>57.400000000000006</v>
      </c>
      <c r="Q1936" s="182">
        <v>449000</v>
      </c>
      <c r="R1936" s="182">
        <v>19300</v>
      </c>
      <c r="S1936" s="182">
        <v>12300</v>
      </c>
      <c r="T1936" s="182">
        <v>16.5</v>
      </c>
      <c r="U1936" s="182">
        <v>23990</v>
      </c>
      <c r="V1936" s="182">
        <v>1980000000</v>
      </c>
    </row>
    <row r="1937" spans="1:22">
      <c r="A1937" s="174" t="s">
        <v>3890</v>
      </c>
      <c r="B1937" s="174" t="s">
        <v>3890</v>
      </c>
      <c r="C1937" s="182">
        <f t="shared" si="1"/>
        <v>12.340200000000001</v>
      </c>
      <c r="D1937" s="182">
        <v>1570</v>
      </c>
      <c r="E1937" s="182">
        <v>156.4</v>
      </c>
      <c r="F1937" s="182">
        <v>82</v>
      </c>
      <c r="G1937" s="182">
        <v>4</v>
      </c>
      <c r="H1937" s="182">
        <v>5.6</v>
      </c>
      <c r="I1937" s="182"/>
      <c r="J1937" s="182">
        <v>9</v>
      </c>
      <c r="K1937" s="182">
        <f t="shared" si="0"/>
        <v>7.3214285714285721</v>
      </c>
      <c r="L1937" s="182">
        <f t="shared" si="2"/>
        <v>31.800000000000004</v>
      </c>
      <c r="M1937" s="182">
        <v>6590000</v>
      </c>
      <c r="N1937" s="182">
        <v>95200</v>
      </c>
      <c r="O1937" s="182">
        <v>84300</v>
      </c>
      <c r="P1937" s="182">
        <v>64.800000000000011</v>
      </c>
      <c r="Q1937" s="182">
        <v>517000</v>
      </c>
      <c r="R1937" s="182">
        <v>19700</v>
      </c>
      <c r="S1937" s="182">
        <v>12600</v>
      </c>
      <c r="T1937" s="182">
        <v>18.100000000000001</v>
      </c>
      <c r="U1937" s="182">
        <v>17500</v>
      </c>
      <c r="V1937" s="182">
        <v>2930000000</v>
      </c>
    </row>
    <row r="1938" spans="1:22">
      <c r="A1938" s="174" t="s">
        <v>3891</v>
      </c>
      <c r="B1938" s="174" t="s">
        <v>3891</v>
      </c>
      <c r="C1938" s="182">
        <f t="shared" si="1"/>
        <v>12.733200000000002</v>
      </c>
      <c r="D1938" s="182">
        <v>1620</v>
      </c>
      <c r="E1938" s="182">
        <v>157</v>
      </c>
      <c r="F1938" s="182">
        <v>82</v>
      </c>
      <c r="G1938" s="182">
        <v>4</v>
      </c>
      <c r="H1938" s="182">
        <v>5.9</v>
      </c>
      <c r="I1938" s="182"/>
      <c r="J1938" s="182">
        <v>9</v>
      </c>
      <c r="K1938" s="182">
        <f t="shared" si="0"/>
        <v>6.9491525423728806</v>
      </c>
      <c r="L1938" s="182">
        <f t="shared" si="2"/>
        <v>31.799999999999997</v>
      </c>
      <c r="M1938" s="182">
        <v>6890000</v>
      </c>
      <c r="N1938" s="182">
        <v>99100</v>
      </c>
      <c r="O1938" s="182">
        <v>87800</v>
      </c>
      <c r="P1938" s="182">
        <v>65.3</v>
      </c>
      <c r="Q1938" s="182">
        <v>544000</v>
      </c>
      <c r="R1938" s="182">
        <v>20700</v>
      </c>
      <c r="S1938" s="182">
        <v>13300</v>
      </c>
      <c r="T1938" s="182">
        <v>18.3</v>
      </c>
      <c r="U1938" s="182">
        <v>19340</v>
      </c>
      <c r="V1938" s="182">
        <v>3090000000</v>
      </c>
    </row>
    <row r="1939" spans="1:22">
      <c r="A1939" s="174" t="s">
        <v>3892</v>
      </c>
      <c r="B1939" s="174" t="s">
        <v>3892</v>
      </c>
      <c r="C1939" s="182">
        <f t="shared" si="1"/>
        <v>15.798600000000004</v>
      </c>
      <c r="D1939" s="182">
        <v>2010.0000000000002</v>
      </c>
      <c r="E1939" s="182">
        <v>160</v>
      </c>
      <c r="F1939" s="182">
        <v>82</v>
      </c>
      <c r="G1939" s="182">
        <v>5</v>
      </c>
      <c r="H1939" s="182">
        <v>7.4</v>
      </c>
      <c r="I1939" s="182"/>
      <c r="J1939" s="182">
        <v>9</v>
      </c>
      <c r="K1939" s="182">
        <f t="shared" si="0"/>
        <v>5.5405405405405403</v>
      </c>
      <c r="L1939" s="182">
        <f t="shared" si="2"/>
        <v>25.439999999999998</v>
      </c>
      <c r="M1939" s="182">
        <v>8690000</v>
      </c>
      <c r="N1939" s="182">
        <v>124000</v>
      </c>
      <c r="O1939" s="182">
        <v>109000</v>
      </c>
      <c r="P1939" s="182">
        <v>65.8</v>
      </c>
      <c r="Q1939" s="182">
        <v>683000</v>
      </c>
      <c r="R1939" s="182">
        <v>26100</v>
      </c>
      <c r="S1939" s="182">
        <v>16700</v>
      </c>
      <c r="T1939" s="182">
        <v>18.400000000000002</v>
      </c>
      <c r="U1939" s="182">
        <v>35410</v>
      </c>
      <c r="V1939" s="182">
        <v>3960000000</v>
      </c>
    </row>
    <row r="1940" spans="1:22">
      <c r="A1940" s="174" t="s">
        <v>3893</v>
      </c>
      <c r="B1940" s="174" t="s">
        <v>3893</v>
      </c>
      <c r="C1940" s="182">
        <f t="shared" si="1"/>
        <v>14.934000000000001</v>
      </c>
      <c r="D1940" s="182">
        <v>1900</v>
      </c>
      <c r="E1940" s="182">
        <v>176.4</v>
      </c>
      <c r="F1940" s="182">
        <v>91</v>
      </c>
      <c r="G1940" s="182">
        <v>4.3</v>
      </c>
      <c r="H1940" s="182">
        <v>6.2</v>
      </c>
      <c r="I1940" s="182"/>
      <c r="J1940" s="182">
        <v>9</v>
      </c>
      <c r="K1940" s="182">
        <f t="shared" si="0"/>
        <v>7.338709677419355</v>
      </c>
      <c r="L1940" s="182">
        <f t="shared" si="2"/>
        <v>33.953488372093027</v>
      </c>
      <c r="M1940" s="182">
        <v>10200000</v>
      </c>
      <c r="N1940" s="182">
        <v>131000</v>
      </c>
      <c r="O1940" s="182">
        <v>116000</v>
      </c>
      <c r="P1940" s="182">
        <v>73.2</v>
      </c>
      <c r="Q1940" s="182">
        <v>781000</v>
      </c>
      <c r="R1940" s="182">
        <v>26700</v>
      </c>
      <c r="S1940" s="182">
        <v>17200</v>
      </c>
      <c r="T1940" s="182">
        <v>20.299999999999997</v>
      </c>
      <c r="U1940" s="182">
        <v>24320</v>
      </c>
      <c r="V1940" s="182">
        <v>5640000000</v>
      </c>
    </row>
    <row r="1941" spans="1:22">
      <c r="A1941" s="174" t="s">
        <v>3894</v>
      </c>
      <c r="B1941" s="174" t="s">
        <v>3894</v>
      </c>
      <c r="C1941" s="182">
        <f t="shared" si="1"/>
        <v>15.405600000000003</v>
      </c>
      <c r="D1941" s="182">
        <v>1960.0000000000002</v>
      </c>
      <c r="E1941" s="182">
        <v>177</v>
      </c>
      <c r="F1941" s="182">
        <v>91</v>
      </c>
      <c r="G1941" s="182">
        <v>4.3</v>
      </c>
      <c r="H1941" s="182">
        <v>6.5</v>
      </c>
      <c r="I1941" s="182"/>
      <c r="J1941" s="182">
        <v>9</v>
      </c>
      <c r="K1941" s="182">
        <f t="shared" si="0"/>
        <v>7</v>
      </c>
      <c r="L1941" s="182">
        <f t="shared" si="2"/>
        <v>33.953488372093027</v>
      </c>
      <c r="M1941" s="182">
        <v>10630000</v>
      </c>
      <c r="N1941" s="182">
        <v>135000</v>
      </c>
      <c r="O1941" s="182">
        <v>120000</v>
      </c>
      <c r="P1941" s="182">
        <v>73.7</v>
      </c>
      <c r="Q1941" s="182">
        <v>819000</v>
      </c>
      <c r="R1941" s="182">
        <v>28000</v>
      </c>
      <c r="S1941" s="182">
        <v>18000</v>
      </c>
      <c r="T1941" s="182">
        <v>20.5</v>
      </c>
      <c r="U1941" s="182">
        <v>26730</v>
      </c>
      <c r="V1941" s="182">
        <v>5930000000</v>
      </c>
    </row>
    <row r="1942" spans="1:22">
      <c r="A1942" s="174" t="s">
        <v>3895</v>
      </c>
      <c r="B1942" s="174" t="s">
        <v>3895</v>
      </c>
      <c r="C1942" s="182">
        <f t="shared" si="1"/>
        <v>18.785400000000003</v>
      </c>
      <c r="D1942" s="182">
        <v>2390</v>
      </c>
      <c r="E1942" s="182">
        <v>180</v>
      </c>
      <c r="F1942" s="182">
        <v>91</v>
      </c>
      <c r="G1942" s="182">
        <v>5.3</v>
      </c>
      <c r="H1942" s="182">
        <v>8</v>
      </c>
      <c r="I1942" s="182"/>
      <c r="J1942" s="182">
        <v>9</v>
      </c>
      <c r="K1942" s="182">
        <f t="shared" si="0"/>
        <v>5.6875</v>
      </c>
      <c r="L1942" s="182">
        <f t="shared" si="2"/>
        <v>27.547169811320757</v>
      </c>
      <c r="M1942" s="182">
        <v>13170000</v>
      </c>
      <c r="N1942" s="182">
        <v>166000</v>
      </c>
      <c r="O1942" s="182">
        <v>146000</v>
      </c>
      <c r="P1942" s="182">
        <v>74.2</v>
      </c>
      <c r="Q1942" s="182">
        <v>1010000</v>
      </c>
      <c r="R1942" s="182">
        <v>34600</v>
      </c>
      <c r="S1942" s="182">
        <v>22200</v>
      </c>
      <c r="T1942" s="182">
        <v>20.5</v>
      </c>
      <c r="U1942" s="182">
        <v>47260</v>
      </c>
      <c r="V1942" s="182">
        <v>7430000000</v>
      </c>
    </row>
    <row r="1943" spans="1:22">
      <c r="A1943" s="174" t="s">
        <v>3896</v>
      </c>
      <c r="B1943" s="174" t="s">
        <v>3896</v>
      </c>
      <c r="C1943" s="182">
        <f t="shared" si="1"/>
        <v>21.300600000000003</v>
      </c>
      <c r="D1943" s="182">
        <v>2710</v>
      </c>
      <c r="E1943" s="182">
        <v>182</v>
      </c>
      <c r="F1943" s="182">
        <v>92</v>
      </c>
      <c r="G1943" s="182">
        <v>6</v>
      </c>
      <c r="H1943" s="182">
        <v>9</v>
      </c>
      <c r="I1943" s="182"/>
      <c r="J1943" s="182">
        <v>9</v>
      </c>
      <c r="K1943" s="182">
        <f t="shared" si="0"/>
        <v>5.1111111111111107</v>
      </c>
      <c r="L1943" s="182">
        <f t="shared" si="2"/>
        <v>24.333333333333332</v>
      </c>
      <c r="M1943" s="182">
        <v>15050000</v>
      </c>
      <c r="N1943" s="182">
        <v>189000</v>
      </c>
      <c r="O1943" s="182">
        <v>165000</v>
      </c>
      <c r="P1943" s="182">
        <v>74.5</v>
      </c>
      <c r="Q1943" s="182">
        <v>1170000</v>
      </c>
      <c r="R1943" s="182">
        <v>39900</v>
      </c>
      <c r="S1943" s="182">
        <v>25500</v>
      </c>
      <c r="T1943" s="182">
        <v>20.8</v>
      </c>
      <c r="U1943" s="182">
        <v>66470</v>
      </c>
      <c r="V1943" s="182">
        <v>8740000000</v>
      </c>
    </row>
    <row r="1944" spans="1:22">
      <c r="A1944" s="174" t="s">
        <v>3897</v>
      </c>
      <c r="B1944" s="174" t="s">
        <v>3897</v>
      </c>
      <c r="C1944" s="182">
        <f t="shared" si="1"/>
        <v>17.999400000000001</v>
      </c>
      <c r="D1944" s="182">
        <v>2290</v>
      </c>
      <c r="E1944" s="182">
        <v>196.4</v>
      </c>
      <c r="F1944" s="182">
        <v>100</v>
      </c>
      <c r="G1944" s="182">
        <v>4.5</v>
      </c>
      <c r="H1944" s="182">
        <v>6.7</v>
      </c>
      <c r="I1944" s="182"/>
      <c r="J1944" s="182">
        <v>12</v>
      </c>
      <c r="K1944" s="182">
        <f t="shared" si="0"/>
        <v>7.4626865671641793</v>
      </c>
      <c r="L1944" s="182">
        <f t="shared" si="2"/>
        <v>35.333333333333336</v>
      </c>
      <c r="M1944" s="182">
        <v>15330000</v>
      </c>
      <c r="N1944" s="182">
        <v>176000</v>
      </c>
      <c r="O1944" s="182">
        <v>156000</v>
      </c>
      <c r="P1944" s="182">
        <v>81.899999999999991</v>
      </c>
      <c r="Q1944" s="182">
        <v>1120000</v>
      </c>
      <c r="R1944" s="182">
        <v>35000</v>
      </c>
      <c r="S1944" s="182">
        <v>22400</v>
      </c>
      <c r="T1944" s="182">
        <v>22.1</v>
      </c>
      <c r="U1944" s="182">
        <v>38090</v>
      </c>
      <c r="V1944" s="182">
        <v>10100000000</v>
      </c>
    </row>
    <row r="1945" spans="1:22">
      <c r="A1945" s="174" t="s">
        <v>3898</v>
      </c>
      <c r="B1945" s="174" t="s">
        <v>3898</v>
      </c>
      <c r="C1945" s="182">
        <f t="shared" si="1"/>
        <v>18.471</v>
      </c>
      <c r="D1945" s="182">
        <v>2350</v>
      </c>
      <c r="E1945" s="182">
        <v>197</v>
      </c>
      <c r="F1945" s="182">
        <v>100</v>
      </c>
      <c r="G1945" s="182">
        <v>4.5</v>
      </c>
      <c r="H1945" s="182">
        <v>7</v>
      </c>
      <c r="I1945" s="182"/>
      <c r="J1945" s="182">
        <v>12</v>
      </c>
      <c r="K1945" s="182">
        <f t="shared" si="0"/>
        <v>7.1428571428571432</v>
      </c>
      <c r="L1945" s="182">
        <f t="shared" si="2"/>
        <v>35.333333333333336</v>
      </c>
      <c r="M1945" s="182">
        <v>15910000</v>
      </c>
      <c r="N1945" s="182">
        <v>182000</v>
      </c>
      <c r="O1945" s="182">
        <v>162000</v>
      </c>
      <c r="P1945" s="182">
        <v>82.300000000000011</v>
      </c>
      <c r="Q1945" s="182">
        <v>1170000</v>
      </c>
      <c r="R1945" s="182">
        <v>36500</v>
      </c>
      <c r="S1945" s="182">
        <v>23400</v>
      </c>
      <c r="T1945" s="182">
        <v>22.3</v>
      </c>
      <c r="U1945" s="182">
        <v>41350</v>
      </c>
      <c r="V1945" s="182">
        <v>10500000000</v>
      </c>
    </row>
    <row r="1946" spans="1:22">
      <c r="A1946" s="174" t="s">
        <v>3899</v>
      </c>
      <c r="B1946" s="174" t="s">
        <v>3899</v>
      </c>
      <c r="C1946" s="182">
        <f t="shared" si="1"/>
        <v>22.401000000000003</v>
      </c>
      <c r="D1946" s="182">
        <v>2850</v>
      </c>
      <c r="E1946" s="182">
        <v>200</v>
      </c>
      <c r="F1946" s="182">
        <v>100</v>
      </c>
      <c r="G1946" s="182">
        <v>5.6</v>
      </c>
      <c r="H1946" s="182">
        <v>8.5</v>
      </c>
      <c r="I1946" s="182"/>
      <c r="J1946" s="182">
        <v>12</v>
      </c>
      <c r="K1946" s="182">
        <f t="shared" si="0"/>
        <v>5.882352941176471</v>
      </c>
      <c r="L1946" s="182">
        <f t="shared" si="2"/>
        <v>28.392857142857146</v>
      </c>
      <c r="M1946" s="182">
        <v>19430000</v>
      </c>
      <c r="N1946" s="182">
        <v>221000</v>
      </c>
      <c r="O1946" s="182">
        <v>194000</v>
      </c>
      <c r="P1946" s="182">
        <v>82.6</v>
      </c>
      <c r="Q1946" s="182">
        <v>1420000</v>
      </c>
      <c r="R1946" s="182">
        <v>44600</v>
      </c>
      <c r="S1946" s="182">
        <v>28500</v>
      </c>
      <c r="T1946" s="182">
        <v>22.400000000000002</v>
      </c>
      <c r="U1946" s="182">
        <v>69160</v>
      </c>
      <c r="V1946" s="182">
        <v>13000000000</v>
      </c>
    </row>
    <row r="1947" spans="1:22">
      <c r="A1947" s="174" t="s">
        <v>3900</v>
      </c>
      <c r="B1947" s="174" t="s">
        <v>3900</v>
      </c>
      <c r="C1947" s="182">
        <f t="shared" si="1"/>
        <v>25.152000000000001</v>
      </c>
      <c r="D1947" s="182">
        <v>3200</v>
      </c>
      <c r="E1947" s="182">
        <v>202</v>
      </c>
      <c r="F1947" s="182">
        <v>102</v>
      </c>
      <c r="G1947" s="182">
        <v>6.2</v>
      </c>
      <c r="H1947" s="182">
        <v>9.5</v>
      </c>
      <c r="I1947" s="182"/>
      <c r="J1947" s="182">
        <v>12</v>
      </c>
      <c r="K1947" s="182">
        <f t="shared" si="0"/>
        <v>5.3684210526315788</v>
      </c>
      <c r="L1947" s="182">
        <f t="shared" si="2"/>
        <v>25.64516129032258</v>
      </c>
      <c r="M1947" s="182">
        <v>22110000</v>
      </c>
      <c r="N1947" s="182">
        <v>249000</v>
      </c>
      <c r="O1947" s="182">
        <v>219000</v>
      </c>
      <c r="P1947" s="182">
        <v>83.2</v>
      </c>
      <c r="Q1947" s="182">
        <v>1690000</v>
      </c>
      <c r="R1947" s="182">
        <v>51900</v>
      </c>
      <c r="S1947" s="182">
        <v>33100</v>
      </c>
      <c r="T1947" s="182">
        <v>23</v>
      </c>
      <c r="U1947" s="182">
        <v>93570</v>
      </c>
      <c r="V1947" s="182">
        <v>15600000000</v>
      </c>
    </row>
    <row r="1948" spans="1:22">
      <c r="A1948" s="174" t="s">
        <v>3901</v>
      </c>
      <c r="B1948" s="174" t="s">
        <v>3901</v>
      </c>
      <c r="C1948" s="182">
        <f t="shared" si="1"/>
        <v>21.222000000000001</v>
      </c>
      <c r="D1948" s="182">
        <v>2700</v>
      </c>
      <c r="E1948" s="182">
        <v>216.4</v>
      </c>
      <c r="F1948" s="182">
        <v>110</v>
      </c>
      <c r="G1948" s="182">
        <v>4.7</v>
      </c>
      <c r="H1948" s="182">
        <v>7.4</v>
      </c>
      <c r="I1948" s="182"/>
      <c r="J1948" s="182">
        <v>12</v>
      </c>
      <c r="K1948" s="182">
        <f t="shared" si="0"/>
        <v>7.4324324324324325</v>
      </c>
      <c r="L1948" s="182">
        <f t="shared" si="2"/>
        <v>37.787234042553187</v>
      </c>
      <c r="M1948" s="182">
        <v>22190000</v>
      </c>
      <c r="N1948" s="182">
        <v>230000</v>
      </c>
      <c r="O1948" s="182">
        <v>205000</v>
      </c>
      <c r="P1948" s="182">
        <v>90.7</v>
      </c>
      <c r="Q1948" s="182">
        <v>1650000</v>
      </c>
      <c r="R1948" s="182">
        <v>46500</v>
      </c>
      <c r="S1948" s="182">
        <v>29900</v>
      </c>
      <c r="T1948" s="182">
        <v>24.700000000000003</v>
      </c>
      <c r="U1948" s="182">
        <v>50570.000000000007</v>
      </c>
      <c r="V1948" s="182">
        <v>17900000000</v>
      </c>
    </row>
    <row r="1949" spans="1:22">
      <c r="A1949" s="174" t="s">
        <v>3902</v>
      </c>
      <c r="B1949" s="174" t="s">
        <v>3902</v>
      </c>
      <c r="C1949" s="182">
        <f t="shared" si="1"/>
        <v>22.2438</v>
      </c>
      <c r="D1949" s="182">
        <v>2830</v>
      </c>
      <c r="E1949" s="182">
        <v>217</v>
      </c>
      <c r="F1949" s="182">
        <v>110</v>
      </c>
      <c r="G1949" s="182">
        <v>5</v>
      </c>
      <c r="H1949" s="182">
        <v>7.7</v>
      </c>
      <c r="I1949" s="182"/>
      <c r="J1949" s="182">
        <v>12</v>
      </c>
      <c r="K1949" s="182">
        <f t="shared" si="0"/>
        <v>7.1428571428571423</v>
      </c>
      <c r="L1949" s="182">
        <f t="shared" si="2"/>
        <v>35.519999999999996</v>
      </c>
      <c r="M1949" s="182">
        <v>23170000</v>
      </c>
      <c r="N1949" s="182">
        <v>240000</v>
      </c>
      <c r="O1949" s="182">
        <v>214000</v>
      </c>
      <c r="P1949" s="182">
        <v>90.5</v>
      </c>
      <c r="Q1949" s="182">
        <v>1710000</v>
      </c>
      <c r="R1949" s="182">
        <v>48500</v>
      </c>
      <c r="S1949" s="182">
        <v>31200</v>
      </c>
      <c r="T1949" s="182">
        <v>24.6</v>
      </c>
      <c r="U1949" s="182">
        <v>56790</v>
      </c>
      <c r="V1949" s="182">
        <v>18700000000</v>
      </c>
    </row>
    <row r="1950" spans="1:22">
      <c r="A1950" s="174" t="s">
        <v>3903</v>
      </c>
      <c r="B1950" s="174" t="s">
        <v>3903</v>
      </c>
      <c r="C1950" s="182">
        <f t="shared" si="1"/>
        <v>26.252400000000002</v>
      </c>
      <c r="D1950" s="182">
        <v>3340</v>
      </c>
      <c r="E1950" s="182">
        <v>220</v>
      </c>
      <c r="F1950" s="182">
        <v>110</v>
      </c>
      <c r="G1950" s="182">
        <v>5.9</v>
      </c>
      <c r="H1950" s="182">
        <v>9.1999999999999993</v>
      </c>
      <c r="I1950" s="182"/>
      <c r="J1950" s="182">
        <v>12</v>
      </c>
      <c r="K1950" s="182">
        <f t="shared" si="0"/>
        <v>5.9782608695652177</v>
      </c>
      <c r="L1950" s="182">
        <f t="shared" si="2"/>
        <v>30.101694915254235</v>
      </c>
      <c r="M1950" s="182">
        <v>27720000</v>
      </c>
      <c r="N1950" s="182">
        <v>285000</v>
      </c>
      <c r="O1950" s="182">
        <v>252000</v>
      </c>
      <c r="P1950" s="182">
        <v>91.1</v>
      </c>
      <c r="Q1950" s="182">
        <v>2050000</v>
      </c>
      <c r="R1950" s="182">
        <v>58100</v>
      </c>
      <c r="S1950" s="182">
        <v>37300</v>
      </c>
      <c r="T1950" s="182">
        <v>24.8</v>
      </c>
      <c r="U1950" s="182">
        <v>90310</v>
      </c>
      <c r="V1950" s="182">
        <v>22700000000</v>
      </c>
    </row>
    <row r="1951" spans="1:22">
      <c r="A1951" s="174" t="s">
        <v>3904</v>
      </c>
      <c r="B1951" s="174" t="s">
        <v>3904</v>
      </c>
      <c r="C1951" s="182">
        <f t="shared" si="1"/>
        <v>29.396400000000003</v>
      </c>
      <c r="D1951" s="182">
        <v>3740</v>
      </c>
      <c r="E1951" s="182">
        <v>222</v>
      </c>
      <c r="F1951" s="182">
        <v>112</v>
      </c>
      <c r="G1951" s="182">
        <v>6.6</v>
      </c>
      <c r="H1951" s="182">
        <v>10.199999999999999</v>
      </c>
      <c r="I1951" s="182"/>
      <c r="J1951" s="182">
        <v>12</v>
      </c>
      <c r="K1951" s="182">
        <f t="shared" si="0"/>
        <v>5.4901960784313726</v>
      </c>
      <c r="L1951" s="182">
        <f t="shared" si="2"/>
        <v>26.90909090909091</v>
      </c>
      <c r="M1951" s="182">
        <v>31340000</v>
      </c>
      <c r="N1951" s="182">
        <v>321000</v>
      </c>
      <c r="O1951" s="182">
        <v>282000</v>
      </c>
      <c r="P1951" s="182">
        <v>91.6</v>
      </c>
      <c r="Q1951" s="182">
        <v>2400000</v>
      </c>
      <c r="R1951" s="182">
        <v>66900</v>
      </c>
      <c r="S1951" s="182">
        <v>42800</v>
      </c>
      <c r="T1951" s="182">
        <v>25.299999999999997</v>
      </c>
      <c r="U1951" s="182">
        <v>121700</v>
      </c>
      <c r="V1951" s="182">
        <v>26800000000</v>
      </c>
    </row>
    <row r="1952" spans="1:22">
      <c r="A1952" s="174" t="s">
        <v>3905</v>
      </c>
      <c r="B1952" s="174" t="s">
        <v>3905</v>
      </c>
      <c r="C1952" s="182">
        <f t="shared" si="1"/>
        <v>24.916200000000003</v>
      </c>
      <c r="D1952" s="182">
        <v>3170</v>
      </c>
      <c r="E1952" s="182">
        <v>236.4</v>
      </c>
      <c r="F1952" s="182">
        <v>120</v>
      </c>
      <c r="G1952" s="182">
        <v>4.8</v>
      </c>
      <c r="H1952" s="182">
        <v>8</v>
      </c>
      <c r="I1952" s="182"/>
      <c r="J1952" s="182">
        <v>15</v>
      </c>
      <c r="K1952" s="182">
        <f t="shared" si="0"/>
        <v>7.5</v>
      </c>
      <c r="L1952" s="182">
        <f t="shared" si="2"/>
        <v>39.666666666666671</v>
      </c>
      <c r="M1952" s="182">
        <v>31540000</v>
      </c>
      <c r="N1952" s="182">
        <v>298000</v>
      </c>
      <c r="O1952" s="182">
        <v>267000</v>
      </c>
      <c r="P1952" s="182">
        <v>99.7</v>
      </c>
      <c r="Q1952" s="182">
        <v>2310000</v>
      </c>
      <c r="R1952" s="182">
        <v>60000</v>
      </c>
      <c r="S1952" s="182">
        <v>38600</v>
      </c>
      <c r="T1952" s="182">
        <v>27</v>
      </c>
      <c r="U1952" s="182">
        <v>76080</v>
      </c>
      <c r="V1952" s="182">
        <v>30100000000</v>
      </c>
    </row>
    <row r="1953" spans="1:22">
      <c r="A1953" s="174" t="s">
        <v>3906</v>
      </c>
      <c r="B1953" s="174" t="s">
        <v>3906</v>
      </c>
      <c r="C1953" s="182">
        <f t="shared" si="1"/>
        <v>26.1738</v>
      </c>
      <c r="D1953" s="182">
        <v>3329.9999999999995</v>
      </c>
      <c r="E1953" s="182">
        <v>237</v>
      </c>
      <c r="F1953" s="182">
        <v>120</v>
      </c>
      <c r="G1953" s="182">
        <v>5.2</v>
      </c>
      <c r="H1953" s="182">
        <v>8.3000000000000007</v>
      </c>
      <c r="I1953" s="182"/>
      <c r="J1953" s="182">
        <v>15</v>
      </c>
      <c r="K1953" s="182">
        <f t="shared" si="0"/>
        <v>7.2289156626506017</v>
      </c>
      <c r="L1953" s="182">
        <f t="shared" si="2"/>
        <v>36.615384615384613</v>
      </c>
      <c r="M1953" s="182">
        <v>32900000</v>
      </c>
      <c r="N1953" s="182">
        <v>312000</v>
      </c>
      <c r="O1953" s="182">
        <v>278000</v>
      </c>
      <c r="P1953" s="182">
        <v>99.399999999999991</v>
      </c>
      <c r="Q1953" s="182">
        <v>2400000</v>
      </c>
      <c r="R1953" s="182">
        <v>62400</v>
      </c>
      <c r="S1953" s="182">
        <v>40000</v>
      </c>
      <c r="T1953" s="182">
        <v>26.8</v>
      </c>
      <c r="U1953" s="182">
        <v>85030</v>
      </c>
      <c r="V1953" s="182">
        <v>31300000000</v>
      </c>
    </row>
    <row r="1954" spans="1:22">
      <c r="A1954" s="174" t="s">
        <v>3907</v>
      </c>
      <c r="B1954" s="174" t="s">
        <v>3907</v>
      </c>
      <c r="C1954" s="182">
        <f t="shared" si="1"/>
        <v>30.732600000000001</v>
      </c>
      <c r="D1954" s="182">
        <v>3910</v>
      </c>
      <c r="E1954" s="182">
        <v>240</v>
      </c>
      <c r="F1954" s="182">
        <v>120</v>
      </c>
      <c r="G1954" s="182">
        <v>6.2</v>
      </c>
      <c r="H1954" s="182">
        <v>9.8000000000000007</v>
      </c>
      <c r="I1954" s="182"/>
      <c r="J1954" s="182">
        <v>15</v>
      </c>
      <c r="K1954" s="182">
        <f t="shared" si="0"/>
        <v>6.1224489795918364</v>
      </c>
      <c r="L1954" s="182">
        <f t="shared" si="2"/>
        <v>30.70967741935484</v>
      </c>
      <c r="M1954" s="182">
        <v>38920000</v>
      </c>
      <c r="N1954" s="182">
        <v>367000</v>
      </c>
      <c r="O1954" s="182">
        <v>324000</v>
      </c>
      <c r="P1954" s="182">
        <v>99.7</v>
      </c>
      <c r="Q1954" s="182">
        <v>2840000</v>
      </c>
      <c r="R1954" s="182">
        <v>73900</v>
      </c>
      <c r="S1954" s="182">
        <v>47300</v>
      </c>
      <c r="T1954" s="182">
        <v>26.9</v>
      </c>
      <c r="U1954" s="182">
        <v>129500</v>
      </c>
      <c r="V1954" s="182">
        <v>37400000000</v>
      </c>
    </row>
    <row r="1955" spans="1:22">
      <c r="A1955" s="174" t="s">
        <v>3908</v>
      </c>
      <c r="B1955" s="174" t="s">
        <v>3908</v>
      </c>
      <c r="C1955" s="182">
        <f t="shared" si="1"/>
        <v>34.348200000000006</v>
      </c>
      <c r="D1955" s="182">
        <v>4370</v>
      </c>
      <c r="E1955" s="182">
        <v>242</v>
      </c>
      <c r="F1955" s="182">
        <v>122</v>
      </c>
      <c r="G1955" s="182">
        <v>7</v>
      </c>
      <c r="H1955" s="182">
        <v>10.8</v>
      </c>
      <c r="I1955" s="182"/>
      <c r="J1955" s="182">
        <v>15</v>
      </c>
      <c r="K1955" s="182">
        <f t="shared" si="0"/>
        <v>5.6481481481481479</v>
      </c>
      <c r="L1955" s="182">
        <f t="shared" si="2"/>
        <v>27.2</v>
      </c>
      <c r="M1955" s="182">
        <v>43690000</v>
      </c>
      <c r="N1955" s="182">
        <v>410000</v>
      </c>
      <c r="O1955" s="182">
        <v>361000</v>
      </c>
      <c r="P1955" s="182">
        <v>100</v>
      </c>
      <c r="Q1955" s="182">
        <v>3290000</v>
      </c>
      <c r="R1955" s="182">
        <v>84400</v>
      </c>
      <c r="S1955" s="182">
        <v>53900</v>
      </c>
      <c r="T1955" s="182">
        <v>27.400000000000002</v>
      </c>
      <c r="U1955" s="182">
        <v>170900</v>
      </c>
      <c r="V1955" s="182">
        <v>43700000000</v>
      </c>
    </row>
    <row r="1956" spans="1:22">
      <c r="A1956" s="174" t="s">
        <v>3909</v>
      </c>
      <c r="B1956" s="174" t="s">
        <v>3909</v>
      </c>
      <c r="C1956" s="182">
        <f t="shared" si="1"/>
        <v>30.811200000000007</v>
      </c>
      <c r="D1956" s="182">
        <v>3920.0000000000005</v>
      </c>
      <c r="E1956" s="182">
        <v>267</v>
      </c>
      <c r="F1956" s="182">
        <v>135</v>
      </c>
      <c r="G1956" s="182">
        <v>5.5</v>
      </c>
      <c r="H1956" s="182">
        <v>8.6999999999999993</v>
      </c>
      <c r="I1956" s="182"/>
      <c r="J1956" s="182">
        <v>15</v>
      </c>
      <c r="K1956" s="182">
        <f t="shared" si="0"/>
        <v>7.7586206896551735</v>
      </c>
      <c r="L1956" s="182">
        <f t="shared" si="2"/>
        <v>39.927272727272729</v>
      </c>
      <c r="M1956" s="182">
        <v>49170000</v>
      </c>
      <c r="N1956" s="182">
        <v>413000</v>
      </c>
      <c r="O1956" s="182">
        <v>368000</v>
      </c>
      <c r="P1956" s="182">
        <v>112</v>
      </c>
      <c r="Q1956" s="182">
        <v>3580000</v>
      </c>
      <c r="R1956" s="182">
        <v>82300</v>
      </c>
      <c r="S1956" s="182">
        <v>53000</v>
      </c>
      <c r="T1956" s="182">
        <v>30.2</v>
      </c>
      <c r="U1956" s="182">
        <v>104100</v>
      </c>
      <c r="V1956" s="182">
        <v>59500000000</v>
      </c>
    </row>
    <row r="1957" spans="1:22">
      <c r="A1957" s="174" t="s">
        <v>3910</v>
      </c>
      <c r="B1957" s="174" t="s">
        <v>3910</v>
      </c>
      <c r="C1957" s="182">
        <f t="shared" si="1"/>
        <v>36.077400000000004</v>
      </c>
      <c r="D1957" s="182">
        <v>4590</v>
      </c>
      <c r="E1957" s="182">
        <v>270</v>
      </c>
      <c r="F1957" s="182">
        <v>135</v>
      </c>
      <c r="G1957" s="182">
        <v>6.6</v>
      </c>
      <c r="H1957" s="182">
        <v>10.199999999999999</v>
      </c>
      <c r="I1957" s="182"/>
      <c r="J1957" s="182">
        <v>15</v>
      </c>
      <c r="K1957" s="182">
        <f t="shared" si="0"/>
        <v>6.6176470588235299</v>
      </c>
      <c r="L1957" s="182">
        <f t="shared" si="2"/>
        <v>33.272727272727273</v>
      </c>
      <c r="M1957" s="182">
        <v>57900000</v>
      </c>
      <c r="N1957" s="182">
        <v>484000</v>
      </c>
      <c r="O1957" s="182">
        <v>429000</v>
      </c>
      <c r="P1957" s="182">
        <v>112</v>
      </c>
      <c r="Q1957" s="182">
        <v>4200000</v>
      </c>
      <c r="R1957" s="182">
        <v>97000</v>
      </c>
      <c r="S1957" s="182">
        <v>62200</v>
      </c>
      <c r="T1957" s="182">
        <v>30.2</v>
      </c>
      <c r="U1957" s="182">
        <v>159000</v>
      </c>
      <c r="V1957" s="182">
        <v>70600000000</v>
      </c>
    </row>
    <row r="1958" spans="1:22">
      <c r="A1958" s="174" t="s">
        <v>3911</v>
      </c>
      <c r="B1958" s="174" t="s">
        <v>3911</v>
      </c>
      <c r="C1958" s="182">
        <f t="shared" si="1"/>
        <v>42.286800000000007</v>
      </c>
      <c r="D1958" s="182">
        <v>5380</v>
      </c>
      <c r="E1958" s="182">
        <v>274</v>
      </c>
      <c r="F1958" s="182">
        <v>136</v>
      </c>
      <c r="G1958" s="182">
        <v>7.5</v>
      </c>
      <c r="H1958" s="182">
        <v>12.2</v>
      </c>
      <c r="I1958" s="182"/>
      <c r="J1958" s="182">
        <v>15</v>
      </c>
      <c r="K1958" s="182">
        <f t="shared" si="0"/>
        <v>5.5737704918032787</v>
      </c>
      <c r="L1958" s="182">
        <f t="shared" si="2"/>
        <v>29.279999999999998</v>
      </c>
      <c r="M1958" s="182">
        <v>69470000</v>
      </c>
      <c r="N1958" s="182">
        <v>575000</v>
      </c>
      <c r="O1958" s="182">
        <v>507000</v>
      </c>
      <c r="P1958" s="182">
        <v>114</v>
      </c>
      <c r="Q1958" s="182">
        <v>5140000</v>
      </c>
      <c r="R1958" s="182">
        <v>118000</v>
      </c>
      <c r="S1958" s="182">
        <v>75500</v>
      </c>
      <c r="T1958" s="182">
        <v>30.9</v>
      </c>
      <c r="U1958" s="182">
        <v>249899.99999999997</v>
      </c>
      <c r="V1958" s="182">
        <v>87600000000</v>
      </c>
    </row>
    <row r="1959" spans="1:22">
      <c r="A1959" s="174" t="s">
        <v>3912</v>
      </c>
      <c r="B1959" s="174" t="s">
        <v>3912</v>
      </c>
      <c r="C1959" s="182">
        <f t="shared" si="1"/>
        <v>36.549000000000007</v>
      </c>
      <c r="D1959" s="182">
        <v>4650</v>
      </c>
      <c r="E1959" s="182">
        <v>297</v>
      </c>
      <c r="F1959" s="182">
        <v>150</v>
      </c>
      <c r="G1959" s="182">
        <v>6.1</v>
      </c>
      <c r="H1959" s="182">
        <v>9.1999999999999993</v>
      </c>
      <c r="I1959" s="182"/>
      <c r="J1959" s="182">
        <v>15</v>
      </c>
      <c r="K1959" s="182">
        <f t="shared" si="0"/>
        <v>8.1521739130434785</v>
      </c>
      <c r="L1959" s="182">
        <f t="shared" si="2"/>
        <v>40.754098360655746</v>
      </c>
      <c r="M1959" s="182">
        <v>71730000</v>
      </c>
      <c r="N1959" s="182">
        <v>542000</v>
      </c>
      <c r="O1959" s="182">
        <v>483000</v>
      </c>
      <c r="P1959" s="182">
        <v>124</v>
      </c>
      <c r="Q1959" s="182">
        <v>5190000</v>
      </c>
      <c r="R1959" s="182">
        <v>107000</v>
      </c>
      <c r="S1959" s="182">
        <v>69200</v>
      </c>
      <c r="T1959" s="182">
        <v>33.4</v>
      </c>
      <c r="U1959" s="182">
        <v>133500</v>
      </c>
      <c r="V1959" s="182">
        <v>107000000000</v>
      </c>
    </row>
    <row r="1960" spans="1:22">
      <c r="A1960" s="174" t="s">
        <v>3913</v>
      </c>
      <c r="B1960" s="174" t="s">
        <v>3913</v>
      </c>
      <c r="C1960" s="182">
        <f t="shared" si="1"/>
        <v>42.286800000000007</v>
      </c>
      <c r="D1960" s="182">
        <v>5380</v>
      </c>
      <c r="E1960" s="182">
        <v>300</v>
      </c>
      <c r="F1960" s="182">
        <v>150</v>
      </c>
      <c r="G1960" s="182">
        <v>7.1</v>
      </c>
      <c r="H1960" s="182">
        <v>10.7</v>
      </c>
      <c r="I1960" s="182"/>
      <c r="J1960" s="182">
        <v>15</v>
      </c>
      <c r="K1960" s="182">
        <f t="shared" si="0"/>
        <v>7.0093457943925239</v>
      </c>
      <c r="L1960" s="182">
        <f t="shared" si="2"/>
        <v>35.014084507042256</v>
      </c>
      <c r="M1960" s="182">
        <v>83560000</v>
      </c>
      <c r="N1960" s="182">
        <v>628000</v>
      </c>
      <c r="O1960" s="182">
        <v>557000</v>
      </c>
      <c r="P1960" s="182">
        <v>125</v>
      </c>
      <c r="Q1960" s="182">
        <v>6040000</v>
      </c>
      <c r="R1960" s="182">
        <v>125000</v>
      </c>
      <c r="S1960" s="182">
        <v>80500</v>
      </c>
      <c r="T1960" s="182">
        <v>33.5</v>
      </c>
      <c r="U1960" s="182">
        <v>199200.00000000003</v>
      </c>
      <c r="V1960" s="182">
        <v>126000000000</v>
      </c>
    </row>
    <row r="1961" spans="1:22">
      <c r="A1961" s="174" t="s">
        <v>3914</v>
      </c>
      <c r="B1961" s="174" t="s">
        <v>3914</v>
      </c>
      <c r="C1961" s="182">
        <f t="shared" si="1"/>
        <v>49.360800000000005</v>
      </c>
      <c r="D1961" s="182">
        <v>6280</v>
      </c>
      <c r="E1961" s="182">
        <v>304</v>
      </c>
      <c r="F1961" s="182">
        <v>152</v>
      </c>
      <c r="G1961" s="182">
        <v>8</v>
      </c>
      <c r="H1961" s="182">
        <v>12.7</v>
      </c>
      <c r="I1961" s="182"/>
      <c r="J1961" s="182">
        <v>15</v>
      </c>
      <c r="K1961" s="182">
        <f t="shared" si="0"/>
        <v>5.984251968503937</v>
      </c>
      <c r="L1961" s="182">
        <f t="shared" si="2"/>
        <v>31.075000000000003</v>
      </c>
      <c r="M1961" s="182">
        <v>99940000</v>
      </c>
      <c r="N1961" s="182">
        <v>744000</v>
      </c>
      <c r="O1961" s="182">
        <v>658000</v>
      </c>
      <c r="P1961" s="182">
        <v>126</v>
      </c>
      <c r="Q1961" s="182">
        <v>7460000</v>
      </c>
      <c r="R1961" s="182">
        <v>153000</v>
      </c>
      <c r="S1961" s="182">
        <v>98100</v>
      </c>
      <c r="T1961" s="182">
        <v>34.5</v>
      </c>
      <c r="U1961" s="182">
        <v>309800</v>
      </c>
      <c r="V1961" s="182">
        <v>158000000000</v>
      </c>
    </row>
    <row r="1962" spans="1:22">
      <c r="A1962" s="174" t="s">
        <v>3915</v>
      </c>
      <c r="B1962" s="174" t="s">
        <v>3915</v>
      </c>
      <c r="C1962" s="182">
        <f t="shared" si="1"/>
        <v>42.994200000000006</v>
      </c>
      <c r="D1962" s="182">
        <v>5470</v>
      </c>
      <c r="E1962" s="182">
        <v>327</v>
      </c>
      <c r="F1962" s="182">
        <v>160</v>
      </c>
      <c r="G1962" s="182">
        <v>6.5</v>
      </c>
      <c r="H1962" s="182">
        <v>10</v>
      </c>
      <c r="I1962" s="182"/>
      <c r="J1962" s="182">
        <v>18</v>
      </c>
      <c r="K1962" s="182">
        <f t="shared" si="0"/>
        <v>8</v>
      </c>
      <c r="L1962" s="182">
        <f t="shared" si="2"/>
        <v>41.692307692307693</v>
      </c>
      <c r="M1962" s="182">
        <v>102300000</v>
      </c>
      <c r="N1962" s="182">
        <v>702000</v>
      </c>
      <c r="O1962" s="182">
        <v>626000</v>
      </c>
      <c r="P1962" s="182">
        <v>137</v>
      </c>
      <c r="Q1962" s="182">
        <v>6850000</v>
      </c>
      <c r="R1962" s="182">
        <v>133000</v>
      </c>
      <c r="S1962" s="182">
        <v>85600</v>
      </c>
      <c r="T1962" s="182">
        <v>35.4</v>
      </c>
      <c r="U1962" s="182">
        <v>196400</v>
      </c>
      <c r="V1962" s="182">
        <v>172000000000</v>
      </c>
    </row>
    <row r="1963" spans="1:22">
      <c r="A1963" s="174" t="s">
        <v>3916</v>
      </c>
      <c r="B1963" s="174" t="s">
        <v>3916</v>
      </c>
      <c r="C1963" s="182">
        <f t="shared" si="1"/>
        <v>49.203600000000002</v>
      </c>
      <c r="D1963" s="182">
        <v>6260</v>
      </c>
      <c r="E1963" s="182">
        <v>330</v>
      </c>
      <c r="F1963" s="182">
        <v>160</v>
      </c>
      <c r="G1963" s="182">
        <v>7.5</v>
      </c>
      <c r="H1963" s="182">
        <v>11.5</v>
      </c>
      <c r="I1963" s="182"/>
      <c r="J1963" s="182">
        <v>18</v>
      </c>
      <c r="K1963" s="182">
        <f t="shared" si="0"/>
        <v>6.9565217391304346</v>
      </c>
      <c r="L1963" s="182">
        <f t="shared" si="2"/>
        <v>36.133333333333333</v>
      </c>
      <c r="M1963" s="182">
        <v>117700000</v>
      </c>
      <c r="N1963" s="182">
        <v>804000</v>
      </c>
      <c r="O1963" s="182">
        <v>713000</v>
      </c>
      <c r="P1963" s="182">
        <v>137</v>
      </c>
      <c r="Q1963" s="182">
        <v>7880000</v>
      </c>
      <c r="R1963" s="182">
        <v>154000</v>
      </c>
      <c r="S1963" s="182">
        <v>98500</v>
      </c>
      <c r="T1963" s="182">
        <v>35.5</v>
      </c>
      <c r="U1963" s="182">
        <v>280600</v>
      </c>
      <c r="V1963" s="182">
        <v>199000000000</v>
      </c>
    </row>
    <row r="1964" spans="1:22">
      <c r="A1964" s="174" t="s">
        <v>3917</v>
      </c>
      <c r="B1964" s="174" t="s">
        <v>3917</v>
      </c>
      <c r="C1964" s="182">
        <f t="shared" si="1"/>
        <v>57.063600000000001</v>
      </c>
      <c r="D1964" s="182">
        <v>7259.9999999999991</v>
      </c>
      <c r="E1964" s="182">
        <v>334</v>
      </c>
      <c r="F1964" s="182">
        <v>162</v>
      </c>
      <c r="G1964" s="182">
        <v>8.5</v>
      </c>
      <c r="H1964" s="182">
        <v>13.5</v>
      </c>
      <c r="I1964" s="182"/>
      <c r="J1964" s="182">
        <v>18</v>
      </c>
      <c r="K1964" s="182">
        <f t="shared" si="0"/>
        <v>6</v>
      </c>
      <c r="L1964" s="182">
        <f t="shared" si="2"/>
        <v>31.882352941176471</v>
      </c>
      <c r="M1964" s="182">
        <v>139100000</v>
      </c>
      <c r="N1964" s="182">
        <v>943000</v>
      </c>
      <c r="O1964" s="182">
        <v>833000</v>
      </c>
      <c r="P1964" s="182">
        <v>138</v>
      </c>
      <c r="Q1964" s="182">
        <v>9600000</v>
      </c>
      <c r="R1964" s="182">
        <v>185000</v>
      </c>
      <c r="S1964" s="182">
        <v>119000</v>
      </c>
      <c r="T1964" s="182">
        <v>36.4</v>
      </c>
      <c r="U1964" s="182">
        <v>422000</v>
      </c>
      <c r="V1964" s="182">
        <v>246000000000</v>
      </c>
    </row>
    <row r="1965" spans="1:22">
      <c r="A1965" s="174" t="s">
        <v>3918</v>
      </c>
      <c r="B1965" s="174" t="s">
        <v>3918</v>
      </c>
      <c r="C1965" s="182">
        <f t="shared" si="1"/>
        <v>50.304000000000002</v>
      </c>
      <c r="D1965" s="182">
        <v>6400</v>
      </c>
      <c r="E1965" s="182">
        <v>357.6</v>
      </c>
      <c r="F1965" s="182">
        <v>170</v>
      </c>
      <c r="G1965" s="182">
        <v>6.6</v>
      </c>
      <c r="H1965" s="182">
        <v>11.5</v>
      </c>
      <c r="I1965" s="182"/>
      <c r="J1965" s="182">
        <v>18</v>
      </c>
      <c r="K1965" s="182">
        <f t="shared" si="0"/>
        <v>7.3913043478260869</v>
      </c>
      <c r="L1965" s="182">
        <f t="shared" si="2"/>
        <v>45.242424242424249</v>
      </c>
      <c r="M1965" s="182">
        <v>145200000</v>
      </c>
      <c r="N1965" s="182">
        <v>907000</v>
      </c>
      <c r="O1965" s="182">
        <v>812000</v>
      </c>
      <c r="P1965" s="182">
        <v>151</v>
      </c>
      <c r="Q1965" s="182">
        <v>9440000</v>
      </c>
      <c r="R1965" s="182">
        <v>172000</v>
      </c>
      <c r="S1965" s="182">
        <v>111000</v>
      </c>
      <c r="T1965" s="182">
        <v>38.4</v>
      </c>
      <c r="U1965" s="182">
        <v>273700</v>
      </c>
      <c r="V1965" s="182">
        <v>282000000000</v>
      </c>
    </row>
    <row r="1966" spans="1:22">
      <c r="A1966" s="174" t="s">
        <v>3919</v>
      </c>
      <c r="B1966" s="174" t="s">
        <v>3919</v>
      </c>
      <c r="C1966" s="182">
        <f t="shared" si="1"/>
        <v>57.142200000000003</v>
      </c>
      <c r="D1966" s="182">
        <v>7270</v>
      </c>
      <c r="E1966" s="182">
        <v>360</v>
      </c>
      <c r="F1966" s="182">
        <v>170</v>
      </c>
      <c r="G1966" s="182">
        <v>8</v>
      </c>
      <c r="H1966" s="182">
        <v>12.7</v>
      </c>
      <c r="I1966" s="182"/>
      <c r="J1966" s="182">
        <v>18</v>
      </c>
      <c r="K1966" s="182">
        <f t="shared" si="0"/>
        <v>6.6929133858267722</v>
      </c>
      <c r="L1966" s="182">
        <f t="shared" si="2"/>
        <v>37.325000000000003</v>
      </c>
      <c r="M1966" s="182">
        <v>162700000</v>
      </c>
      <c r="N1966" s="182">
        <v>1019000</v>
      </c>
      <c r="O1966" s="182">
        <v>904000</v>
      </c>
      <c r="P1966" s="182">
        <v>150</v>
      </c>
      <c r="Q1966" s="182">
        <v>10430000</v>
      </c>
      <c r="R1966" s="182">
        <v>191000</v>
      </c>
      <c r="S1966" s="182">
        <v>123000</v>
      </c>
      <c r="T1966" s="182">
        <v>37.9</v>
      </c>
      <c r="U1966" s="182">
        <v>374400</v>
      </c>
      <c r="V1966" s="182">
        <v>314000000000</v>
      </c>
    </row>
    <row r="1967" spans="1:22">
      <c r="A1967" s="174" t="s">
        <v>3920</v>
      </c>
      <c r="B1967" s="174" t="s">
        <v>3920</v>
      </c>
      <c r="C1967" s="182">
        <f t="shared" si="1"/>
        <v>66.10260000000001</v>
      </c>
      <c r="D1967" s="182">
        <v>8410</v>
      </c>
      <c r="E1967" s="182">
        <v>364</v>
      </c>
      <c r="F1967" s="182">
        <v>172</v>
      </c>
      <c r="G1967" s="182">
        <v>9.1999999999999993</v>
      </c>
      <c r="H1967" s="182">
        <v>14.7</v>
      </c>
      <c r="I1967" s="182"/>
      <c r="J1967" s="182">
        <v>18</v>
      </c>
      <c r="K1967" s="182">
        <f t="shared" si="0"/>
        <v>5.850340136054422</v>
      </c>
      <c r="L1967" s="182">
        <f t="shared" si="2"/>
        <v>32.456521739130437</v>
      </c>
      <c r="M1967" s="182">
        <v>190500000</v>
      </c>
      <c r="N1967" s="182">
        <v>1186000</v>
      </c>
      <c r="O1967" s="182">
        <v>1047000</v>
      </c>
      <c r="P1967" s="182">
        <v>151</v>
      </c>
      <c r="Q1967" s="182">
        <v>12510000</v>
      </c>
      <c r="R1967" s="182">
        <v>227000</v>
      </c>
      <c r="S1967" s="182">
        <v>146000</v>
      </c>
      <c r="T1967" s="182">
        <v>38.6</v>
      </c>
      <c r="U1967" s="182">
        <v>557400</v>
      </c>
      <c r="V1967" s="182">
        <v>380000000000</v>
      </c>
    </row>
    <row r="1968" spans="1:22">
      <c r="A1968" s="174" t="s">
        <v>3921</v>
      </c>
      <c r="B1968" s="174" t="s">
        <v>3921</v>
      </c>
      <c r="C1968" s="182">
        <f t="shared" si="1"/>
        <v>57.456599999999995</v>
      </c>
      <c r="D1968" s="182">
        <v>7309.9999999999991</v>
      </c>
      <c r="E1968" s="182">
        <v>397</v>
      </c>
      <c r="F1968" s="182">
        <v>180</v>
      </c>
      <c r="G1968" s="182">
        <v>7</v>
      </c>
      <c r="H1968" s="182">
        <v>12</v>
      </c>
      <c r="I1968" s="182"/>
      <c r="J1968" s="182">
        <v>21</v>
      </c>
      <c r="K1968" s="182">
        <f t="shared" si="0"/>
        <v>7.5</v>
      </c>
      <c r="L1968" s="182">
        <f t="shared" si="2"/>
        <v>47.285714285714285</v>
      </c>
      <c r="M1968" s="182">
        <v>202900000</v>
      </c>
      <c r="N1968" s="182">
        <v>1144000</v>
      </c>
      <c r="O1968" s="182">
        <v>1022000</v>
      </c>
      <c r="P1968" s="182">
        <v>167</v>
      </c>
      <c r="Q1968" s="182">
        <v>11710000</v>
      </c>
      <c r="R1968" s="182">
        <v>202000</v>
      </c>
      <c r="S1968" s="182">
        <v>130000</v>
      </c>
      <c r="T1968" s="182">
        <v>40</v>
      </c>
      <c r="U1968" s="182">
        <v>361599.99999999994</v>
      </c>
      <c r="V1968" s="182">
        <v>432000000000</v>
      </c>
    </row>
    <row r="1969" spans="1:22">
      <c r="A1969" s="174" t="s">
        <v>3922</v>
      </c>
      <c r="B1969" s="174" t="s">
        <v>3922</v>
      </c>
      <c r="C1969" s="182">
        <f t="shared" si="1"/>
        <v>66.417000000000002</v>
      </c>
      <c r="D1969" s="182">
        <v>8450</v>
      </c>
      <c r="E1969" s="182">
        <v>400</v>
      </c>
      <c r="F1969" s="182">
        <v>180</v>
      </c>
      <c r="G1969" s="182">
        <v>8.6</v>
      </c>
      <c r="H1969" s="182">
        <v>13.5</v>
      </c>
      <c r="I1969" s="182"/>
      <c r="J1969" s="182">
        <v>21</v>
      </c>
      <c r="K1969" s="182">
        <f t="shared" si="0"/>
        <v>6.666666666666667</v>
      </c>
      <c r="L1969" s="182">
        <f t="shared" si="2"/>
        <v>38.488372093023258</v>
      </c>
      <c r="M1969" s="182">
        <v>231300000</v>
      </c>
      <c r="N1969" s="182">
        <v>1307000</v>
      </c>
      <c r="O1969" s="182">
        <v>1160000</v>
      </c>
      <c r="P1969" s="182">
        <v>166</v>
      </c>
      <c r="Q1969" s="182">
        <v>13180000</v>
      </c>
      <c r="R1969" s="182">
        <v>229000</v>
      </c>
      <c r="S1969" s="182">
        <v>146000</v>
      </c>
      <c r="T1969" s="182">
        <v>39.5</v>
      </c>
      <c r="U1969" s="182">
        <v>512800</v>
      </c>
      <c r="V1969" s="182">
        <v>490000000000</v>
      </c>
    </row>
    <row r="1970" spans="1:22">
      <c r="A1970" s="174" t="s">
        <v>3923</v>
      </c>
      <c r="B1970" s="174" t="s">
        <v>3923</v>
      </c>
      <c r="C1970" s="182">
        <f t="shared" si="1"/>
        <v>75.770400000000009</v>
      </c>
      <c r="D1970" s="182">
        <v>9640</v>
      </c>
      <c r="E1970" s="182">
        <v>404</v>
      </c>
      <c r="F1970" s="182">
        <v>182</v>
      </c>
      <c r="G1970" s="182">
        <v>9.6999999999999993</v>
      </c>
      <c r="H1970" s="182">
        <v>15.5</v>
      </c>
      <c r="I1970" s="182"/>
      <c r="J1970" s="182">
        <v>21</v>
      </c>
      <c r="K1970" s="182">
        <f t="shared" si="0"/>
        <v>5.870967741935484</v>
      </c>
      <c r="L1970" s="182">
        <f t="shared" si="2"/>
        <v>34.123711340206185</v>
      </c>
      <c r="M1970" s="182">
        <v>267500000</v>
      </c>
      <c r="N1970" s="182">
        <v>1502000</v>
      </c>
      <c r="O1970" s="182">
        <v>1324000</v>
      </c>
      <c r="P1970" s="182">
        <v>167</v>
      </c>
      <c r="Q1970" s="182">
        <v>15640000</v>
      </c>
      <c r="R1970" s="182">
        <v>269000</v>
      </c>
      <c r="S1970" s="182">
        <v>172000</v>
      </c>
      <c r="T1970" s="182">
        <v>40.300000000000004</v>
      </c>
      <c r="U1970" s="182">
        <v>733400</v>
      </c>
      <c r="V1970" s="182">
        <v>588000000000</v>
      </c>
    </row>
    <row r="1971" spans="1:22">
      <c r="A1971" s="174" t="s">
        <v>3924</v>
      </c>
      <c r="B1971" s="174" t="s">
        <v>3924</v>
      </c>
      <c r="C1971" s="182">
        <f t="shared" si="1"/>
        <v>84.102000000000004</v>
      </c>
      <c r="D1971" s="182">
        <v>10700</v>
      </c>
      <c r="E1971" s="182">
        <v>408</v>
      </c>
      <c r="F1971" s="182">
        <v>182</v>
      </c>
      <c r="G1971" s="182">
        <v>10.6</v>
      </c>
      <c r="H1971" s="182">
        <v>17.5</v>
      </c>
      <c r="I1971" s="182"/>
      <c r="J1971" s="182">
        <v>21</v>
      </c>
      <c r="K1971" s="182">
        <f t="shared" si="0"/>
        <v>5.2</v>
      </c>
      <c r="L1971" s="182">
        <f t="shared" si="2"/>
        <v>31.226415094339625</v>
      </c>
      <c r="M1971" s="182">
        <v>301400000</v>
      </c>
      <c r="N1971" s="182">
        <v>1681000</v>
      </c>
      <c r="O1971" s="182">
        <v>1477000</v>
      </c>
      <c r="P1971" s="182">
        <v>168</v>
      </c>
      <c r="Q1971" s="182">
        <v>17660000</v>
      </c>
      <c r="R1971" s="182">
        <v>304000</v>
      </c>
      <c r="S1971" s="182">
        <v>194000</v>
      </c>
      <c r="T1971" s="182">
        <v>40.599999999999994</v>
      </c>
      <c r="U1971" s="182">
        <v>995900</v>
      </c>
      <c r="V1971" s="182">
        <v>673000000000</v>
      </c>
    </row>
    <row r="1972" spans="1:22">
      <c r="A1972" s="174" t="s">
        <v>3925</v>
      </c>
      <c r="B1972" s="174" t="s">
        <v>3925</v>
      </c>
      <c r="C1972" s="182">
        <f t="shared" si="1"/>
        <v>67.281600000000012</v>
      </c>
      <c r="D1972" s="182">
        <v>8560</v>
      </c>
      <c r="E1972" s="182">
        <v>447</v>
      </c>
      <c r="F1972" s="182">
        <v>190</v>
      </c>
      <c r="G1972" s="182">
        <v>7.6</v>
      </c>
      <c r="H1972" s="182">
        <v>13.1</v>
      </c>
      <c r="I1972" s="182"/>
      <c r="J1972" s="182">
        <v>21</v>
      </c>
      <c r="K1972" s="182">
        <f t="shared" si="0"/>
        <v>7.2519083969465647</v>
      </c>
      <c r="L1972" s="182">
        <f t="shared" si="2"/>
        <v>49.842105263157897</v>
      </c>
      <c r="M1972" s="182">
        <v>297600000</v>
      </c>
      <c r="N1972" s="182">
        <v>1494000</v>
      </c>
      <c r="O1972" s="182">
        <v>1331000</v>
      </c>
      <c r="P1972" s="182">
        <v>187</v>
      </c>
      <c r="Q1972" s="182">
        <v>15020000</v>
      </c>
      <c r="R1972" s="182">
        <v>246000</v>
      </c>
      <c r="S1972" s="182">
        <v>158000</v>
      </c>
      <c r="T1972" s="182">
        <v>41.900000000000006</v>
      </c>
      <c r="U1972" s="182">
        <v>471300</v>
      </c>
      <c r="V1972" s="182">
        <v>705000000000</v>
      </c>
    </row>
    <row r="1973" spans="1:22">
      <c r="A1973" s="174" t="s">
        <v>3926</v>
      </c>
      <c r="B1973" s="174" t="s">
        <v>3926</v>
      </c>
      <c r="C1973" s="182">
        <f t="shared" si="1"/>
        <v>77.656800000000004</v>
      </c>
      <c r="D1973" s="182">
        <v>9880</v>
      </c>
      <c r="E1973" s="182">
        <v>450</v>
      </c>
      <c r="F1973" s="182">
        <v>190</v>
      </c>
      <c r="G1973" s="182">
        <v>9.4</v>
      </c>
      <c r="H1973" s="182">
        <v>14.6</v>
      </c>
      <c r="I1973" s="182"/>
      <c r="J1973" s="182">
        <v>21</v>
      </c>
      <c r="K1973" s="182">
        <f t="shared" si="0"/>
        <v>6.506849315068493</v>
      </c>
      <c r="L1973" s="182">
        <f t="shared" si="2"/>
        <v>40.297872340425535</v>
      </c>
      <c r="M1973" s="182">
        <v>337400000</v>
      </c>
      <c r="N1973" s="182">
        <v>1702000</v>
      </c>
      <c r="O1973" s="182">
        <v>1500000</v>
      </c>
      <c r="P1973" s="182">
        <v>185</v>
      </c>
      <c r="Q1973" s="182">
        <v>16760000</v>
      </c>
      <c r="R1973" s="182">
        <v>276000</v>
      </c>
      <c r="S1973" s="182">
        <v>176000</v>
      </c>
      <c r="T1973" s="182">
        <v>41.2</v>
      </c>
      <c r="U1973" s="182">
        <v>667500</v>
      </c>
      <c r="V1973" s="182">
        <v>791000000000</v>
      </c>
    </row>
    <row r="1974" spans="1:22">
      <c r="A1974" s="174" t="s">
        <v>3927</v>
      </c>
      <c r="B1974" s="174" t="s">
        <v>3927</v>
      </c>
      <c r="C1974" s="182">
        <f t="shared" si="1"/>
        <v>92.512200000000007</v>
      </c>
      <c r="D1974" s="182">
        <v>11770</v>
      </c>
      <c r="E1974" s="182">
        <v>456</v>
      </c>
      <c r="F1974" s="182">
        <v>192</v>
      </c>
      <c r="G1974" s="182">
        <v>11</v>
      </c>
      <c r="H1974" s="182">
        <v>17.600000000000001</v>
      </c>
      <c r="I1974" s="182"/>
      <c r="J1974" s="182">
        <v>21</v>
      </c>
      <c r="K1974" s="182">
        <f t="shared" si="0"/>
        <v>5.4545454545454541</v>
      </c>
      <c r="L1974" s="182">
        <f t="shared" si="2"/>
        <v>34.436363636363637</v>
      </c>
      <c r="M1974" s="182">
        <v>409200000</v>
      </c>
      <c r="N1974" s="182">
        <v>2046000</v>
      </c>
      <c r="O1974" s="182">
        <v>1795000</v>
      </c>
      <c r="P1974" s="182">
        <v>187</v>
      </c>
      <c r="Q1974" s="182">
        <v>20850000</v>
      </c>
      <c r="R1974" s="182">
        <v>341000</v>
      </c>
      <c r="S1974" s="182">
        <v>217000</v>
      </c>
      <c r="T1974" s="182">
        <v>42.1</v>
      </c>
      <c r="U1974" s="182">
        <v>1090000</v>
      </c>
      <c r="V1974" s="182">
        <v>998000000000</v>
      </c>
    </row>
    <row r="1975" spans="1:22">
      <c r="A1975" s="174" t="s">
        <v>3928</v>
      </c>
      <c r="B1975" s="174" t="s">
        <v>3928</v>
      </c>
      <c r="C1975" s="182">
        <f t="shared" si="1"/>
        <v>103.75200000000001</v>
      </c>
      <c r="D1975" s="182">
        <v>13200</v>
      </c>
      <c r="E1975" s="182">
        <v>460</v>
      </c>
      <c r="F1975" s="182">
        <v>194</v>
      </c>
      <c r="G1975" s="182">
        <v>12.4</v>
      </c>
      <c r="H1975" s="182">
        <v>19.600000000000001</v>
      </c>
      <c r="I1975" s="182"/>
      <c r="J1975" s="182">
        <v>21</v>
      </c>
      <c r="K1975" s="182">
        <f t="shared" si="0"/>
        <v>4.9489795918367347</v>
      </c>
      <c r="L1975" s="182">
        <f t="shared" si="2"/>
        <v>30.548387096774192</v>
      </c>
      <c r="M1975" s="182">
        <v>462000000</v>
      </c>
      <c r="N1975" s="182">
        <v>2301000</v>
      </c>
      <c r="O1975" s="182">
        <v>2008000</v>
      </c>
      <c r="P1975" s="182">
        <v>187</v>
      </c>
      <c r="Q1975" s="182">
        <v>23970000</v>
      </c>
      <c r="R1975" s="182">
        <v>389000</v>
      </c>
      <c r="S1975" s="182">
        <v>247000</v>
      </c>
      <c r="T1975" s="182">
        <v>42.599999999999994</v>
      </c>
      <c r="U1975" s="182">
        <v>1489000</v>
      </c>
      <c r="V1975" s="182">
        <v>1162000000000</v>
      </c>
    </row>
    <row r="1976" spans="1:22">
      <c r="A1976" s="174" t="s">
        <v>3929</v>
      </c>
      <c r="B1976" s="174" t="s">
        <v>3929</v>
      </c>
      <c r="C1976" s="182">
        <f t="shared" si="1"/>
        <v>79.464600000000004</v>
      </c>
      <c r="D1976" s="182">
        <v>10110</v>
      </c>
      <c r="E1976" s="182">
        <v>497</v>
      </c>
      <c r="F1976" s="182">
        <v>200</v>
      </c>
      <c r="G1976" s="182">
        <v>8.4</v>
      </c>
      <c r="H1976" s="182">
        <v>14.5</v>
      </c>
      <c r="I1976" s="182"/>
      <c r="J1976" s="182">
        <v>21</v>
      </c>
      <c r="K1976" s="182">
        <f t="shared" si="0"/>
        <v>6.8965517241379306</v>
      </c>
      <c r="L1976" s="182">
        <f t="shared" si="2"/>
        <v>50.714285714285715</v>
      </c>
      <c r="M1976" s="182">
        <v>429300000</v>
      </c>
      <c r="N1976" s="182">
        <v>1946000</v>
      </c>
      <c r="O1976" s="182">
        <v>1728000</v>
      </c>
      <c r="P1976" s="182">
        <v>206</v>
      </c>
      <c r="Q1976" s="182">
        <v>19390000</v>
      </c>
      <c r="R1976" s="182">
        <v>302000</v>
      </c>
      <c r="S1976" s="182">
        <v>194000</v>
      </c>
      <c r="T1976" s="182">
        <v>43.8</v>
      </c>
      <c r="U1976" s="182">
        <v>642800</v>
      </c>
      <c r="V1976" s="182">
        <v>1125000000000</v>
      </c>
    </row>
    <row r="1977" spans="1:22">
      <c r="A1977" s="174" t="s">
        <v>3930</v>
      </c>
      <c r="B1977" s="174" t="s">
        <v>3930</v>
      </c>
      <c r="C1977" s="182">
        <f t="shared" si="1"/>
        <v>90.783000000000001</v>
      </c>
      <c r="D1977" s="182">
        <v>11550</v>
      </c>
      <c r="E1977" s="182">
        <v>500</v>
      </c>
      <c r="F1977" s="182">
        <v>200</v>
      </c>
      <c r="G1977" s="182">
        <v>10.199999999999999</v>
      </c>
      <c r="H1977" s="182">
        <v>16</v>
      </c>
      <c r="I1977" s="182"/>
      <c r="J1977" s="182">
        <v>21</v>
      </c>
      <c r="K1977" s="182">
        <f t="shared" si="0"/>
        <v>6.25</v>
      </c>
      <c r="L1977" s="182">
        <f t="shared" si="2"/>
        <v>41.764705882352942</v>
      </c>
      <c r="M1977" s="182">
        <v>482000000</v>
      </c>
      <c r="N1977" s="182">
        <v>2194000</v>
      </c>
      <c r="O1977" s="182">
        <v>1930000</v>
      </c>
      <c r="P1977" s="182">
        <v>204</v>
      </c>
      <c r="Q1977" s="182">
        <v>21420000</v>
      </c>
      <c r="R1977" s="182">
        <v>336000</v>
      </c>
      <c r="S1977" s="182">
        <v>214000</v>
      </c>
      <c r="T1977" s="182">
        <v>43.099999999999994</v>
      </c>
      <c r="U1977" s="182">
        <v>891000</v>
      </c>
      <c r="V1977" s="182">
        <v>1249000000000</v>
      </c>
    </row>
    <row r="1978" spans="1:22">
      <c r="A1978" s="174" t="s">
        <v>3931</v>
      </c>
      <c r="B1978" s="174" t="s">
        <v>3931</v>
      </c>
      <c r="C1978" s="182">
        <f t="shared" si="1"/>
        <v>107.44619999999999</v>
      </c>
      <c r="D1978" s="182">
        <v>13669.999999999998</v>
      </c>
      <c r="E1978" s="182">
        <v>506</v>
      </c>
      <c r="F1978" s="182">
        <v>202</v>
      </c>
      <c r="G1978" s="182">
        <v>12</v>
      </c>
      <c r="H1978" s="182">
        <v>19</v>
      </c>
      <c r="I1978" s="182"/>
      <c r="J1978" s="182">
        <v>21</v>
      </c>
      <c r="K1978" s="182">
        <f t="shared" si="0"/>
        <v>5.3157894736842106</v>
      </c>
      <c r="L1978" s="182">
        <f t="shared" si="2"/>
        <v>35.5</v>
      </c>
      <c r="M1978" s="182">
        <v>577800000</v>
      </c>
      <c r="N1978" s="182">
        <v>2613000</v>
      </c>
      <c r="O1978" s="182">
        <v>2284000</v>
      </c>
      <c r="P1978" s="182">
        <v>206</v>
      </c>
      <c r="Q1978" s="182">
        <v>26220000</v>
      </c>
      <c r="R1978" s="182">
        <v>409000</v>
      </c>
      <c r="S1978" s="182">
        <v>260000</v>
      </c>
      <c r="T1978" s="182">
        <v>43.8</v>
      </c>
      <c r="U1978" s="182">
        <v>1428000</v>
      </c>
      <c r="V1978" s="182">
        <v>1548000000000</v>
      </c>
    </row>
    <row r="1979" spans="1:22">
      <c r="A1979" s="174" t="s">
        <v>3932</v>
      </c>
      <c r="B1979" s="174" t="s">
        <v>3932</v>
      </c>
      <c r="C1979" s="182">
        <f t="shared" si="1"/>
        <v>128.98260000000002</v>
      </c>
      <c r="D1979" s="182">
        <v>16410</v>
      </c>
      <c r="E1979" s="182">
        <v>514</v>
      </c>
      <c r="F1979" s="182">
        <v>204</v>
      </c>
      <c r="G1979" s="182">
        <v>14.2</v>
      </c>
      <c r="H1979" s="182">
        <v>23</v>
      </c>
      <c r="I1979" s="182"/>
      <c r="J1979" s="182">
        <v>21</v>
      </c>
      <c r="K1979" s="182">
        <f t="shared" si="0"/>
        <v>4.4347826086956523</v>
      </c>
      <c r="L1979" s="182">
        <f t="shared" si="2"/>
        <v>30</v>
      </c>
      <c r="M1979" s="182">
        <v>707200000</v>
      </c>
      <c r="N1979" s="182">
        <v>3168000</v>
      </c>
      <c r="O1979" s="182">
        <v>2751000</v>
      </c>
      <c r="P1979" s="182">
        <v>207</v>
      </c>
      <c r="Q1979" s="182">
        <v>32710000</v>
      </c>
      <c r="R1979" s="182">
        <v>506000</v>
      </c>
      <c r="S1979" s="182">
        <v>320000</v>
      </c>
      <c r="T1979" s="182">
        <v>44.6</v>
      </c>
      <c r="U1979" s="182">
        <v>2415000</v>
      </c>
      <c r="V1979" s="182">
        <v>1971000000000</v>
      </c>
    </row>
    <row r="1980" spans="1:22">
      <c r="A1980" s="174" t="s">
        <v>3933</v>
      </c>
      <c r="B1980" s="174" t="s">
        <v>3933</v>
      </c>
      <c r="C1980" s="182">
        <f t="shared" si="1"/>
        <v>92.197800000000001</v>
      </c>
      <c r="D1980" s="182">
        <v>11730</v>
      </c>
      <c r="E1980" s="182">
        <v>547</v>
      </c>
      <c r="F1980" s="182">
        <v>210</v>
      </c>
      <c r="G1980" s="182">
        <v>9</v>
      </c>
      <c r="H1980" s="182">
        <v>15.7</v>
      </c>
      <c r="I1980" s="182"/>
      <c r="J1980" s="182">
        <v>24</v>
      </c>
      <c r="K1980" s="182">
        <f t="shared" si="0"/>
        <v>6.6878980891719753</v>
      </c>
      <c r="L1980" s="182">
        <f t="shared" si="2"/>
        <v>51.955555555555556</v>
      </c>
      <c r="M1980" s="182">
        <v>599800000</v>
      </c>
      <c r="N1980" s="182">
        <v>2475000</v>
      </c>
      <c r="O1980" s="182">
        <v>2193000</v>
      </c>
      <c r="P1980" s="182">
        <v>226</v>
      </c>
      <c r="Q1980" s="182">
        <v>24320000</v>
      </c>
      <c r="R1980" s="182">
        <v>362000</v>
      </c>
      <c r="S1980" s="182">
        <v>232000</v>
      </c>
      <c r="T1980" s="182">
        <v>45.5</v>
      </c>
      <c r="U1980" s="182">
        <v>893000</v>
      </c>
      <c r="V1980" s="182">
        <v>1710000000000</v>
      </c>
    </row>
    <row r="1981" spans="1:22">
      <c r="A1981" s="174" t="s">
        <v>3934</v>
      </c>
      <c r="B1981" s="174" t="s">
        <v>3934</v>
      </c>
      <c r="C1981" s="182">
        <f t="shared" si="1"/>
        <v>105.6384</v>
      </c>
      <c r="D1981" s="182">
        <v>13440</v>
      </c>
      <c r="E1981" s="182">
        <v>550</v>
      </c>
      <c r="F1981" s="182">
        <v>210</v>
      </c>
      <c r="G1981" s="182">
        <v>11.1</v>
      </c>
      <c r="H1981" s="182">
        <v>17.2</v>
      </c>
      <c r="I1981" s="182"/>
      <c r="J1981" s="182">
        <v>24</v>
      </c>
      <c r="K1981" s="182">
        <f t="shared" si="0"/>
        <v>6.1046511627906979</v>
      </c>
      <c r="L1981" s="182">
        <f t="shared" si="2"/>
        <v>42.126126126126131</v>
      </c>
      <c r="M1981" s="182">
        <v>671200000</v>
      </c>
      <c r="N1981" s="182">
        <v>2787000</v>
      </c>
      <c r="O1981" s="182">
        <v>2440000</v>
      </c>
      <c r="P1981" s="182">
        <v>224</v>
      </c>
      <c r="Q1981" s="182">
        <v>26680000</v>
      </c>
      <c r="R1981" s="182">
        <v>401000</v>
      </c>
      <c r="S1981" s="182">
        <v>254000</v>
      </c>
      <c r="T1981" s="182">
        <v>44.5</v>
      </c>
      <c r="U1981" s="182">
        <v>1228000</v>
      </c>
      <c r="V1981" s="182">
        <v>1884000000000</v>
      </c>
    </row>
    <row r="1982" spans="1:22">
      <c r="A1982" s="174" t="s">
        <v>3935</v>
      </c>
      <c r="B1982" s="174" t="s">
        <v>3935</v>
      </c>
      <c r="C1982" s="182">
        <f t="shared" si="1"/>
        <v>122.69460000000001</v>
      </c>
      <c r="D1982" s="182">
        <v>15610</v>
      </c>
      <c r="E1982" s="182">
        <v>556</v>
      </c>
      <c r="F1982" s="182">
        <v>212</v>
      </c>
      <c r="G1982" s="182">
        <v>12.7</v>
      </c>
      <c r="H1982" s="182">
        <v>20.2</v>
      </c>
      <c r="I1982" s="182"/>
      <c r="J1982" s="182">
        <v>24</v>
      </c>
      <c r="K1982" s="182">
        <f t="shared" si="0"/>
        <v>5.2475247524752477</v>
      </c>
      <c r="L1982" s="182">
        <f t="shared" si="2"/>
        <v>36.818897637795281</v>
      </c>
      <c r="M1982" s="182">
        <v>791600000</v>
      </c>
      <c r="N1982" s="182">
        <v>3263000</v>
      </c>
      <c r="O1982" s="182">
        <v>2847000</v>
      </c>
      <c r="P1982" s="182">
        <v>225</v>
      </c>
      <c r="Q1982" s="182">
        <v>32240000</v>
      </c>
      <c r="R1982" s="182">
        <v>481000</v>
      </c>
      <c r="S1982" s="182">
        <v>304000</v>
      </c>
      <c r="T1982" s="182">
        <v>45.5</v>
      </c>
      <c r="U1982" s="182">
        <v>1871000</v>
      </c>
      <c r="V1982" s="182">
        <v>2302000000000</v>
      </c>
    </row>
    <row r="1983" spans="1:22">
      <c r="A1983" s="174" t="s">
        <v>3936</v>
      </c>
      <c r="B1983" s="174" t="s">
        <v>3936</v>
      </c>
      <c r="C1983" s="182">
        <f t="shared" si="1"/>
        <v>158.77200000000002</v>
      </c>
      <c r="D1983" s="182">
        <v>20200</v>
      </c>
      <c r="E1983" s="182">
        <v>566</v>
      </c>
      <c r="F1983" s="182">
        <v>216</v>
      </c>
      <c r="G1983" s="182">
        <v>17.100000000000001</v>
      </c>
      <c r="H1983" s="182">
        <v>25.2</v>
      </c>
      <c r="I1983" s="182"/>
      <c r="J1983" s="182">
        <v>24</v>
      </c>
      <c r="K1983" s="182">
        <f t="shared" si="0"/>
        <v>4.2857142857142856</v>
      </c>
      <c r="L1983" s="182">
        <f t="shared" si="2"/>
        <v>27.345029239766081</v>
      </c>
      <c r="M1983" s="182">
        <v>1023400000</v>
      </c>
      <c r="N1983" s="182">
        <v>4204000</v>
      </c>
      <c r="O1983" s="182">
        <v>3616000</v>
      </c>
      <c r="P1983" s="182">
        <v>225</v>
      </c>
      <c r="Q1983" s="182">
        <v>42640000</v>
      </c>
      <c r="R1983" s="182">
        <v>632000</v>
      </c>
      <c r="S1983" s="182">
        <v>395000</v>
      </c>
      <c r="T1983" s="182">
        <v>45.9</v>
      </c>
      <c r="U1983" s="182">
        <v>3724000</v>
      </c>
      <c r="V1983" s="182">
        <v>3118000000000</v>
      </c>
    </row>
    <row r="1984" spans="1:22">
      <c r="A1984" s="174" t="s">
        <v>3937</v>
      </c>
      <c r="B1984" s="174" t="s">
        <v>3937</v>
      </c>
      <c r="C1984" s="182">
        <f t="shared" si="1"/>
        <v>107.682</v>
      </c>
      <c r="D1984" s="182">
        <v>13700</v>
      </c>
      <c r="E1984" s="182">
        <v>597</v>
      </c>
      <c r="F1984" s="182">
        <v>220</v>
      </c>
      <c r="G1984" s="182">
        <v>9.8000000000000007</v>
      </c>
      <c r="H1984" s="182">
        <v>17.5</v>
      </c>
      <c r="I1984" s="182"/>
      <c r="J1984" s="182">
        <v>24</v>
      </c>
      <c r="K1984" s="182">
        <f t="shared" si="0"/>
        <v>6.2857142857142856</v>
      </c>
      <c r="L1984" s="182">
        <f t="shared" si="2"/>
        <v>52.448979591836732</v>
      </c>
      <c r="M1984" s="182">
        <v>829200000</v>
      </c>
      <c r="N1984" s="182">
        <v>3141000</v>
      </c>
      <c r="O1984" s="182">
        <v>2778000</v>
      </c>
      <c r="P1984" s="182">
        <v>246</v>
      </c>
      <c r="Q1984" s="182">
        <v>31160000</v>
      </c>
      <c r="R1984" s="182">
        <v>442000</v>
      </c>
      <c r="S1984" s="182">
        <v>283000</v>
      </c>
      <c r="T1984" s="182">
        <v>47.699999999999996</v>
      </c>
      <c r="U1984" s="182">
        <v>1221000</v>
      </c>
      <c r="V1984" s="182">
        <v>2607000000000</v>
      </c>
    </row>
    <row r="1985" spans="1:22">
      <c r="A1985" s="174" t="s">
        <v>3938</v>
      </c>
      <c r="B1985" s="174" t="s">
        <v>3938</v>
      </c>
      <c r="C1985" s="182">
        <f t="shared" si="1"/>
        <v>122.61600000000001</v>
      </c>
      <c r="D1985" s="182">
        <v>15600</v>
      </c>
      <c r="E1985" s="182">
        <v>600</v>
      </c>
      <c r="F1985" s="182">
        <v>220</v>
      </c>
      <c r="G1985" s="182">
        <v>12</v>
      </c>
      <c r="H1985" s="182">
        <v>19</v>
      </c>
      <c r="I1985" s="182"/>
      <c r="J1985" s="182">
        <v>24</v>
      </c>
      <c r="K1985" s="182">
        <f t="shared" si="0"/>
        <v>5.7894736842105265</v>
      </c>
      <c r="L1985" s="182">
        <f t="shared" si="2"/>
        <v>42.833333333333336</v>
      </c>
      <c r="M1985" s="182">
        <v>920800000</v>
      </c>
      <c r="N1985" s="182">
        <v>3512000</v>
      </c>
      <c r="O1985" s="182">
        <v>3070000</v>
      </c>
      <c r="P1985" s="182">
        <v>243</v>
      </c>
      <c r="Q1985" s="182">
        <v>33870000</v>
      </c>
      <c r="R1985" s="182">
        <v>486000</v>
      </c>
      <c r="S1985" s="182">
        <v>308000</v>
      </c>
      <c r="T1985" s="182">
        <v>46.6</v>
      </c>
      <c r="U1985" s="182">
        <v>1652000</v>
      </c>
      <c r="V1985" s="182">
        <v>2846000000000</v>
      </c>
    </row>
    <row r="1986" spans="1:22">
      <c r="A1986" s="174" t="s">
        <v>3939</v>
      </c>
      <c r="B1986" s="174" t="s">
        <v>3939</v>
      </c>
      <c r="C1986" s="182">
        <f t="shared" si="1"/>
        <v>154.68480000000002</v>
      </c>
      <c r="D1986" s="182">
        <v>19680</v>
      </c>
      <c r="E1986" s="182">
        <v>610</v>
      </c>
      <c r="F1986" s="182">
        <v>224</v>
      </c>
      <c r="G1986" s="182">
        <v>15</v>
      </c>
      <c r="H1986" s="182">
        <v>24</v>
      </c>
      <c r="I1986" s="182"/>
      <c r="J1986" s="182">
        <v>24</v>
      </c>
      <c r="K1986" s="182">
        <f t="shared" si="0"/>
        <v>4.666666666666667</v>
      </c>
      <c r="L1986" s="182">
        <f t="shared" si="2"/>
        <v>34.266666666666666</v>
      </c>
      <c r="M1986" s="182">
        <v>1183000000</v>
      </c>
      <c r="N1986" s="182">
        <v>4471000</v>
      </c>
      <c r="O1986" s="182">
        <v>3879000</v>
      </c>
      <c r="P1986" s="182">
        <v>245</v>
      </c>
      <c r="Q1986" s="182">
        <v>45210000</v>
      </c>
      <c r="R1986" s="182">
        <v>640000</v>
      </c>
      <c r="S1986" s="182">
        <v>404000</v>
      </c>
      <c r="T1986" s="182">
        <v>47.9</v>
      </c>
      <c r="U1986" s="182">
        <v>3164000</v>
      </c>
      <c r="V1986" s="182">
        <v>3860000000000</v>
      </c>
    </row>
    <row r="1987" spans="1:22">
      <c r="A1987" s="174" t="s">
        <v>3940</v>
      </c>
      <c r="B1987" s="174" t="s">
        <v>3940</v>
      </c>
      <c r="C1987" s="182">
        <f t="shared" si="1"/>
        <v>183.76680000000002</v>
      </c>
      <c r="D1987" s="182">
        <v>23380</v>
      </c>
      <c r="E1987" s="182">
        <v>618</v>
      </c>
      <c r="F1987" s="182">
        <v>228</v>
      </c>
      <c r="G1987" s="182">
        <v>18</v>
      </c>
      <c r="H1987" s="182">
        <v>28</v>
      </c>
      <c r="I1987" s="182"/>
      <c r="J1987" s="182">
        <v>24</v>
      </c>
      <c r="K1987" s="182">
        <f t="shared" si="0"/>
        <v>4.0714285714285712</v>
      </c>
      <c r="L1987" s="182">
        <f t="shared" si="2"/>
        <v>28.555555555555557</v>
      </c>
      <c r="M1987" s="182">
        <v>1415800000</v>
      </c>
      <c r="N1987" s="182">
        <v>5324000</v>
      </c>
      <c r="O1987" s="182">
        <v>4581000</v>
      </c>
      <c r="P1987" s="182">
        <v>246</v>
      </c>
      <c r="Q1987" s="182">
        <v>55690000</v>
      </c>
      <c r="R1987" s="182">
        <v>780000</v>
      </c>
      <c r="S1987" s="182">
        <v>488000</v>
      </c>
      <c r="T1987" s="182">
        <v>48.8</v>
      </c>
      <c r="U1987" s="182">
        <v>5058000</v>
      </c>
      <c r="V1987" s="182">
        <v>4846000000000</v>
      </c>
    </row>
    <row r="1988" spans="1:22">
      <c r="A1988" s="174" t="s">
        <v>3941</v>
      </c>
      <c r="B1988" s="174" t="s">
        <v>3941</v>
      </c>
      <c r="C1988" s="182">
        <f t="shared" si="1"/>
        <v>134.0916</v>
      </c>
      <c r="D1988" s="182">
        <v>17060</v>
      </c>
      <c r="E1988" s="182">
        <v>750</v>
      </c>
      <c r="F1988" s="182">
        <v>264</v>
      </c>
      <c r="G1988" s="182">
        <v>12</v>
      </c>
      <c r="H1988" s="182">
        <v>15.5</v>
      </c>
      <c r="I1988" s="182"/>
      <c r="J1988" s="182">
        <v>17</v>
      </c>
      <c r="K1988" s="182">
        <f t="shared" si="0"/>
        <v>8.5161290322580641</v>
      </c>
      <c r="L1988" s="182">
        <f t="shared" si="2"/>
        <v>57.083333333333336</v>
      </c>
      <c r="M1988" s="182">
        <v>1507000000</v>
      </c>
      <c r="N1988" s="182">
        <v>4644000</v>
      </c>
      <c r="O1988" s="182">
        <v>4018000</v>
      </c>
      <c r="P1988" s="182">
        <v>297</v>
      </c>
      <c r="Q1988" s="182">
        <v>47880000</v>
      </c>
      <c r="R1988" s="182">
        <v>570000</v>
      </c>
      <c r="S1988" s="182">
        <v>362000</v>
      </c>
      <c r="T1988" s="182">
        <v>53</v>
      </c>
      <c r="U1988" s="182">
        <v>1196000</v>
      </c>
      <c r="V1988" s="182">
        <v>6440000000000</v>
      </c>
    </row>
    <row r="1989" spans="1:22">
      <c r="A1989" s="174" t="s">
        <v>3942</v>
      </c>
      <c r="B1989" s="174" t="s">
        <v>3942</v>
      </c>
      <c r="C1989" s="182">
        <f t="shared" si="1"/>
        <v>147.375</v>
      </c>
      <c r="D1989" s="182">
        <v>18750</v>
      </c>
      <c r="E1989" s="182">
        <v>753</v>
      </c>
      <c r="F1989" s="182">
        <v>265</v>
      </c>
      <c r="G1989" s="182">
        <v>13.2</v>
      </c>
      <c r="H1989" s="182">
        <v>17</v>
      </c>
      <c r="I1989" s="182"/>
      <c r="J1989" s="182">
        <v>17</v>
      </c>
      <c r="K1989" s="182">
        <f t="shared" ref="K1989:K2052" si="3">F1989/2/H1989</f>
        <v>7.7941176470588234</v>
      </c>
      <c r="L1989" s="182">
        <f t="shared" si="2"/>
        <v>51.893939393939398</v>
      </c>
      <c r="M1989" s="182">
        <v>1661000000</v>
      </c>
      <c r="N1989" s="182">
        <v>5110000</v>
      </c>
      <c r="O1989" s="182">
        <v>4411000</v>
      </c>
      <c r="P1989" s="182">
        <v>298</v>
      </c>
      <c r="Q1989" s="182">
        <v>52890000</v>
      </c>
      <c r="R1989" s="182">
        <v>631000</v>
      </c>
      <c r="S1989" s="182">
        <v>399000</v>
      </c>
      <c r="T1989" s="182">
        <v>53.099999999999994</v>
      </c>
      <c r="U1989" s="182">
        <v>1571000</v>
      </c>
      <c r="V1989" s="182">
        <v>7141000000000</v>
      </c>
    </row>
    <row r="1990" spans="1:22">
      <c r="A1990" s="174" t="s">
        <v>3943</v>
      </c>
      <c r="B1990" s="174" t="s">
        <v>3943</v>
      </c>
      <c r="C1990" s="182">
        <f t="shared" ref="C1990:C2053" si="4">D1990*0.00786</f>
        <v>173.9418</v>
      </c>
      <c r="D1990" s="182">
        <v>22130</v>
      </c>
      <c r="E1990" s="182">
        <v>762</v>
      </c>
      <c r="F1990" s="182">
        <v>267</v>
      </c>
      <c r="G1990" s="182">
        <v>14.4</v>
      </c>
      <c r="H1990" s="182">
        <v>21.6</v>
      </c>
      <c r="I1990" s="182"/>
      <c r="J1990" s="182">
        <v>17</v>
      </c>
      <c r="K1990" s="182">
        <f t="shared" si="3"/>
        <v>6.1805555555555554</v>
      </c>
      <c r="L1990" s="182">
        <f t="shared" ref="L1990:L2053" si="5">(E1990-2*H1990-2*J1990)/G1990</f>
        <v>47.55555555555555</v>
      </c>
      <c r="M1990" s="182">
        <v>2058000000</v>
      </c>
      <c r="N1990" s="182">
        <v>6218000</v>
      </c>
      <c r="O1990" s="182">
        <v>5402000</v>
      </c>
      <c r="P1990" s="182">
        <v>305</v>
      </c>
      <c r="Q1990" s="182">
        <v>68730000</v>
      </c>
      <c r="R1990" s="182">
        <v>810000</v>
      </c>
      <c r="S1990" s="182">
        <v>515000</v>
      </c>
      <c r="T1990" s="182">
        <v>55.7</v>
      </c>
      <c r="U1990" s="182">
        <v>2704000</v>
      </c>
      <c r="V1990" s="182">
        <v>9391000000000</v>
      </c>
    </row>
    <row r="1991" spans="1:22">
      <c r="A1991" s="174" t="s">
        <v>3944</v>
      </c>
      <c r="B1991" s="174" t="s">
        <v>3944</v>
      </c>
      <c r="C1991" s="182">
        <f t="shared" si="4"/>
        <v>197.12880000000001</v>
      </c>
      <c r="D1991" s="182">
        <v>25080</v>
      </c>
      <c r="E1991" s="182">
        <v>770</v>
      </c>
      <c r="F1991" s="182">
        <v>268</v>
      </c>
      <c r="G1991" s="182">
        <v>15.6</v>
      </c>
      <c r="H1991" s="182">
        <v>25.4</v>
      </c>
      <c r="I1991" s="182"/>
      <c r="J1991" s="182">
        <v>17</v>
      </c>
      <c r="K1991" s="182">
        <f t="shared" si="3"/>
        <v>5.2755905511811028</v>
      </c>
      <c r="L1991" s="182">
        <f t="shared" si="5"/>
        <v>43.923076923076927</v>
      </c>
      <c r="M1991" s="182">
        <v>2403000000</v>
      </c>
      <c r="N1991" s="182">
        <v>7174000</v>
      </c>
      <c r="O1991" s="182">
        <v>6241000</v>
      </c>
      <c r="P1991" s="182">
        <v>310</v>
      </c>
      <c r="Q1991" s="182">
        <v>81750000</v>
      </c>
      <c r="R1991" s="182">
        <v>959000</v>
      </c>
      <c r="S1991" s="182">
        <v>610000</v>
      </c>
      <c r="T1991" s="182">
        <v>57.1</v>
      </c>
      <c r="U1991" s="182">
        <v>4059000</v>
      </c>
      <c r="V1991" s="182">
        <v>11290000000000</v>
      </c>
    </row>
    <row r="1992" spans="1:22">
      <c r="A1992" s="174" t="s">
        <v>3945</v>
      </c>
      <c r="B1992" s="174" t="s">
        <v>3945</v>
      </c>
      <c r="C1992" s="182">
        <f t="shared" si="4"/>
        <v>220.63020000000003</v>
      </c>
      <c r="D1992" s="182">
        <v>28070</v>
      </c>
      <c r="E1992" s="182">
        <v>779</v>
      </c>
      <c r="F1992" s="182">
        <v>266</v>
      </c>
      <c r="G1992" s="182">
        <v>16.5</v>
      </c>
      <c r="H1992" s="182">
        <v>30</v>
      </c>
      <c r="I1992" s="182"/>
      <c r="J1992" s="182">
        <v>17</v>
      </c>
      <c r="K1992" s="182">
        <f t="shared" si="3"/>
        <v>4.4333333333333336</v>
      </c>
      <c r="L1992" s="182">
        <f t="shared" si="5"/>
        <v>41.515151515151516</v>
      </c>
      <c r="M1992" s="182">
        <v>2782000000</v>
      </c>
      <c r="N1992" s="182">
        <v>8198000</v>
      </c>
      <c r="O1992" s="182">
        <v>7143000</v>
      </c>
      <c r="P1992" s="182">
        <v>314.8</v>
      </c>
      <c r="Q1992" s="182">
        <v>94400000</v>
      </c>
      <c r="R1992" s="182">
        <v>1113000</v>
      </c>
      <c r="S1992" s="182">
        <v>709900</v>
      </c>
      <c r="T1992" s="182">
        <v>58</v>
      </c>
      <c r="U1992" s="182">
        <v>6071000</v>
      </c>
      <c r="V1992" s="182">
        <v>13200000000000</v>
      </c>
    </row>
    <row r="1993" spans="1:22">
      <c r="A1993" s="174" t="s">
        <v>3946</v>
      </c>
      <c r="B1993" s="174" t="s">
        <v>3946</v>
      </c>
      <c r="C1993" s="182">
        <f t="shared" si="4"/>
        <v>12.261600000000001</v>
      </c>
      <c r="D1993" s="182">
        <v>1560</v>
      </c>
      <c r="E1993" s="182">
        <v>91</v>
      </c>
      <c r="F1993" s="182">
        <v>100</v>
      </c>
      <c r="G1993" s="182">
        <v>4.2</v>
      </c>
      <c r="H1993" s="182">
        <v>5.5</v>
      </c>
      <c r="I1993" s="182"/>
      <c r="J1993" s="182">
        <v>12</v>
      </c>
      <c r="K1993" s="182">
        <f t="shared" si="3"/>
        <v>9.0909090909090917</v>
      </c>
      <c r="L1993" s="182">
        <f t="shared" si="5"/>
        <v>13.333333333333332</v>
      </c>
      <c r="M1993" s="182">
        <v>2365000</v>
      </c>
      <c r="N1993" s="182">
        <v>58360</v>
      </c>
      <c r="O1993" s="182">
        <v>51980</v>
      </c>
      <c r="P1993" s="182">
        <v>38.9</v>
      </c>
      <c r="Q1993" s="182">
        <v>920600</v>
      </c>
      <c r="R1993" s="182">
        <v>28440</v>
      </c>
      <c r="S1993" s="182">
        <v>18410</v>
      </c>
      <c r="T1993" s="182">
        <v>24.3</v>
      </c>
      <c r="U1993" s="182">
        <v>23254.446106334704</v>
      </c>
      <c r="V1993" s="182">
        <v>1680000000</v>
      </c>
    </row>
    <row r="1994" spans="1:22">
      <c r="A1994" s="174" t="s">
        <v>3947</v>
      </c>
      <c r="B1994" s="174" t="s">
        <v>3947</v>
      </c>
      <c r="C1994" s="182">
        <f t="shared" si="4"/>
        <v>16.6632</v>
      </c>
      <c r="D1994" s="182">
        <v>2120</v>
      </c>
      <c r="E1994" s="182">
        <v>96</v>
      </c>
      <c r="F1994" s="182">
        <v>100</v>
      </c>
      <c r="G1994" s="182">
        <v>5</v>
      </c>
      <c r="H1994" s="182">
        <v>8</v>
      </c>
      <c r="I1994" s="182"/>
      <c r="J1994" s="182">
        <v>12</v>
      </c>
      <c r="K1994" s="182">
        <f t="shared" si="3"/>
        <v>6.25</v>
      </c>
      <c r="L1994" s="182">
        <f t="shared" si="5"/>
        <v>11.2</v>
      </c>
      <c r="M1994" s="182">
        <v>3492000</v>
      </c>
      <c r="N1994" s="182">
        <v>83010</v>
      </c>
      <c r="O1994" s="182">
        <v>72760</v>
      </c>
      <c r="P1994" s="182">
        <v>40.599999999999994</v>
      </c>
      <c r="Q1994" s="182">
        <v>1338000</v>
      </c>
      <c r="R1994" s="182">
        <v>41140</v>
      </c>
      <c r="S1994" s="182">
        <v>26760</v>
      </c>
      <c r="T1994" s="182">
        <v>25.099999999999998</v>
      </c>
      <c r="U1994" s="182">
        <v>52835.147261937658</v>
      </c>
      <c r="V1994" s="182">
        <v>2580000000</v>
      </c>
    </row>
    <row r="1995" spans="1:22">
      <c r="A1995" s="174" t="s">
        <v>3948</v>
      </c>
      <c r="B1995" s="174" t="s">
        <v>3948</v>
      </c>
      <c r="C1995" s="182">
        <f t="shared" si="4"/>
        <v>20.436000000000003</v>
      </c>
      <c r="D1995" s="182">
        <v>2600</v>
      </c>
      <c r="E1995" s="182">
        <v>100</v>
      </c>
      <c r="F1995" s="182">
        <v>100</v>
      </c>
      <c r="G1995" s="182">
        <v>6</v>
      </c>
      <c r="H1995" s="182">
        <v>10</v>
      </c>
      <c r="I1995" s="182"/>
      <c r="J1995" s="182">
        <v>12</v>
      </c>
      <c r="K1995" s="182">
        <f t="shared" si="3"/>
        <v>5</v>
      </c>
      <c r="L1995" s="182">
        <f t="shared" si="5"/>
        <v>9.3333333333333339</v>
      </c>
      <c r="M1995" s="182">
        <v>4495000</v>
      </c>
      <c r="N1995" s="182">
        <v>104200</v>
      </c>
      <c r="O1995" s="182">
        <v>89910</v>
      </c>
      <c r="P1995" s="182">
        <v>41.6</v>
      </c>
      <c r="Q1995" s="182">
        <v>1673000</v>
      </c>
      <c r="R1995" s="182">
        <v>51420</v>
      </c>
      <c r="S1995" s="182">
        <v>33450</v>
      </c>
      <c r="T1995" s="182">
        <v>25.299999999999997</v>
      </c>
      <c r="U1995" s="182">
        <v>93309.027119109</v>
      </c>
      <c r="V1995" s="182">
        <v>3380000000</v>
      </c>
    </row>
    <row r="1996" spans="1:22">
      <c r="A1996" s="174" t="s">
        <v>3949</v>
      </c>
      <c r="B1996" s="174" t="s">
        <v>3949</v>
      </c>
      <c r="C1996" s="182">
        <f t="shared" si="4"/>
        <v>30.889799999999997</v>
      </c>
      <c r="D1996" s="182">
        <v>3929.9999999999995</v>
      </c>
      <c r="E1996" s="182">
        <v>110</v>
      </c>
      <c r="F1996" s="182">
        <v>103</v>
      </c>
      <c r="G1996" s="182">
        <v>9</v>
      </c>
      <c r="H1996" s="182">
        <v>15</v>
      </c>
      <c r="I1996" s="182"/>
      <c r="J1996" s="182">
        <v>12</v>
      </c>
      <c r="K1996" s="182">
        <f t="shared" si="3"/>
        <v>3.4333333333333331</v>
      </c>
      <c r="L1996" s="182">
        <f t="shared" si="5"/>
        <v>6.2222222222222223</v>
      </c>
      <c r="M1996" s="182">
        <v>7587000</v>
      </c>
      <c r="N1996" s="182">
        <v>165700</v>
      </c>
      <c r="O1996" s="182">
        <v>137900</v>
      </c>
      <c r="P1996" s="182">
        <v>43.9</v>
      </c>
      <c r="Q1996" s="182">
        <v>2743000</v>
      </c>
      <c r="R1996" s="182">
        <v>82070</v>
      </c>
      <c r="S1996" s="182">
        <v>53270</v>
      </c>
      <c r="T1996" s="182">
        <v>26.400000000000002</v>
      </c>
      <c r="U1996" s="182">
        <v>291097.5925807709</v>
      </c>
      <c r="V1996" s="182">
        <v>6190000000</v>
      </c>
    </row>
    <row r="1997" spans="1:22">
      <c r="A1997" s="174" t="s">
        <v>3950</v>
      </c>
      <c r="B1997" s="174" t="s">
        <v>3950</v>
      </c>
      <c r="C1997" s="182">
        <f t="shared" si="4"/>
        <v>41.815200000000004</v>
      </c>
      <c r="D1997" s="182">
        <v>5320</v>
      </c>
      <c r="E1997" s="182">
        <v>120</v>
      </c>
      <c r="F1997" s="182">
        <v>106</v>
      </c>
      <c r="G1997" s="182">
        <v>12</v>
      </c>
      <c r="H1997" s="182">
        <v>20</v>
      </c>
      <c r="I1997" s="182"/>
      <c r="J1997" s="182">
        <v>12</v>
      </c>
      <c r="K1997" s="182">
        <f t="shared" si="3"/>
        <v>2.65</v>
      </c>
      <c r="L1997" s="182">
        <f t="shared" si="5"/>
        <v>4.666666666666667</v>
      </c>
      <c r="M1997" s="182">
        <v>11430000</v>
      </c>
      <c r="N1997" s="182">
        <v>235800</v>
      </c>
      <c r="O1997" s="182">
        <v>190400</v>
      </c>
      <c r="P1997" s="182">
        <v>46.3</v>
      </c>
      <c r="Q1997" s="182">
        <v>3992000</v>
      </c>
      <c r="R1997" s="182">
        <v>116300</v>
      </c>
      <c r="S1997" s="182">
        <v>75310</v>
      </c>
      <c r="T1997" s="182">
        <v>27.400000000000002</v>
      </c>
      <c r="U1997" s="182">
        <v>672378.93121248088</v>
      </c>
      <c r="V1997" s="182">
        <v>9930000000</v>
      </c>
    </row>
    <row r="1998" spans="1:22">
      <c r="A1998" s="174" t="s">
        <v>3951</v>
      </c>
      <c r="B1998" s="174" t="s">
        <v>3951</v>
      </c>
      <c r="C1998" s="182">
        <f t="shared" si="4"/>
        <v>14.619600000000004</v>
      </c>
      <c r="D1998" s="182">
        <v>1860.0000000000002</v>
      </c>
      <c r="E1998" s="182">
        <v>109</v>
      </c>
      <c r="F1998" s="182">
        <v>120</v>
      </c>
      <c r="G1998" s="182">
        <v>4.2</v>
      </c>
      <c r="H1998" s="182">
        <v>5.5</v>
      </c>
      <c r="I1998" s="182"/>
      <c r="J1998" s="182">
        <v>12</v>
      </c>
      <c r="K1998" s="182">
        <f t="shared" si="3"/>
        <v>10.909090909090908</v>
      </c>
      <c r="L1998" s="182">
        <f t="shared" si="5"/>
        <v>17.619047619047617</v>
      </c>
      <c r="M1998" s="182">
        <v>4134000</v>
      </c>
      <c r="N1998" s="182">
        <v>84120</v>
      </c>
      <c r="O1998" s="182">
        <v>75850</v>
      </c>
      <c r="P1998" s="182">
        <v>47.199999999999996</v>
      </c>
      <c r="Q1998" s="182">
        <v>1588000</v>
      </c>
      <c r="R1998" s="182">
        <v>40620</v>
      </c>
      <c r="S1998" s="182">
        <v>26470</v>
      </c>
      <c r="T1998" s="182">
        <v>29.3</v>
      </c>
      <c r="U1998" s="182">
        <v>25917.307439668039</v>
      </c>
      <c r="V1998" s="182">
        <v>4240000000</v>
      </c>
    </row>
    <row r="1999" spans="1:22">
      <c r="A1999" s="174" t="s">
        <v>3952</v>
      </c>
      <c r="B1999" s="174" t="s">
        <v>3952</v>
      </c>
      <c r="C1999" s="182">
        <f t="shared" si="4"/>
        <v>19.885800000000003</v>
      </c>
      <c r="D1999" s="182">
        <v>2530</v>
      </c>
      <c r="E1999" s="182">
        <v>114</v>
      </c>
      <c r="F1999" s="182">
        <v>120</v>
      </c>
      <c r="G1999" s="182">
        <v>5</v>
      </c>
      <c r="H1999" s="182">
        <v>8</v>
      </c>
      <c r="I1999" s="182"/>
      <c r="J1999" s="182">
        <v>12</v>
      </c>
      <c r="K1999" s="182">
        <f t="shared" si="3"/>
        <v>7.5</v>
      </c>
      <c r="L1999" s="182">
        <f t="shared" si="5"/>
        <v>14.8</v>
      </c>
      <c r="M1999" s="182">
        <v>6062000</v>
      </c>
      <c r="N1999" s="182">
        <v>119500</v>
      </c>
      <c r="O1999" s="182">
        <v>106300</v>
      </c>
      <c r="P1999" s="182">
        <v>48.9</v>
      </c>
      <c r="Q1999" s="182">
        <v>2309000</v>
      </c>
      <c r="R1999" s="182">
        <v>58850</v>
      </c>
      <c r="S1999" s="182">
        <v>38480</v>
      </c>
      <c r="T1999" s="182">
        <v>30.2</v>
      </c>
      <c r="U1999" s="182">
        <v>60411.81392860433</v>
      </c>
      <c r="V1999" s="182">
        <v>6470000000</v>
      </c>
    </row>
    <row r="2000" spans="1:22">
      <c r="A2000" s="174" t="s">
        <v>3953</v>
      </c>
      <c r="B2000" s="174" t="s">
        <v>3953</v>
      </c>
      <c r="C2000" s="182">
        <f t="shared" si="4"/>
        <v>26.724000000000004</v>
      </c>
      <c r="D2000" s="182">
        <v>3400</v>
      </c>
      <c r="E2000" s="182">
        <v>120</v>
      </c>
      <c r="F2000" s="182">
        <v>120</v>
      </c>
      <c r="G2000" s="182">
        <v>6.5</v>
      </c>
      <c r="H2000" s="182">
        <v>11</v>
      </c>
      <c r="I2000" s="182"/>
      <c r="J2000" s="182">
        <v>12</v>
      </c>
      <c r="K2000" s="182">
        <f t="shared" si="3"/>
        <v>5.4545454545454541</v>
      </c>
      <c r="L2000" s="182">
        <f t="shared" si="5"/>
        <v>11.384615384615385</v>
      </c>
      <c r="M2000" s="182">
        <v>8644000</v>
      </c>
      <c r="N2000" s="182">
        <v>165200</v>
      </c>
      <c r="O2000" s="182">
        <v>144100</v>
      </c>
      <c r="P2000" s="182">
        <v>50.4</v>
      </c>
      <c r="Q2000" s="182">
        <v>3175000</v>
      </c>
      <c r="R2000" s="182">
        <v>80970</v>
      </c>
      <c r="S2000" s="182">
        <v>52920</v>
      </c>
      <c r="T2000" s="182">
        <v>30.6</v>
      </c>
      <c r="U2000" s="182">
        <v>139345.65277747388</v>
      </c>
      <c r="V2000" s="182">
        <v>9410000000</v>
      </c>
    </row>
    <row r="2001" spans="1:22">
      <c r="A2001" s="174" t="s">
        <v>3954</v>
      </c>
      <c r="B2001" s="174" t="s">
        <v>3954</v>
      </c>
      <c r="C2001" s="182">
        <f t="shared" si="4"/>
        <v>39.221400000000003</v>
      </c>
      <c r="D2001" s="182">
        <v>4990</v>
      </c>
      <c r="E2001" s="182">
        <v>130</v>
      </c>
      <c r="F2001" s="182">
        <v>123</v>
      </c>
      <c r="G2001" s="182">
        <v>9.5</v>
      </c>
      <c r="H2001" s="182">
        <v>16</v>
      </c>
      <c r="I2001" s="182"/>
      <c r="J2001" s="182">
        <v>12</v>
      </c>
      <c r="K2001" s="182">
        <f t="shared" si="3"/>
        <v>3.84375</v>
      </c>
      <c r="L2001" s="182">
        <f t="shared" si="5"/>
        <v>7.7894736842105265</v>
      </c>
      <c r="M2001" s="182">
        <v>13880000</v>
      </c>
      <c r="N2001" s="182">
        <v>252900</v>
      </c>
      <c r="O2001" s="182">
        <v>213500</v>
      </c>
      <c r="P2001" s="182">
        <v>52.699999999999996</v>
      </c>
      <c r="Q2001" s="182">
        <v>4976000</v>
      </c>
      <c r="R2001" s="182">
        <v>124100</v>
      </c>
      <c r="S2001" s="182">
        <v>80920</v>
      </c>
      <c r="T2001" s="182">
        <v>31.5</v>
      </c>
      <c r="U2001" s="182">
        <v>407276.42752493714</v>
      </c>
      <c r="V2001" s="182">
        <v>16170000000.000002</v>
      </c>
    </row>
    <row r="2002" spans="1:22">
      <c r="A2002" s="174" t="s">
        <v>3955</v>
      </c>
      <c r="B2002" s="174" t="s">
        <v>3955</v>
      </c>
      <c r="C2002" s="182">
        <f t="shared" si="4"/>
        <v>52.190400000000011</v>
      </c>
      <c r="D2002" s="182">
        <v>6640.0000000000009</v>
      </c>
      <c r="E2002" s="182">
        <v>140</v>
      </c>
      <c r="F2002" s="182">
        <v>126</v>
      </c>
      <c r="G2002" s="182">
        <v>12.5</v>
      </c>
      <c r="H2002" s="182">
        <v>21</v>
      </c>
      <c r="I2002" s="182"/>
      <c r="J2002" s="182">
        <v>12</v>
      </c>
      <c r="K2002" s="182">
        <f t="shared" si="3"/>
        <v>3</v>
      </c>
      <c r="L2002" s="182">
        <f t="shared" si="5"/>
        <v>5.92</v>
      </c>
      <c r="M2002" s="182">
        <v>20180000</v>
      </c>
      <c r="N2002" s="182">
        <v>350600</v>
      </c>
      <c r="O2002" s="182">
        <v>288200</v>
      </c>
      <c r="P2002" s="182">
        <v>55.099999999999994</v>
      </c>
      <c r="Q2002" s="182">
        <v>7028000</v>
      </c>
      <c r="R2002" s="182">
        <v>171600</v>
      </c>
      <c r="S2002" s="182">
        <v>111600</v>
      </c>
      <c r="T2002" s="182">
        <v>32.5</v>
      </c>
      <c r="U2002" s="182">
        <v>905155.55831909704</v>
      </c>
      <c r="V2002" s="182">
        <v>24790000000</v>
      </c>
    </row>
    <row r="2003" spans="1:22">
      <c r="A2003" s="174" t="s">
        <v>3956</v>
      </c>
      <c r="B2003" s="174" t="s">
        <v>3956</v>
      </c>
      <c r="C2003" s="182">
        <f t="shared" si="4"/>
        <v>18.078000000000003</v>
      </c>
      <c r="D2003" s="182">
        <v>2300</v>
      </c>
      <c r="E2003" s="182">
        <v>128</v>
      </c>
      <c r="F2003" s="182">
        <v>140</v>
      </c>
      <c r="G2003" s="182">
        <v>4.3</v>
      </c>
      <c r="H2003" s="182">
        <v>6</v>
      </c>
      <c r="I2003" s="182"/>
      <c r="J2003" s="182">
        <v>12</v>
      </c>
      <c r="K2003" s="182">
        <f t="shared" si="3"/>
        <v>11.666666666666666</v>
      </c>
      <c r="L2003" s="182">
        <f t="shared" si="5"/>
        <v>21.395348837209305</v>
      </c>
      <c r="M2003" s="182">
        <v>7195000</v>
      </c>
      <c r="N2003" s="182">
        <v>123800</v>
      </c>
      <c r="O2003" s="182">
        <v>112400</v>
      </c>
      <c r="P2003" s="182">
        <v>55.9</v>
      </c>
      <c r="Q2003" s="182">
        <v>2748000</v>
      </c>
      <c r="R2003" s="182">
        <v>59930</v>
      </c>
      <c r="S2003" s="182">
        <v>39260</v>
      </c>
      <c r="T2003" s="182">
        <v>34.5</v>
      </c>
      <c r="U2003" s="182">
        <v>34339.031436124373</v>
      </c>
      <c r="V2003" s="182">
        <v>10210000000</v>
      </c>
    </row>
    <row r="2004" spans="1:22">
      <c r="A2004" s="174" t="s">
        <v>3957</v>
      </c>
      <c r="B2004" s="174" t="s">
        <v>3957</v>
      </c>
      <c r="C2004" s="182">
        <f t="shared" si="4"/>
        <v>24.680400000000002</v>
      </c>
      <c r="D2004" s="182">
        <v>3140</v>
      </c>
      <c r="E2004" s="182">
        <v>133</v>
      </c>
      <c r="F2004" s="182">
        <v>140</v>
      </c>
      <c r="G2004" s="182">
        <v>5.5</v>
      </c>
      <c r="H2004" s="182">
        <v>8.5</v>
      </c>
      <c r="I2004" s="182"/>
      <c r="J2004" s="182">
        <v>12</v>
      </c>
      <c r="K2004" s="182">
        <f t="shared" si="3"/>
        <v>8.235294117647058</v>
      </c>
      <c r="L2004" s="182">
        <f t="shared" si="5"/>
        <v>16.727272727272727</v>
      </c>
      <c r="M2004" s="182">
        <v>10330000</v>
      </c>
      <c r="N2004" s="182">
        <v>173500</v>
      </c>
      <c r="O2004" s="182">
        <v>155400</v>
      </c>
      <c r="P2004" s="182">
        <v>57.300000000000004</v>
      </c>
      <c r="Q2004" s="182">
        <v>3893000</v>
      </c>
      <c r="R2004" s="182">
        <v>84850</v>
      </c>
      <c r="S2004" s="182">
        <v>55620</v>
      </c>
      <c r="T2004" s="182">
        <v>35.200000000000003</v>
      </c>
      <c r="U2004" s="182">
        <v>81016.63584879569</v>
      </c>
      <c r="V2004" s="182">
        <v>15060000000</v>
      </c>
    </row>
    <row r="2005" spans="1:22">
      <c r="A2005" s="174" t="s">
        <v>3958</v>
      </c>
      <c r="B2005" s="174" t="s">
        <v>3958</v>
      </c>
      <c r="C2005" s="182">
        <f t="shared" si="4"/>
        <v>33.798000000000002</v>
      </c>
      <c r="D2005" s="182">
        <v>4300</v>
      </c>
      <c r="E2005" s="182">
        <v>140</v>
      </c>
      <c r="F2005" s="182">
        <v>140</v>
      </c>
      <c r="G2005" s="182">
        <v>7</v>
      </c>
      <c r="H2005" s="182">
        <v>12</v>
      </c>
      <c r="I2005" s="182"/>
      <c r="J2005" s="182">
        <v>12</v>
      </c>
      <c r="K2005" s="182">
        <f t="shared" si="3"/>
        <v>5.833333333333333</v>
      </c>
      <c r="L2005" s="182">
        <f t="shared" si="5"/>
        <v>13.142857142857142</v>
      </c>
      <c r="M2005" s="182">
        <v>15090000</v>
      </c>
      <c r="N2005" s="182">
        <v>245400</v>
      </c>
      <c r="O2005" s="182">
        <v>215600</v>
      </c>
      <c r="P2005" s="182">
        <v>59.3</v>
      </c>
      <c r="Q2005" s="182">
        <v>5497000</v>
      </c>
      <c r="R2005" s="182">
        <v>119800</v>
      </c>
      <c r="S2005" s="182">
        <v>78520</v>
      </c>
      <c r="T2005" s="182">
        <v>35.799999999999997</v>
      </c>
      <c r="U2005" s="182">
        <v>201567.24240247672</v>
      </c>
      <c r="V2005" s="182">
        <v>22480000000</v>
      </c>
    </row>
    <row r="2006" spans="1:22">
      <c r="A2006" s="174" t="s">
        <v>3959</v>
      </c>
      <c r="B2006" s="174" t="s">
        <v>3959</v>
      </c>
      <c r="C2006" s="182">
        <f t="shared" si="4"/>
        <v>48.339000000000006</v>
      </c>
      <c r="D2006" s="182">
        <v>6150</v>
      </c>
      <c r="E2006" s="182">
        <v>150</v>
      </c>
      <c r="F2006" s="182">
        <v>143</v>
      </c>
      <c r="G2006" s="182">
        <v>10</v>
      </c>
      <c r="H2006" s="182">
        <v>17</v>
      </c>
      <c r="I2006" s="182"/>
      <c r="J2006" s="182">
        <v>12</v>
      </c>
      <c r="K2006" s="182">
        <f t="shared" si="3"/>
        <v>4.2058823529411766</v>
      </c>
      <c r="L2006" s="182">
        <f t="shared" si="5"/>
        <v>9.1999999999999993</v>
      </c>
      <c r="M2006" s="182">
        <v>23300000</v>
      </c>
      <c r="N2006" s="182">
        <v>363800</v>
      </c>
      <c r="O2006" s="182">
        <v>310600</v>
      </c>
      <c r="P2006" s="182">
        <v>61.5</v>
      </c>
      <c r="Q2006" s="182">
        <v>8302000</v>
      </c>
      <c r="R2006" s="182">
        <v>177600</v>
      </c>
      <c r="S2006" s="182">
        <v>116100</v>
      </c>
      <c r="T2006" s="182">
        <v>36.700000000000003</v>
      </c>
      <c r="U2006" s="182">
        <v>553768.46303017461</v>
      </c>
      <c r="V2006" s="182">
        <v>36710000000</v>
      </c>
    </row>
    <row r="2007" spans="1:22">
      <c r="A2007" s="174" t="s">
        <v>3960</v>
      </c>
      <c r="B2007" s="174" t="s">
        <v>3960</v>
      </c>
      <c r="C2007" s="182">
        <f t="shared" si="4"/>
        <v>63.351599999999998</v>
      </c>
      <c r="D2007" s="182">
        <v>8059.9999999999991</v>
      </c>
      <c r="E2007" s="182">
        <v>160</v>
      </c>
      <c r="F2007" s="182">
        <v>146</v>
      </c>
      <c r="G2007" s="182">
        <v>13</v>
      </c>
      <c r="H2007" s="182">
        <v>22</v>
      </c>
      <c r="I2007" s="182"/>
      <c r="J2007" s="182">
        <v>12</v>
      </c>
      <c r="K2007" s="182">
        <f t="shared" si="3"/>
        <v>3.3181818181818183</v>
      </c>
      <c r="L2007" s="182">
        <f t="shared" si="5"/>
        <v>7.0769230769230766</v>
      </c>
      <c r="M2007" s="182">
        <v>32910000</v>
      </c>
      <c r="N2007" s="182">
        <v>493800</v>
      </c>
      <c r="O2007" s="182">
        <v>411400</v>
      </c>
      <c r="P2007" s="182">
        <v>63.9</v>
      </c>
      <c r="Q2007" s="182">
        <v>11440000</v>
      </c>
      <c r="R2007" s="182">
        <v>240500</v>
      </c>
      <c r="S2007" s="182">
        <v>156800</v>
      </c>
      <c r="T2007" s="182">
        <v>37.700000000000003</v>
      </c>
      <c r="U2007" s="182">
        <v>1186658.4632075001</v>
      </c>
      <c r="V2007" s="182">
        <v>54330000000</v>
      </c>
    </row>
    <row r="2008" spans="1:22">
      <c r="A2008" s="174" t="s">
        <v>3961</v>
      </c>
      <c r="B2008" s="174" t="s">
        <v>3961</v>
      </c>
      <c r="C2008" s="182">
        <f t="shared" si="4"/>
        <v>23.894400000000001</v>
      </c>
      <c r="D2008" s="182">
        <v>3040</v>
      </c>
      <c r="E2008" s="182">
        <v>148</v>
      </c>
      <c r="F2008" s="182">
        <v>160</v>
      </c>
      <c r="G2008" s="182">
        <v>4.5</v>
      </c>
      <c r="H2008" s="182">
        <v>7</v>
      </c>
      <c r="I2008" s="182"/>
      <c r="J2008" s="182">
        <v>15</v>
      </c>
      <c r="K2008" s="182">
        <f t="shared" si="3"/>
        <v>11.428571428571429</v>
      </c>
      <c r="L2008" s="182">
        <f t="shared" si="5"/>
        <v>23.111111111111111</v>
      </c>
      <c r="M2008" s="182">
        <v>12830000</v>
      </c>
      <c r="N2008" s="182">
        <v>190400</v>
      </c>
      <c r="O2008" s="182">
        <v>173400</v>
      </c>
      <c r="P2008" s="182">
        <v>65</v>
      </c>
      <c r="Q2008" s="182">
        <v>4787000</v>
      </c>
      <c r="R2008" s="182">
        <v>91360</v>
      </c>
      <c r="S2008" s="182">
        <v>59840</v>
      </c>
      <c r="T2008" s="182">
        <v>39.700000000000003</v>
      </c>
      <c r="U2008" s="182">
        <v>64317.809526968187</v>
      </c>
      <c r="V2008" s="182">
        <v>23750000000</v>
      </c>
    </row>
    <row r="2009" spans="1:22">
      <c r="A2009" s="174" t="s">
        <v>3962</v>
      </c>
      <c r="B2009" s="174" t="s">
        <v>3962</v>
      </c>
      <c r="C2009" s="182">
        <f t="shared" si="4"/>
        <v>30.4968</v>
      </c>
      <c r="D2009" s="182">
        <v>3879.9999999999995</v>
      </c>
      <c r="E2009" s="182">
        <v>152</v>
      </c>
      <c r="F2009" s="182">
        <v>160</v>
      </c>
      <c r="G2009" s="182">
        <v>6</v>
      </c>
      <c r="H2009" s="182">
        <v>9</v>
      </c>
      <c r="I2009" s="182"/>
      <c r="J2009" s="182">
        <v>15</v>
      </c>
      <c r="K2009" s="182">
        <f t="shared" si="3"/>
        <v>8.8888888888888893</v>
      </c>
      <c r="L2009" s="182">
        <f t="shared" si="5"/>
        <v>17.333333333333332</v>
      </c>
      <c r="M2009" s="182">
        <v>16730000</v>
      </c>
      <c r="N2009" s="182">
        <v>245100</v>
      </c>
      <c r="O2009" s="182">
        <v>220100</v>
      </c>
      <c r="P2009" s="182">
        <v>65.7</v>
      </c>
      <c r="Q2009" s="182">
        <v>6156000</v>
      </c>
      <c r="R2009" s="182">
        <v>117600</v>
      </c>
      <c r="S2009" s="182">
        <v>76950</v>
      </c>
      <c r="T2009" s="182">
        <v>39.799999999999997</v>
      </c>
      <c r="U2009" s="182">
        <v>120982.65500350125</v>
      </c>
      <c r="V2009" s="182">
        <v>31410000000</v>
      </c>
    </row>
    <row r="2010" spans="1:22">
      <c r="A2010" s="174" t="s">
        <v>3963</v>
      </c>
      <c r="B2010" s="174" t="s">
        <v>3963</v>
      </c>
      <c r="C2010" s="182">
        <f t="shared" si="4"/>
        <v>42.6798</v>
      </c>
      <c r="D2010" s="182">
        <v>5430</v>
      </c>
      <c r="E2010" s="182">
        <v>160</v>
      </c>
      <c r="F2010" s="182">
        <v>160</v>
      </c>
      <c r="G2010" s="182">
        <v>8</v>
      </c>
      <c r="H2010" s="182">
        <v>13</v>
      </c>
      <c r="I2010" s="182"/>
      <c r="J2010" s="182">
        <v>15</v>
      </c>
      <c r="K2010" s="182">
        <f t="shared" si="3"/>
        <v>6.1538461538461542</v>
      </c>
      <c r="L2010" s="182">
        <f t="shared" si="5"/>
        <v>13</v>
      </c>
      <c r="M2010" s="182">
        <v>24920000</v>
      </c>
      <c r="N2010" s="182">
        <v>354000</v>
      </c>
      <c r="O2010" s="182">
        <v>311500</v>
      </c>
      <c r="P2010" s="182">
        <v>67.8</v>
      </c>
      <c r="Q2010" s="182">
        <v>8892000</v>
      </c>
      <c r="R2010" s="182">
        <v>170000</v>
      </c>
      <c r="S2010" s="182">
        <v>111200</v>
      </c>
      <c r="T2010" s="182">
        <v>40.5</v>
      </c>
      <c r="U2010" s="182">
        <v>312736.3036576329</v>
      </c>
      <c r="V2010" s="182">
        <v>47940000000</v>
      </c>
    </row>
    <row r="2011" spans="1:22">
      <c r="A2011" s="174" t="s">
        <v>3964</v>
      </c>
      <c r="B2011" s="174" t="s">
        <v>3964</v>
      </c>
      <c r="C2011" s="182">
        <f t="shared" si="4"/>
        <v>59.264400000000009</v>
      </c>
      <c r="D2011" s="182">
        <v>7540.0000000000009</v>
      </c>
      <c r="E2011" s="182">
        <v>170</v>
      </c>
      <c r="F2011" s="182">
        <v>163</v>
      </c>
      <c r="G2011" s="182">
        <v>11</v>
      </c>
      <c r="H2011" s="182">
        <v>18</v>
      </c>
      <c r="I2011" s="182"/>
      <c r="J2011" s="182">
        <v>15</v>
      </c>
      <c r="K2011" s="182">
        <f t="shared" si="3"/>
        <v>4.5277777777777777</v>
      </c>
      <c r="L2011" s="182">
        <f t="shared" si="5"/>
        <v>9.454545454545455</v>
      </c>
      <c r="M2011" s="182">
        <v>37040000</v>
      </c>
      <c r="N2011" s="182">
        <v>507600</v>
      </c>
      <c r="O2011" s="182">
        <v>435700</v>
      </c>
      <c r="P2011" s="182">
        <v>70.099999999999994</v>
      </c>
      <c r="Q2011" s="182">
        <v>13020000</v>
      </c>
      <c r="R2011" s="182">
        <v>244800</v>
      </c>
      <c r="S2011" s="182">
        <v>159800</v>
      </c>
      <c r="T2011" s="182">
        <v>41.5</v>
      </c>
      <c r="U2011" s="182">
        <v>786927.1933247291</v>
      </c>
      <c r="V2011" s="182">
        <v>75220000000</v>
      </c>
    </row>
    <row r="2012" spans="1:22">
      <c r="A2012" s="174" t="s">
        <v>3965</v>
      </c>
      <c r="B2012" s="174" t="s">
        <v>3965</v>
      </c>
      <c r="C2012" s="182">
        <f t="shared" si="4"/>
        <v>76.320600000000013</v>
      </c>
      <c r="D2012" s="182">
        <v>9710</v>
      </c>
      <c r="E2012" s="182">
        <v>180</v>
      </c>
      <c r="F2012" s="182">
        <v>166</v>
      </c>
      <c r="G2012" s="182">
        <v>14</v>
      </c>
      <c r="H2012" s="182">
        <v>23</v>
      </c>
      <c r="I2012" s="182"/>
      <c r="J2012" s="182">
        <v>15</v>
      </c>
      <c r="K2012" s="182">
        <f t="shared" si="3"/>
        <v>3.6086956521739131</v>
      </c>
      <c r="L2012" s="182">
        <f t="shared" si="5"/>
        <v>7.4285714285714288</v>
      </c>
      <c r="M2012" s="182">
        <v>50980000</v>
      </c>
      <c r="N2012" s="182">
        <v>674600</v>
      </c>
      <c r="O2012" s="182">
        <v>566500</v>
      </c>
      <c r="P2012" s="182">
        <v>72.5</v>
      </c>
      <c r="Q2012" s="182">
        <v>17590000</v>
      </c>
      <c r="R2012" s="182">
        <v>325500</v>
      </c>
      <c r="S2012" s="182">
        <v>211900</v>
      </c>
      <c r="T2012" s="182">
        <v>42.599999999999994</v>
      </c>
      <c r="U2012" s="182">
        <v>1605914.6329965757</v>
      </c>
      <c r="V2012" s="182">
        <v>108100000000</v>
      </c>
    </row>
    <row r="2013" spans="1:22">
      <c r="A2013" s="174" t="s">
        <v>3966</v>
      </c>
      <c r="B2013" s="174" t="s">
        <v>3966</v>
      </c>
      <c r="C2013" s="182">
        <f t="shared" si="4"/>
        <v>28.689000000000004</v>
      </c>
      <c r="D2013" s="182">
        <v>3650</v>
      </c>
      <c r="E2013" s="182">
        <v>167</v>
      </c>
      <c r="F2013" s="182">
        <v>180</v>
      </c>
      <c r="G2013" s="182">
        <v>5</v>
      </c>
      <c r="H2013" s="182">
        <v>7.5</v>
      </c>
      <c r="I2013" s="182"/>
      <c r="J2013" s="182">
        <v>15</v>
      </c>
      <c r="K2013" s="182">
        <f t="shared" si="3"/>
        <v>12</v>
      </c>
      <c r="L2013" s="182">
        <f t="shared" si="5"/>
        <v>24.4</v>
      </c>
      <c r="M2013" s="182">
        <v>19670000</v>
      </c>
      <c r="N2013" s="182">
        <v>258200</v>
      </c>
      <c r="O2013" s="182">
        <v>235600</v>
      </c>
      <c r="P2013" s="182">
        <v>73.400000000000006</v>
      </c>
      <c r="Q2013" s="182">
        <v>7300000</v>
      </c>
      <c r="R2013" s="182">
        <v>123600</v>
      </c>
      <c r="S2013" s="182">
        <v>81110</v>
      </c>
      <c r="T2013" s="182">
        <v>44.699999999999996</v>
      </c>
      <c r="U2013" s="182">
        <v>83145.740738751716</v>
      </c>
      <c r="V2013" s="182">
        <v>46360000000</v>
      </c>
    </row>
    <row r="2014" spans="1:22">
      <c r="A2014" s="174" t="s">
        <v>3967</v>
      </c>
      <c r="B2014" s="174" t="s">
        <v>3967</v>
      </c>
      <c r="C2014" s="182">
        <f t="shared" si="4"/>
        <v>35.605800000000002</v>
      </c>
      <c r="D2014" s="182">
        <v>4530</v>
      </c>
      <c r="E2014" s="182">
        <v>171</v>
      </c>
      <c r="F2014" s="182">
        <v>180</v>
      </c>
      <c r="G2014" s="182">
        <v>6</v>
      </c>
      <c r="H2014" s="182">
        <v>9.5</v>
      </c>
      <c r="I2014" s="182"/>
      <c r="J2014" s="182">
        <v>15</v>
      </c>
      <c r="K2014" s="182">
        <f t="shared" si="3"/>
        <v>9.473684210526315</v>
      </c>
      <c r="L2014" s="182">
        <f t="shared" si="5"/>
        <v>20.333333333333332</v>
      </c>
      <c r="M2014" s="182">
        <v>25100000</v>
      </c>
      <c r="N2014" s="182">
        <v>324900</v>
      </c>
      <c r="O2014" s="182">
        <v>293600</v>
      </c>
      <c r="P2014" s="182">
        <v>74.5</v>
      </c>
      <c r="Q2014" s="182">
        <v>9246000</v>
      </c>
      <c r="R2014" s="182">
        <v>156500</v>
      </c>
      <c r="S2014" s="182">
        <v>102700</v>
      </c>
      <c r="T2014" s="182">
        <v>45.199999999999996</v>
      </c>
      <c r="U2014" s="182">
        <v>148898.71542266055</v>
      </c>
      <c r="V2014" s="182">
        <v>60210000000</v>
      </c>
    </row>
    <row r="2015" spans="1:22">
      <c r="A2015" s="174" t="s">
        <v>3968</v>
      </c>
      <c r="B2015" s="174" t="s">
        <v>3968</v>
      </c>
      <c r="C2015" s="182">
        <f t="shared" si="4"/>
        <v>51.325800000000001</v>
      </c>
      <c r="D2015" s="182">
        <v>6530</v>
      </c>
      <c r="E2015" s="182">
        <v>180</v>
      </c>
      <c r="F2015" s="182">
        <v>180</v>
      </c>
      <c r="G2015" s="182">
        <v>8.5</v>
      </c>
      <c r="H2015" s="182">
        <v>14</v>
      </c>
      <c r="I2015" s="182"/>
      <c r="J2015" s="182">
        <v>15</v>
      </c>
      <c r="K2015" s="182">
        <f t="shared" si="3"/>
        <v>6.4285714285714288</v>
      </c>
      <c r="L2015" s="182">
        <f t="shared" si="5"/>
        <v>14.352941176470589</v>
      </c>
      <c r="M2015" s="182">
        <v>38310000</v>
      </c>
      <c r="N2015" s="182">
        <v>481400</v>
      </c>
      <c r="O2015" s="182">
        <v>425700</v>
      </c>
      <c r="P2015" s="182">
        <v>76.599999999999994</v>
      </c>
      <c r="Q2015" s="182">
        <v>13630000</v>
      </c>
      <c r="R2015" s="182">
        <v>231000</v>
      </c>
      <c r="S2015" s="182">
        <v>151400</v>
      </c>
      <c r="T2015" s="182">
        <v>45.7</v>
      </c>
      <c r="U2015" s="182">
        <v>422106.6179562023</v>
      </c>
      <c r="V2015" s="182">
        <v>93750000000</v>
      </c>
    </row>
    <row r="2016" spans="1:22">
      <c r="A2016" s="174" t="s">
        <v>3969</v>
      </c>
      <c r="B2016" s="174" t="s">
        <v>3969</v>
      </c>
      <c r="C2016" s="182">
        <f t="shared" si="4"/>
        <v>69.954000000000008</v>
      </c>
      <c r="D2016" s="182">
        <v>8900</v>
      </c>
      <c r="E2016" s="182">
        <v>190</v>
      </c>
      <c r="F2016" s="182">
        <v>183</v>
      </c>
      <c r="G2016" s="182">
        <v>11.5</v>
      </c>
      <c r="H2016" s="182">
        <v>19</v>
      </c>
      <c r="I2016" s="182"/>
      <c r="J2016" s="182">
        <v>15</v>
      </c>
      <c r="K2016" s="182">
        <f t="shared" si="3"/>
        <v>4.8157894736842106</v>
      </c>
      <c r="L2016" s="182">
        <f t="shared" si="5"/>
        <v>10.608695652173912</v>
      </c>
      <c r="M2016" s="182">
        <v>55430000</v>
      </c>
      <c r="N2016" s="182">
        <v>675000</v>
      </c>
      <c r="O2016" s="182">
        <v>583400</v>
      </c>
      <c r="P2016" s="182">
        <v>78.899999999999991</v>
      </c>
      <c r="Q2016" s="182">
        <v>19440000</v>
      </c>
      <c r="R2016" s="182">
        <v>324900</v>
      </c>
      <c r="S2016" s="182">
        <v>212500</v>
      </c>
      <c r="T2016" s="182">
        <v>46.7</v>
      </c>
      <c r="U2016" s="182">
        <v>1014696.7061556455</v>
      </c>
      <c r="V2016" s="182">
        <v>142100000000</v>
      </c>
    </row>
    <row r="2017" spans="1:22">
      <c r="A2017" s="174" t="s">
        <v>3970</v>
      </c>
      <c r="B2017" s="174" t="s">
        <v>3970</v>
      </c>
      <c r="C2017" s="182">
        <f t="shared" si="4"/>
        <v>89.05380000000001</v>
      </c>
      <c r="D2017" s="182">
        <v>11330</v>
      </c>
      <c r="E2017" s="182">
        <v>200</v>
      </c>
      <c r="F2017" s="182">
        <v>186</v>
      </c>
      <c r="G2017" s="182">
        <v>14.5</v>
      </c>
      <c r="H2017" s="182">
        <v>24</v>
      </c>
      <c r="I2017" s="182"/>
      <c r="J2017" s="182">
        <v>15</v>
      </c>
      <c r="K2017" s="182">
        <f t="shared" si="3"/>
        <v>3.875</v>
      </c>
      <c r="L2017" s="182">
        <f t="shared" si="5"/>
        <v>8.4137931034482758</v>
      </c>
      <c r="M2017" s="182">
        <v>74830000</v>
      </c>
      <c r="N2017" s="182">
        <v>883400</v>
      </c>
      <c r="O2017" s="182">
        <v>748300</v>
      </c>
      <c r="P2017" s="182">
        <v>81.300000000000011</v>
      </c>
      <c r="Q2017" s="182">
        <v>25800000</v>
      </c>
      <c r="R2017" s="182">
        <v>425200</v>
      </c>
      <c r="S2017" s="182">
        <v>277400</v>
      </c>
      <c r="T2017" s="182">
        <v>47.699999999999996</v>
      </c>
      <c r="U2017" s="182">
        <v>2011808.1848448541</v>
      </c>
      <c r="V2017" s="182">
        <v>199300000000</v>
      </c>
    </row>
    <row r="2018" spans="1:22">
      <c r="A2018" s="174" t="s">
        <v>3971</v>
      </c>
      <c r="B2018" s="174" t="s">
        <v>3971</v>
      </c>
      <c r="C2018" s="182">
        <f t="shared" si="4"/>
        <v>34.662600000000005</v>
      </c>
      <c r="D2018" s="182">
        <v>4410</v>
      </c>
      <c r="E2018" s="182">
        <v>186</v>
      </c>
      <c r="F2018" s="182">
        <v>200</v>
      </c>
      <c r="G2018" s="182">
        <v>5.5</v>
      </c>
      <c r="H2018" s="182">
        <v>8</v>
      </c>
      <c r="I2018" s="182"/>
      <c r="J2018" s="182">
        <v>18</v>
      </c>
      <c r="K2018" s="182">
        <f t="shared" si="3"/>
        <v>12.5</v>
      </c>
      <c r="L2018" s="182">
        <f t="shared" si="5"/>
        <v>24.363636363636363</v>
      </c>
      <c r="M2018" s="182">
        <v>29440000</v>
      </c>
      <c r="N2018" s="182">
        <v>347100</v>
      </c>
      <c r="O2018" s="182">
        <v>316600</v>
      </c>
      <c r="P2018" s="182">
        <v>81.7</v>
      </c>
      <c r="Q2018" s="182">
        <v>10680000</v>
      </c>
      <c r="R2018" s="182">
        <v>163200</v>
      </c>
      <c r="S2018" s="182">
        <v>106800</v>
      </c>
      <c r="T2018" s="182">
        <v>49.2</v>
      </c>
      <c r="U2018" s="182">
        <v>125269.92879268085</v>
      </c>
      <c r="V2018" s="182">
        <v>84490000000</v>
      </c>
    </row>
    <row r="2019" spans="1:22">
      <c r="A2019" s="174" t="s">
        <v>3972</v>
      </c>
      <c r="B2019" s="174" t="s">
        <v>3972</v>
      </c>
      <c r="C2019" s="182">
        <f t="shared" si="4"/>
        <v>42.286800000000007</v>
      </c>
      <c r="D2019" s="182">
        <v>5380</v>
      </c>
      <c r="E2019" s="182">
        <v>190</v>
      </c>
      <c r="F2019" s="182">
        <v>200</v>
      </c>
      <c r="G2019" s="182">
        <v>6.5</v>
      </c>
      <c r="H2019" s="182">
        <v>10</v>
      </c>
      <c r="I2019" s="182"/>
      <c r="J2019" s="182">
        <v>18</v>
      </c>
      <c r="K2019" s="182">
        <f t="shared" si="3"/>
        <v>10</v>
      </c>
      <c r="L2019" s="182">
        <f t="shared" si="5"/>
        <v>20.615384615384617</v>
      </c>
      <c r="M2019" s="182">
        <v>36920000</v>
      </c>
      <c r="N2019" s="182">
        <v>429500</v>
      </c>
      <c r="O2019" s="182">
        <v>388600</v>
      </c>
      <c r="P2019" s="182">
        <v>82.8</v>
      </c>
      <c r="Q2019" s="182">
        <v>13360000</v>
      </c>
      <c r="R2019" s="182">
        <v>203800</v>
      </c>
      <c r="S2019" s="182">
        <v>133600</v>
      </c>
      <c r="T2019" s="182">
        <v>49.800000000000004</v>
      </c>
      <c r="U2019" s="182">
        <v>210489.02143841051</v>
      </c>
      <c r="V2019" s="182">
        <v>108000000000</v>
      </c>
    </row>
    <row r="2020" spans="1:22">
      <c r="A2020" s="174" t="s">
        <v>3973</v>
      </c>
      <c r="B2020" s="174" t="s">
        <v>3973</v>
      </c>
      <c r="C2020" s="182">
        <f t="shared" si="4"/>
        <v>61.386600000000001</v>
      </c>
      <c r="D2020" s="182">
        <v>7809.9999999999991</v>
      </c>
      <c r="E2020" s="182">
        <v>200</v>
      </c>
      <c r="F2020" s="182">
        <v>200</v>
      </c>
      <c r="G2020" s="182">
        <v>9</v>
      </c>
      <c r="H2020" s="182">
        <v>15</v>
      </c>
      <c r="I2020" s="182"/>
      <c r="J2020" s="182">
        <v>18</v>
      </c>
      <c r="K2020" s="182">
        <f t="shared" si="3"/>
        <v>6.666666666666667</v>
      </c>
      <c r="L2020" s="182">
        <f t="shared" si="5"/>
        <v>14.888888888888889</v>
      </c>
      <c r="M2020" s="182">
        <v>56960000</v>
      </c>
      <c r="N2020" s="182">
        <v>642500</v>
      </c>
      <c r="O2020" s="182">
        <v>569600</v>
      </c>
      <c r="P2020" s="182">
        <v>85.399999999999991</v>
      </c>
      <c r="Q2020" s="182">
        <v>20030000</v>
      </c>
      <c r="R2020" s="182">
        <v>305800</v>
      </c>
      <c r="S2020" s="182">
        <v>200300</v>
      </c>
      <c r="T2020" s="182">
        <v>50.7</v>
      </c>
      <c r="U2020" s="182">
        <v>597026.94979048939</v>
      </c>
      <c r="V2020" s="182">
        <v>171100000000</v>
      </c>
    </row>
    <row r="2021" spans="1:22">
      <c r="A2021" s="174" t="s">
        <v>3974</v>
      </c>
      <c r="B2021" s="174" t="s">
        <v>3974</v>
      </c>
      <c r="C2021" s="182">
        <f t="shared" si="4"/>
        <v>82.058400000000006</v>
      </c>
      <c r="D2021" s="182">
        <v>10440</v>
      </c>
      <c r="E2021" s="182">
        <v>210</v>
      </c>
      <c r="F2021" s="182">
        <v>203</v>
      </c>
      <c r="G2021" s="182">
        <v>12</v>
      </c>
      <c r="H2021" s="182">
        <v>20</v>
      </c>
      <c r="I2021" s="182"/>
      <c r="J2021" s="182">
        <v>18</v>
      </c>
      <c r="K2021" s="182">
        <f t="shared" si="3"/>
        <v>5.0750000000000002</v>
      </c>
      <c r="L2021" s="182">
        <f t="shared" si="5"/>
        <v>11.166666666666666</v>
      </c>
      <c r="M2021" s="182">
        <v>80290000</v>
      </c>
      <c r="N2021" s="182">
        <v>880600</v>
      </c>
      <c r="O2021" s="182">
        <v>764700</v>
      </c>
      <c r="P2021" s="182">
        <v>87.699999999999989</v>
      </c>
      <c r="Q2021" s="182">
        <v>27940000</v>
      </c>
      <c r="R2021" s="182">
        <v>421000</v>
      </c>
      <c r="S2021" s="182">
        <v>275200</v>
      </c>
      <c r="T2021" s="182">
        <v>51.7</v>
      </c>
      <c r="U2021" s="182">
        <v>1347907.6678292488</v>
      </c>
      <c r="V2021" s="182">
        <v>252100000000</v>
      </c>
    </row>
    <row r="2022" spans="1:22">
      <c r="A2022" s="174" t="s">
        <v>3975</v>
      </c>
      <c r="B2022" s="174" t="s">
        <v>3975</v>
      </c>
      <c r="C2022" s="182">
        <f t="shared" si="4"/>
        <v>103.20180000000002</v>
      </c>
      <c r="D2022" s="182">
        <v>13130.000000000002</v>
      </c>
      <c r="E2022" s="182">
        <v>220</v>
      </c>
      <c r="F2022" s="182">
        <v>206</v>
      </c>
      <c r="G2022" s="182">
        <v>15</v>
      </c>
      <c r="H2022" s="182">
        <v>25</v>
      </c>
      <c r="I2022" s="182"/>
      <c r="J2022" s="182">
        <v>18</v>
      </c>
      <c r="K2022" s="182">
        <f t="shared" si="3"/>
        <v>4.12</v>
      </c>
      <c r="L2022" s="182">
        <f t="shared" si="5"/>
        <v>8.9333333333333336</v>
      </c>
      <c r="M2022" s="182">
        <v>106400000</v>
      </c>
      <c r="N2022" s="182">
        <v>1135000</v>
      </c>
      <c r="O2022" s="182">
        <v>967400</v>
      </c>
      <c r="P2022" s="182">
        <v>90</v>
      </c>
      <c r="Q2022" s="182">
        <v>36510000</v>
      </c>
      <c r="R2022" s="182">
        <v>543200</v>
      </c>
      <c r="S2022" s="182">
        <v>354500</v>
      </c>
      <c r="T2022" s="182">
        <v>52.699999999999996</v>
      </c>
      <c r="U2022" s="182">
        <v>2575117.3257665378</v>
      </c>
      <c r="V2022" s="182">
        <v>346300000000</v>
      </c>
    </row>
    <row r="2023" spans="1:22">
      <c r="A2023" s="174" t="s">
        <v>3976</v>
      </c>
      <c r="B2023" s="174" t="s">
        <v>3976</v>
      </c>
      <c r="C2023" s="182">
        <f t="shared" si="4"/>
        <v>40.479000000000006</v>
      </c>
      <c r="D2023" s="182">
        <v>5150</v>
      </c>
      <c r="E2023" s="182">
        <v>205</v>
      </c>
      <c r="F2023" s="182">
        <v>220</v>
      </c>
      <c r="G2023" s="182">
        <v>6</v>
      </c>
      <c r="H2023" s="182">
        <v>8.5</v>
      </c>
      <c r="I2023" s="182"/>
      <c r="J2023" s="182">
        <v>18</v>
      </c>
      <c r="K2023" s="182">
        <f t="shared" si="3"/>
        <v>12.941176470588236</v>
      </c>
      <c r="L2023" s="182">
        <f t="shared" si="5"/>
        <v>25.333333333333332</v>
      </c>
      <c r="M2023" s="182">
        <v>41700000</v>
      </c>
      <c r="N2023" s="182">
        <v>445500</v>
      </c>
      <c r="O2023" s="182">
        <v>406900</v>
      </c>
      <c r="P2023" s="182">
        <v>90</v>
      </c>
      <c r="Q2023" s="182">
        <v>15100000</v>
      </c>
      <c r="R2023" s="182">
        <v>209300</v>
      </c>
      <c r="S2023" s="182">
        <v>137300</v>
      </c>
      <c r="T2023" s="182">
        <v>54.2</v>
      </c>
      <c r="U2023" s="182">
        <v>155427.66579740835</v>
      </c>
      <c r="V2023" s="182">
        <v>145600000000</v>
      </c>
    </row>
    <row r="2024" spans="1:22">
      <c r="A2024" s="174" t="s">
        <v>3977</v>
      </c>
      <c r="B2024" s="174" t="s">
        <v>3977</v>
      </c>
      <c r="C2024" s="182">
        <f t="shared" si="4"/>
        <v>50.539800000000007</v>
      </c>
      <c r="D2024" s="182">
        <v>6430</v>
      </c>
      <c r="E2024" s="182">
        <v>210</v>
      </c>
      <c r="F2024" s="182">
        <v>220</v>
      </c>
      <c r="G2024" s="182">
        <v>7</v>
      </c>
      <c r="H2024" s="182">
        <v>11</v>
      </c>
      <c r="I2024" s="182"/>
      <c r="J2024" s="182">
        <v>18</v>
      </c>
      <c r="K2024" s="182">
        <f t="shared" si="3"/>
        <v>10</v>
      </c>
      <c r="L2024" s="182">
        <f t="shared" si="5"/>
        <v>21.714285714285715</v>
      </c>
      <c r="M2024" s="182">
        <v>54100000</v>
      </c>
      <c r="N2024" s="182">
        <v>568500</v>
      </c>
      <c r="O2024" s="182">
        <v>515200.00000000006</v>
      </c>
      <c r="P2024" s="182">
        <v>91.7</v>
      </c>
      <c r="Q2024" s="182">
        <v>19550000</v>
      </c>
      <c r="R2024" s="182">
        <v>270600</v>
      </c>
      <c r="S2024" s="182">
        <v>177700</v>
      </c>
      <c r="T2024" s="182">
        <v>55.099999999999994</v>
      </c>
      <c r="U2024" s="182">
        <v>286142.98976705183</v>
      </c>
      <c r="V2024" s="182">
        <v>193300000000</v>
      </c>
    </row>
    <row r="2025" spans="1:22">
      <c r="A2025" s="174" t="s">
        <v>3978</v>
      </c>
      <c r="B2025" s="174" t="s">
        <v>3978</v>
      </c>
      <c r="C2025" s="182">
        <f t="shared" si="4"/>
        <v>71.52600000000001</v>
      </c>
      <c r="D2025" s="182">
        <v>9100</v>
      </c>
      <c r="E2025" s="182">
        <v>220</v>
      </c>
      <c r="F2025" s="182">
        <v>220</v>
      </c>
      <c r="G2025" s="182">
        <v>9.5</v>
      </c>
      <c r="H2025" s="182">
        <v>16</v>
      </c>
      <c r="I2025" s="182"/>
      <c r="J2025" s="182">
        <v>18</v>
      </c>
      <c r="K2025" s="182">
        <f t="shared" si="3"/>
        <v>6.875</v>
      </c>
      <c r="L2025" s="182">
        <f t="shared" si="5"/>
        <v>16</v>
      </c>
      <c r="M2025" s="182">
        <v>80910000</v>
      </c>
      <c r="N2025" s="182">
        <v>827000</v>
      </c>
      <c r="O2025" s="182">
        <v>735500</v>
      </c>
      <c r="P2025" s="182">
        <v>94.3</v>
      </c>
      <c r="Q2025" s="182">
        <v>28430000</v>
      </c>
      <c r="R2025" s="182">
        <v>393900</v>
      </c>
      <c r="S2025" s="182">
        <v>258500</v>
      </c>
      <c r="T2025" s="182">
        <v>55.9</v>
      </c>
      <c r="U2025" s="182">
        <v>770281.40663719422</v>
      </c>
      <c r="V2025" s="182">
        <v>295400000000</v>
      </c>
    </row>
    <row r="2026" spans="1:22">
      <c r="A2026" s="174" t="s">
        <v>3979</v>
      </c>
      <c r="B2026" s="174" t="s">
        <v>3979</v>
      </c>
      <c r="C2026" s="182">
        <f t="shared" si="4"/>
        <v>94.241400000000013</v>
      </c>
      <c r="D2026" s="182">
        <v>11990</v>
      </c>
      <c r="E2026" s="182">
        <v>230</v>
      </c>
      <c r="F2026" s="182">
        <v>223</v>
      </c>
      <c r="G2026" s="182">
        <v>12.5</v>
      </c>
      <c r="H2026" s="182">
        <v>21</v>
      </c>
      <c r="I2026" s="182"/>
      <c r="J2026" s="182">
        <v>18</v>
      </c>
      <c r="K2026" s="182">
        <f t="shared" si="3"/>
        <v>5.3095238095238093</v>
      </c>
      <c r="L2026" s="182">
        <f t="shared" si="5"/>
        <v>12.16</v>
      </c>
      <c r="M2026" s="182">
        <v>111800000</v>
      </c>
      <c r="N2026" s="182">
        <v>1114000</v>
      </c>
      <c r="O2026" s="182">
        <v>972100</v>
      </c>
      <c r="P2026" s="182">
        <v>96.5</v>
      </c>
      <c r="Q2026" s="182">
        <v>38870000</v>
      </c>
      <c r="R2026" s="182">
        <v>532300</v>
      </c>
      <c r="S2026" s="182">
        <v>348600</v>
      </c>
      <c r="T2026" s="182">
        <v>56.900000000000006</v>
      </c>
      <c r="U2026" s="182">
        <v>1678206.9532138021</v>
      </c>
      <c r="V2026" s="182">
        <v>424500000000</v>
      </c>
    </row>
    <row r="2027" spans="1:22">
      <c r="A2027" s="174" t="s">
        <v>3980</v>
      </c>
      <c r="B2027" s="174" t="s">
        <v>3980</v>
      </c>
      <c r="C2027" s="182">
        <f t="shared" si="4"/>
        <v>117.42840000000001</v>
      </c>
      <c r="D2027" s="182">
        <v>14940</v>
      </c>
      <c r="E2027" s="182">
        <v>240</v>
      </c>
      <c r="F2027" s="182">
        <v>226</v>
      </c>
      <c r="G2027" s="182">
        <v>15.5</v>
      </c>
      <c r="H2027" s="182">
        <v>26</v>
      </c>
      <c r="I2027" s="182"/>
      <c r="J2027" s="182">
        <v>18</v>
      </c>
      <c r="K2027" s="182">
        <f t="shared" si="3"/>
        <v>4.3461538461538458</v>
      </c>
      <c r="L2027" s="182">
        <f t="shared" si="5"/>
        <v>9.806451612903226</v>
      </c>
      <c r="M2027" s="182">
        <v>146000000</v>
      </c>
      <c r="N2027" s="182">
        <v>1419000</v>
      </c>
      <c r="O2027" s="182">
        <v>1217000</v>
      </c>
      <c r="P2027" s="182">
        <v>98.9</v>
      </c>
      <c r="Q2027" s="182">
        <v>50120000</v>
      </c>
      <c r="R2027" s="182">
        <v>678600</v>
      </c>
      <c r="S2027" s="182">
        <v>443500</v>
      </c>
      <c r="T2027" s="182">
        <v>57.9</v>
      </c>
      <c r="U2027" s="182">
        <v>3130963.3735395228</v>
      </c>
      <c r="V2027" s="182">
        <v>572700000000</v>
      </c>
    </row>
    <row r="2028" spans="1:22">
      <c r="A2028" s="174" t="s">
        <v>3981</v>
      </c>
      <c r="B2028" s="174" t="s">
        <v>3981</v>
      </c>
      <c r="C2028" s="182">
        <f t="shared" si="4"/>
        <v>47.474400000000003</v>
      </c>
      <c r="D2028" s="182">
        <v>6040</v>
      </c>
      <c r="E2028" s="182">
        <v>224</v>
      </c>
      <c r="F2028" s="182">
        <v>240</v>
      </c>
      <c r="G2028" s="182">
        <v>6.5</v>
      </c>
      <c r="H2028" s="182">
        <v>9</v>
      </c>
      <c r="I2028" s="182"/>
      <c r="J2028" s="182">
        <v>21</v>
      </c>
      <c r="K2028" s="182">
        <f t="shared" si="3"/>
        <v>13.333333333333334</v>
      </c>
      <c r="L2028" s="182">
        <f t="shared" si="5"/>
        <v>25.23076923076923</v>
      </c>
      <c r="M2028" s="182">
        <v>58350000</v>
      </c>
      <c r="N2028" s="182">
        <v>570600</v>
      </c>
      <c r="O2028" s="182">
        <v>521000</v>
      </c>
      <c r="P2028" s="182">
        <v>98.3</v>
      </c>
      <c r="Q2028" s="182">
        <v>20770000</v>
      </c>
      <c r="R2028" s="182">
        <v>264400</v>
      </c>
      <c r="S2028" s="182">
        <v>173100</v>
      </c>
      <c r="T2028" s="182">
        <v>58.7</v>
      </c>
      <c r="U2028" s="182">
        <v>221490.63243655825</v>
      </c>
      <c r="V2028" s="182">
        <v>239600000000</v>
      </c>
    </row>
    <row r="2029" spans="1:22">
      <c r="A2029" s="174" t="s">
        <v>3982</v>
      </c>
      <c r="B2029" s="174" t="s">
        <v>3982</v>
      </c>
      <c r="C2029" s="182">
        <f t="shared" si="4"/>
        <v>60.364800000000002</v>
      </c>
      <c r="D2029" s="182">
        <v>7680</v>
      </c>
      <c r="E2029" s="182">
        <v>230</v>
      </c>
      <c r="F2029" s="182">
        <v>240</v>
      </c>
      <c r="G2029" s="182">
        <v>7.5</v>
      </c>
      <c r="H2029" s="182">
        <v>12</v>
      </c>
      <c r="I2029" s="182"/>
      <c r="J2029" s="182">
        <v>21</v>
      </c>
      <c r="K2029" s="182">
        <f t="shared" si="3"/>
        <v>10</v>
      </c>
      <c r="L2029" s="182">
        <f t="shared" si="5"/>
        <v>21.866666666666667</v>
      </c>
      <c r="M2029" s="182">
        <v>77630000</v>
      </c>
      <c r="N2029" s="182">
        <v>744600</v>
      </c>
      <c r="O2029" s="182">
        <v>675100</v>
      </c>
      <c r="P2029" s="182">
        <v>100.5</v>
      </c>
      <c r="Q2029" s="182">
        <v>27690000</v>
      </c>
      <c r="R2029" s="182">
        <v>351700</v>
      </c>
      <c r="S2029" s="182">
        <v>230700</v>
      </c>
      <c r="T2029" s="182">
        <v>60</v>
      </c>
      <c r="U2029" s="182">
        <v>421425.91118319385</v>
      </c>
      <c r="V2029" s="182">
        <v>328500000000</v>
      </c>
    </row>
    <row r="2030" spans="1:22">
      <c r="A2030" s="174" t="s">
        <v>3983</v>
      </c>
      <c r="B2030" s="174" t="s">
        <v>3983</v>
      </c>
      <c r="C2030" s="182">
        <f t="shared" si="4"/>
        <v>83.316000000000003</v>
      </c>
      <c r="D2030" s="182">
        <v>10600</v>
      </c>
      <c r="E2030" s="182">
        <v>240</v>
      </c>
      <c r="F2030" s="182">
        <v>240</v>
      </c>
      <c r="G2030" s="182">
        <v>10</v>
      </c>
      <c r="H2030" s="182">
        <v>17</v>
      </c>
      <c r="I2030" s="182"/>
      <c r="J2030" s="182">
        <v>21</v>
      </c>
      <c r="K2030" s="182">
        <f t="shared" si="3"/>
        <v>7.0588235294117645</v>
      </c>
      <c r="L2030" s="182">
        <f t="shared" si="5"/>
        <v>16.399999999999999</v>
      </c>
      <c r="M2030" s="182">
        <v>112600000</v>
      </c>
      <c r="N2030" s="182">
        <v>1053000</v>
      </c>
      <c r="O2030" s="182">
        <v>938300</v>
      </c>
      <c r="P2030" s="182">
        <v>103.10000000000001</v>
      </c>
      <c r="Q2030" s="182">
        <v>39230000</v>
      </c>
      <c r="R2030" s="182">
        <v>498400</v>
      </c>
      <c r="S2030" s="182">
        <v>326900</v>
      </c>
      <c r="T2030" s="182">
        <v>60.8</v>
      </c>
      <c r="U2030" s="182">
        <v>1038832.5469437793</v>
      </c>
      <c r="V2030" s="182">
        <v>486900000000</v>
      </c>
    </row>
    <row r="2031" spans="1:22">
      <c r="A2031" s="174" t="s">
        <v>3984</v>
      </c>
      <c r="B2031" s="174" t="s">
        <v>3984</v>
      </c>
      <c r="C2031" s="182">
        <f t="shared" si="4"/>
        <v>119.6292</v>
      </c>
      <c r="D2031" s="182">
        <v>15219.999999999998</v>
      </c>
      <c r="E2031" s="182">
        <v>255</v>
      </c>
      <c r="F2031" s="182">
        <v>244</v>
      </c>
      <c r="G2031" s="182">
        <v>14</v>
      </c>
      <c r="H2031" s="182">
        <v>24.5</v>
      </c>
      <c r="I2031" s="182"/>
      <c r="J2031" s="182">
        <v>21</v>
      </c>
      <c r="K2031" s="182">
        <f t="shared" si="3"/>
        <v>4.9795918367346941</v>
      </c>
      <c r="L2031" s="182">
        <f t="shared" si="5"/>
        <v>11.714285714285714</v>
      </c>
      <c r="M2031" s="182">
        <v>173300000</v>
      </c>
      <c r="N2031" s="182">
        <v>1563000</v>
      </c>
      <c r="O2031" s="182">
        <v>1359000</v>
      </c>
      <c r="P2031" s="182">
        <v>106</v>
      </c>
      <c r="Q2031" s="182">
        <v>59420000</v>
      </c>
      <c r="R2031" s="182">
        <v>743800</v>
      </c>
      <c r="S2031" s="182">
        <v>487000</v>
      </c>
      <c r="T2031" s="182">
        <v>62.400000000000006</v>
      </c>
      <c r="U2031" s="182">
        <v>2894238.1185114346</v>
      </c>
      <c r="V2031" s="182">
        <v>787200000000</v>
      </c>
    </row>
    <row r="2032" spans="1:22">
      <c r="A2032" s="174" t="s">
        <v>3985</v>
      </c>
      <c r="B2032" s="174" t="s">
        <v>3985</v>
      </c>
      <c r="C2032" s="182">
        <f t="shared" si="4"/>
        <v>156.88560000000001</v>
      </c>
      <c r="D2032" s="182">
        <v>19960</v>
      </c>
      <c r="E2032" s="182">
        <v>270</v>
      </c>
      <c r="F2032" s="182">
        <v>248</v>
      </c>
      <c r="G2032" s="182">
        <v>18</v>
      </c>
      <c r="H2032" s="182">
        <v>32</v>
      </c>
      <c r="I2032" s="182"/>
      <c r="J2032" s="182">
        <v>21</v>
      </c>
      <c r="K2032" s="182">
        <f t="shared" si="3"/>
        <v>3.875</v>
      </c>
      <c r="L2032" s="182">
        <f t="shared" si="5"/>
        <v>9.1111111111111107</v>
      </c>
      <c r="M2032" s="182">
        <v>242900000</v>
      </c>
      <c r="N2032" s="182">
        <v>2117000</v>
      </c>
      <c r="O2032" s="182">
        <v>1799000</v>
      </c>
      <c r="P2032" s="182">
        <v>110.3</v>
      </c>
      <c r="Q2032" s="182">
        <v>81530000</v>
      </c>
      <c r="R2032" s="182">
        <v>1006000</v>
      </c>
      <c r="S2032" s="182">
        <v>657500</v>
      </c>
      <c r="T2032" s="182">
        <v>63.9</v>
      </c>
      <c r="U2032" s="182">
        <v>6260356.6558112316</v>
      </c>
      <c r="V2032" s="182">
        <v>1152000000000</v>
      </c>
    </row>
    <row r="2033" spans="1:22">
      <c r="A2033" s="174" t="s">
        <v>3986</v>
      </c>
      <c r="B2033" s="174" t="s">
        <v>3986</v>
      </c>
      <c r="C2033" s="182">
        <f t="shared" si="4"/>
        <v>54.234000000000002</v>
      </c>
      <c r="D2033" s="182">
        <v>6900</v>
      </c>
      <c r="E2033" s="182">
        <v>244</v>
      </c>
      <c r="F2033" s="182">
        <v>260</v>
      </c>
      <c r="G2033" s="182">
        <v>6.5</v>
      </c>
      <c r="H2033" s="182">
        <v>9.5</v>
      </c>
      <c r="I2033" s="182"/>
      <c r="J2033" s="182">
        <v>24</v>
      </c>
      <c r="K2033" s="182">
        <f t="shared" si="3"/>
        <v>13.684210526315789</v>
      </c>
      <c r="L2033" s="182">
        <f t="shared" si="5"/>
        <v>27.23076923076923</v>
      </c>
      <c r="M2033" s="182">
        <v>79810000</v>
      </c>
      <c r="N2033" s="182">
        <v>714500</v>
      </c>
      <c r="O2033" s="182">
        <v>654100</v>
      </c>
      <c r="P2033" s="182">
        <v>107.6</v>
      </c>
      <c r="Q2033" s="182">
        <v>27880000</v>
      </c>
      <c r="R2033" s="182">
        <v>327700</v>
      </c>
      <c r="S2033" s="182">
        <v>214500</v>
      </c>
      <c r="T2033" s="182">
        <v>63.6</v>
      </c>
      <c r="U2033" s="182">
        <v>300900.49004506471</v>
      </c>
      <c r="V2033" s="182">
        <v>382600000000</v>
      </c>
    </row>
    <row r="2034" spans="1:22">
      <c r="A2034" s="174" t="s">
        <v>3987</v>
      </c>
      <c r="B2034" s="174" t="s">
        <v>3987</v>
      </c>
      <c r="C2034" s="182">
        <f t="shared" si="4"/>
        <v>68.224800000000002</v>
      </c>
      <c r="D2034" s="182">
        <v>8680</v>
      </c>
      <c r="E2034" s="182">
        <v>250</v>
      </c>
      <c r="F2034" s="182">
        <v>260</v>
      </c>
      <c r="G2034" s="182">
        <v>7.5</v>
      </c>
      <c r="H2034" s="182">
        <v>12.5</v>
      </c>
      <c r="I2034" s="182"/>
      <c r="J2034" s="182">
        <v>24</v>
      </c>
      <c r="K2034" s="182">
        <f t="shared" si="3"/>
        <v>10.4</v>
      </c>
      <c r="L2034" s="182">
        <f t="shared" si="5"/>
        <v>23.6</v>
      </c>
      <c r="M2034" s="182">
        <v>104500000</v>
      </c>
      <c r="N2034" s="182">
        <v>919800</v>
      </c>
      <c r="O2034" s="182">
        <v>836400</v>
      </c>
      <c r="P2034" s="182">
        <v>109.7</v>
      </c>
      <c r="Q2034" s="182">
        <v>36680000</v>
      </c>
      <c r="R2034" s="182">
        <v>430200</v>
      </c>
      <c r="S2034" s="182">
        <v>282100</v>
      </c>
      <c r="T2034" s="182">
        <v>65</v>
      </c>
      <c r="U2034" s="182">
        <v>541937.28763577028</v>
      </c>
      <c r="V2034" s="182">
        <v>516400000000</v>
      </c>
    </row>
    <row r="2035" spans="1:22">
      <c r="A2035" s="174" t="s">
        <v>3988</v>
      </c>
      <c r="B2035" s="174" t="s">
        <v>3988</v>
      </c>
      <c r="C2035" s="182">
        <f t="shared" si="4"/>
        <v>93.062400000000011</v>
      </c>
      <c r="D2035" s="182">
        <v>11840</v>
      </c>
      <c r="E2035" s="182">
        <v>260</v>
      </c>
      <c r="F2035" s="182">
        <v>260</v>
      </c>
      <c r="G2035" s="182">
        <v>10</v>
      </c>
      <c r="H2035" s="182">
        <v>17.5</v>
      </c>
      <c r="I2035" s="182"/>
      <c r="J2035" s="182">
        <v>24</v>
      </c>
      <c r="K2035" s="182">
        <f t="shared" si="3"/>
        <v>7.4285714285714288</v>
      </c>
      <c r="L2035" s="182">
        <f t="shared" si="5"/>
        <v>17.7</v>
      </c>
      <c r="M2035" s="182">
        <v>149200000</v>
      </c>
      <c r="N2035" s="182">
        <v>1283000</v>
      </c>
      <c r="O2035" s="182">
        <v>1148000</v>
      </c>
      <c r="P2035" s="182">
        <v>112.2</v>
      </c>
      <c r="Q2035" s="182">
        <v>51350000</v>
      </c>
      <c r="R2035" s="182">
        <v>602200</v>
      </c>
      <c r="S2035" s="182">
        <v>395000</v>
      </c>
      <c r="T2035" s="182">
        <v>65.8</v>
      </c>
      <c r="U2035" s="182">
        <v>1266736.6980434614</v>
      </c>
      <c r="V2035" s="182">
        <v>753700000000</v>
      </c>
    </row>
    <row r="2036" spans="1:22">
      <c r="A2036" s="174" t="s">
        <v>3989</v>
      </c>
      <c r="B2036" s="174" t="s">
        <v>3989</v>
      </c>
      <c r="C2036" s="182">
        <f t="shared" si="4"/>
        <v>132.36240000000001</v>
      </c>
      <c r="D2036" s="182">
        <v>16840</v>
      </c>
      <c r="E2036" s="182">
        <v>275</v>
      </c>
      <c r="F2036" s="182">
        <v>264</v>
      </c>
      <c r="G2036" s="182">
        <v>14</v>
      </c>
      <c r="H2036" s="182">
        <v>25</v>
      </c>
      <c r="I2036" s="182"/>
      <c r="J2036" s="182">
        <v>24</v>
      </c>
      <c r="K2036" s="182">
        <f t="shared" si="3"/>
        <v>5.28</v>
      </c>
      <c r="L2036" s="182">
        <f t="shared" si="5"/>
        <v>12.642857142857142</v>
      </c>
      <c r="M2036" s="182">
        <v>225900000</v>
      </c>
      <c r="N2036" s="182">
        <v>1880000</v>
      </c>
      <c r="O2036" s="182">
        <v>1643000</v>
      </c>
      <c r="P2036" s="182">
        <v>115</v>
      </c>
      <c r="Q2036" s="182">
        <v>76800000</v>
      </c>
      <c r="R2036" s="182">
        <v>888300</v>
      </c>
      <c r="S2036" s="182">
        <v>581800</v>
      </c>
      <c r="T2036" s="182">
        <v>67.5</v>
      </c>
      <c r="U2036" s="182">
        <v>3395356.5025577536</v>
      </c>
      <c r="V2036" s="182">
        <v>1200000000000</v>
      </c>
    </row>
    <row r="2037" spans="1:22">
      <c r="A2037" s="174" t="s">
        <v>3990</v>
      </c>
      <c r="B2037" s="174" t="s">
        <v>3990</v>
      </c>
      <c r="C2037" s="182">
        <f t="shared" si="4"/>
        <v>172.60560000000001</v>
      </c>
      <c r="D2037" s="182">
        <v>21960</v>
      </c>
      <c r="E2037" s="182">
        <v>290</v>
      </c>
      <c r="F2037" s="182">
        <v>268</v>
      </c>
      <c r="G2037" s="182">
        <v>18</v>
      </c>
      <c r="H2037" s="182">
        <v>32.5</v>
      </c>
      <c r="I2037" s="182"/>
      <c r="J2037" s="182">
        <v>24</v>
      </c>
      <c r="K2037" s="182">
        <f t="shared" si="3"/>
        <v>4.1230769230769226</v>
      </c>
      <c r="L2037" s="182">
        <f t="shared" si="5"/>
        <v>9.8333333333333339</v>
      </c>
      <c r="M2037" s="182">
        <v>313100000</v>
      </c>
      <c r="N2037" s="182">
        <v>2524000</v>
      </c>
      <c r="O2037" s="182">
        <v>2159000</v>
      </c>
      <c r="P2037" s="182">
        <v>119.39999999999999</v>
      </c>
      <c r="Q2037" s="182">
        <v>104500000</v>
      </c>
      <c r="R2037" s="182">
        <v>1192000</v>
      </c>
      <c r="S2037" s="182">
        <v>779700</v>
      </c>
      <c r="T2037" s="182">
        <v>69</v>
      </c>
      <c r="U2037" s="182">
        <v>7201867.4914876465</v>
      </c>
      <c r="V2037" s="182">
        <v>1728000000000</v>
      </c>
    </row>
    <row r="2038" spans="1:22">
      <c r="A2038" s="174" t="s">
        <v>3991</v>
      </c>
      <c r="B2038" s="174" t="s">
        <v>3991</v>
      </c>
      <c r="C2038" s="182">
        <f t="shared" si="4"/>
        <v>61.308000000000007</v>
      </c>
      <c r="D2038" s="182">
        <v>7800</v>
      </c>
      <c r="E2038" s="182">
        <v>264</v>
      </c>
      <c r="F2038" s="182">
        <v>280</v>
      </c>
      <c r="G2038" s="182">
        <v>7</v>
      </c>
      <c r="H2038" s="182">
        <v>10</v>
      </c>
      <c r="I2038" s="182"/>
      <c r="J2038" s="182">
        <v>24</v>
      </c>
      <c r="K2038" s="182">
        <f t="shared" si="3"/>
        <v>14</v>
      </c>
      <c r="L2038" s="182">
        <f t="shared" si="5"/>
        <v>28</v>
      </c>
      <c r="M2038" s="182">
        <v>105600000</v>
      </c>
      <c r="N2038" s="182">
        <v>873100</v>
      </c>
      <c r="O2038" s="182">
        <v>799800</v>
      </c>
      <c r="P2038" s="182">
        <v>116.30000000000001</v>
      </c>
      <c r="Q2038" s="182">
        <v>36640000</v>
      </c>
      <c r="R2038" s="182">
        <v>399400</v>
      </c>
      <c r="S2038" s="182">
        <v>261700</v>
      </c>
      <c r="T2038" s="182">
        <v>68.5</v>
      </c>
      <c r="U2038" s="182">
        <v>354969.48940752435</v>
      </c>
      <c r="V2038" s="182">
        <v>590100000000</v>
      </c>
    </row>
    <row r="2039" spans="1:22">
      <c r="A2039" s="174" t="s">
        <v>3992</v>
      </c>
      <c r="B2039" s="174" t="s">
        <v>3992</v>
      </c>
      <c r="C2039" s="182">
        <f t="shared" si="4"/>
        <v>76.477800000000002</v>
      </c>
      <c r="D2039" s="182">
        <v>9730</v>
      </c>
      <c r="E2039" s="182">
        <v>270</v>
      </c>
      <c r="F2039" s="182">
        <v>280</v>
      </c>
      <c r="G2039" s="182">
        <v>8</v>
      </c>
      <c r="H2039" s="182">
        <v>13</v>
      </c>
      <c r="I2039" s="182"/>
      <c r="J2039" s="182">
        <v>24</v>
      </c>
      <c r="K2039" s="182">
        <f t="shared" si="3"/>
        <v>10.76923076923077</v>
      </c>
      <c r="L2039" s="182">
        <f t="shared" si="5"/>
        <v>24.5</v>
      </c>
      <c r="M2039" s="182">
        <v>136700000</v>
      </c>
      <c r="N2039" s="182">
        <v>1112000</v>
      </c>
      <c r="O2039" s="182">
        <v>1013000</v>
      </c>
      <c r="P2039" s="182">
        <v>118.6</v>
      </c>
      <c r="Q2039" s="182">
        <v>47630000</v>
      </c>
      <c r="R2039" s="182">
        <v>518100</v>
      </c>
      <c r="S2039" s="182">
        <v>340200</v>
      </c>
      <c r="T2039" s="182">
        <v>70</v>
      </c>
      <c r="U2039" s="182">
        <v>634561.8412534087</v>
      </c>
      <c r="V2039" s="182">
        <v>785400000000</v>
      </c>
    </row>
    <row r="2040" spans="1:22">
      <c r="A2040" s="174" t="s">
        <v>3993</v>
      </c>
      <c r="B2040" s="174" t="s">
        <v>3993</v>
      </c>
      <c r="C2040" s="182">
        <f t="shared" si="4"/>
        <v>103.28040000000001</v>
      </c>
      <c r="D2040" s="182">
        <v>13140</v>
      </c>
      <c r="E2040" s="182">
        <v>280</v>
      </c>
      <c r="F2040" s="182">
        <v>280</v>
      </c>
      <c r="G2040" s="182">
        <v>10.5</v>
      </c>
      <c r="H2040" s="182">
        <v>18</v>
      </c>
      <c r="I2040" s="182"/>
      <c r="J2040" s="182">
        <v>24</v>
      </c>
      <c r="K2040" s="182">
        <f t="shared" si="3"/>
        <v>7.7777777777777777</v>
      </c>
      <c r="L2040" s="182">
        <f t="shared" si="5"/>
        <v>18.666666666666668</v>
      </c>
      <c r="M2040" s="182">
        <v>192700000</v>
      </c>
      <c r="N2040" s="182">
        <v>1534000</v>
      </c>
      <c r="O2040" s="182">
        <v>1376000</v>
      </c>
      <c r="P2040" s="182">
        <v>121.1</v>
      </c>
      <c r="Q2040" s="182">
        <v>65950000</v>
      </c>
      <c r="R2040" s="182">
        <v>717600</v>
      </c>
      <c r="S2040" s="182">
        <v>471000</v>
      </c>
      <c r="T2040" s="182">
        <v>70.900000000000006</v>
      </c>
      <c r="U2040" s="182">
        <v>1460923.0191584271</v>
      </c>
      <c r="V2040" s="182">
        <v>1130000000000</v>
      </c>
    </row>
    <row r="2041" spans="1:22">
      <c r="A2041" s="174" t="s">
        <v>3994</v>
      </c>
      <c r="B2041" s="174" t="s">
        <v>3994</v>
      </c>
      <c r="C2041" s="182">
        <f t="shared" si="4"/>
        <v>145.56720000000001</v>
      </c>
      <c r="D2041" s="182">
        <v>18520</v>
      </c>
      <c r="E2041" s="182">
        <v>295</v>
      </c>
      <c r="F2041" s="182">
        <v>284</v>
      </c>
      <c r="G2041" s="182">
        <v>14.5</v>
      </c>
      <c r="H2041" s="182">
        <v>25.5</v>
      </c>
      <c r="I2041" s="182"/>
      <c r="J2041" s="182">
        <v>24</v>
      </c>
      <c r="K2041" s="182">
        <f t="shared" si="3"/>
        <v>5.5686274509803919</v>
      </c>
      <c r="L2041" s="182">
        <f t="shared" si="5"/>
        <v>13.517241379310345</v>
      </c>
      <c r="M2041" s="182">
        <v>288100000</v>
      </c>
      <c r="N2041" s="182">
        <v>2225000</v>
      </c>
      <c r="O2041" s="182">
        <v>1953000</v>
      </c>
      <c r="P2041" s="182">
        <v>124</v>
      </c>
      <c r="Q2041" s="182">
        <v>97500000</v>
      </c>
      <c r="R2041" s="182">
        <v>1047000</v>
      </c>
      <c r="S2041" s="182">
        <v>686600</v>
      </c>
      <c r="T2041" s="182">
        <v>72.5</v>
      </c>
      <c r="U2041" s="182">
        <v>3848544.2625147738</v>
      </c>
      <c r="V2041" s="182">
        <v>1770000000000</v>
      </c>
    </row>
    <row r="2042" spans="1:22">
      <c r="A2042" s="174" t="s">
        <v>3995</v>
      </c>
      <c r="B2042" s="174" t="s">
        <v>3995</v>
      </c>
      <c r="C2042" s="182">
        <f t="shared" si="4"/>
        <v>188.7972</v>
      </c>
      <c r="D2042" s="182">
        <v>24020</v>
      </c>
      <c r="E2042" s="182">
        <v>310</v>
      </c>
      <c r="F2042" s="182">
        <v>288</v>
      </c>
      <c r="G2042" s="182">
        <v>18.5</v>
      </c>
      <c r="H2042" s="182">
        <v>33</v>
      </c>
      <c r="I2042" s="182"/>
      <c r="J2042" s="182">
        <v>24</v>
      </c>
      <c r="K2042" s="182">
        <f t="shared" si="3"/>
        <v>4.3636363636363633</v>
      </c>
      <c r="L2042" s="182">
        <f t="shared" si="5"/>
        <v>10.594594594594595</v>
      </c>
      <c r="M2042" s="182">
        <v>395500000</v>
      </c>
      <c r="N2042" s="182">
        <v>2966000</v>
      </c>
      <c r="O2042" s="182">
        <v>2551000</v>
      </c>
      <c r="P2042" s="182">
        <v>128.30000000000001</v>
      </c>
      <c r="Q2042" s="182">
        <v>131600000</v>
      </c>
      <c r="R2042" s="182">
        <v>1397000</v>
      </c>
      <c r="S2042" s="182">
        <v>914100</v>
      </c>
      <c r="T2042" s="182">
        <v>74</v>
      </c>
      <c r="U2042" s="182">
        <v>8072731.7272394206</v>
      </c>
      <c r="V2042" s="182">
        <v>2520000000000</v>
      </c>
    </row>
    <row r="2043" spans="1:22">
      <c r="A2043" s="174" t="s">
        <v>3996</v>
      </c>
      <c r="B2043" s="174" t="s">
        <v>3996</v>
      </c>
      <c r="C2043" s="182">
        <f t="shared" si="4"/>
        <v>69.875399999999999</v>
      </c>
      <c r="D2043" s="182">
        <v>8890</v>
      </c>
      <c r="E2043" s="182">
        <v>283</v>
      </c>
      <c r="F2043" s="182">
        <v>300</v>
      </c>
      <c r="G2043" s="182">
        <v>7.5</v>
      </c>
      <c r="H2043" s="182">
        <v>10.5</v>
      </c>
      <c r="I2043" s="182"/>
      <c r="J2043" s="182">
        <v>27</v>
      </c>
      <c r="K2043" s="182">
        <f t="shared" si="3"/>
        <v>14.285714285714286</v>
      </c>
      <c r="L2043" s="182">
        <f t="shared" si="5"/>
        <v>27.733333333333334</v>
      </c>
      <c r="M2043" s="182">
        <v>138000000</v>
      </c>
      <c r="N2043" s="182">
        <v>1065000</v>
      </c>
      <c r="O2043" s="182">
        <v>975600</v>
      </c>
      <c r="P2043" s="182">
        <v>124.60000000000001</v>
      </c>
      <c r="Q2043" s="182">
        <v>47340000</v>
      </c>
      <c r="R2043" s="182">
        <v>482300</v>
      </c>
      <c r="S2043" s="182">
        <v>315600</v>
      </c>
      <c r="T2043" s="182">
        <v>73</v>
      </c>
      <c r="U2043" s="182">
        <v>478038.15121839789</v>
      </c>
      <c r="V2043" s="182">
        <v>877200000000</v>
      </c>
    </row>
    <row r="2044" spans="1:22">
      <c r="A2044" s="174" t="s">
        <v>3997</v>
      </c>
      <c r="B2044" s="174" t="s">
        <v>3997</v>
      </c>
      <c r="C2044" s="182">
        <f t="shared" si="4"/>
        <v>88.425000000000011</v>
      </c>
      <c r="D2044" s="182">
        <v>11250</v>
      </c>
      <c r="E2044" s="182">
        <v>290</v>
      </c>
      <c r="F2044" s="182">
        <v>300</v>
      </c>
      <c r="G2044" s="182">
        <v>8.5</v>
      </c>
      <c r="H2044" s="182">
        <v>14</v>
      </c>
      <c r="I2044" s="182"/>
      <c r="J2044" s="182">
        <v>27</v>
      </c>
      <c r="K2044" s="182">
        <f t="shared" si="3"/>
        <v>10.714285714285714</v>
      </c>
      <c r="L2044" s="182">
        <f t="shared" si="5"/>
        <v>24.470588235294116</v>
      </c>
      <c r="M2044" s="182">
        <v>182600000</v>
      </c>
      <c r="N2044" s="182">
        <v>1383000</v>
      </c>
      <c r="O2044" s="182">
        <v>1260000</v>
      </c>
      <c r="P2044" s="182">
        <v>127.4</v>
      </c>
      <c r="Q2044" s="182">
        <v>63100000</v>
      </c>
      <c r="R2044" s="182">
        <v>641200</v>
      </c>
      <c r="S2044" s="182">
        <v>420600</v>
      </c>
      <c r="T2044" s="182">
        <v>74.900000000000006</v>
      </c>
      <c r="U2044" s="182">
        <v>877608.70464487141</v>
      </c>
      <c r="V2044" s="182">
        <v>1200000000000</v>
      </c>
    </row>
    <row r="2045" spans="1:22">
      <c r="A2045" s="174" t="s">
        <v>3998</v>
      </c>
      <c r="B2045" s="174" t="s">
        <v>3998</v>
      </c>
      <c r="C2045" s="182">
        <f t="shared" si="4"/>
        <v>117.19260000000001</v>
      </c>
      <c r="D2045" s="182">
        <v>14910</v>
      </c>
      <c r="E2045" s="182">
        <v>300</v>
      </c>
      <c r="F2045" s="182">
        <v>300</v>
      </c>
      <c r="G2045" s="182">
        <v>11</v>
      </c>
      <c r="H2045" s="182">
        <v>19</v>
      </c>
      <c r="I2045" s="182"/>
      <c r="J2045" s="182">
        <v>27</v>
      </c>
      <c r="K2045" s="182">
        <f t="shared" si="3"/>
        <v>7.8947368421052628</v>
      </c>
      <c r="L2045" s="182">
        <f t="shared" si="5"/>
        <v>18.90909090909091</v>
      </c>
      <c r="M2045" s="182">
        <v>251700000</v>
      </c>
      <c r="N2045" s="182">
        <v>1869000</v>
      </c>
      <c r="O2045" s="182">
        <v>1678000</v>
      </c>
      <c r="P2045" s="182">
        <v>129.9</v>
      </c>
      <c r="Q2045" s="182">
        <v>85630000</v>
      </c>
      <c r="R2045" s="182">
        <v>870100</v>
      </c>
      <c r="S2045" s="182">
        <v>570900</v>
      </c>
      <c r="T2045" s="182">
        <v>75.8</v>
      </c>
      <c r="U2045" s="182">
        <v>1891783.7838533621</v>
      </c>
      <c r="V2045" s="182">
        <v>1688000000000</v>
      </c>
    </row>
    <row r="2046" spans="1:22">
      <c r="A2046" s="174" t="s">
        <v>3999</v>
      </c>
      <c r="B2046" s="174" t="s">
        <v>3999</v>
      </c>
      <c r="C2046" s="182">
        <f t="shared" si="4"/>
        <v>176.92860000000002</v>
      </c>
      <c r="D2046" s="182">
        <v>22510</v>
      </c>
      <c r="E2046" s="182">
        <v>320</v>
      </c>
      <c r="F2046" s="182">
        <v>305</v>
      </c>
      <c r="G2046" s="182">
        <v>16</v>
      </c>
      <c r="H2046" s="182">
        <v>29</v>
      </c>
      <c r="I2046" s="182"/>
      <c r="J2046" s="182">
        <v>27</v>
      </c>
      <c r="K2046" s="182">
        <f t="shared" si="3"/>
        <v>5.2586206896551726</v>
      </c>
      <c r="L2046" s="182">
        <f t="shared" si="5"/>
        <v>13</v>
      </c>
      <c r="M2046" s="182">
        <v>409500000</v>
      </c>
      <c r="N2046" s="182">
        <v>2926000</v>
      </c>
      <c r="O2046" s="182">
        <v>2559000</v>
      </c>
      <c r="P2046" s="182">
        <v>134</v>
      </c>
      <c r="Q2046" s="182">
        <v>137300000</v>
      </c>
      <c r="R2046" s="182">
        <v>1374000</v>
      </c>
      <c r="S2046" s="182">
        <v>900700</v>
      </c>
      <c r="T2046" s="182">
        <v>78.099999999999994</v>
      </c>
      <c r="U2046" s="182">
        <v>6040946.4621418249</v>
      </c>
      <c r="V2046" s="182">
        <v>2908000000000</v>
      </c>
    </row>
    <row r="2047" spans="1:22">
      <c r="A2047" s="174" t="s">
        <v>4000</v>
      </c>
      <c r="B2047" s="174" t="s">
        <v>4000</v>
      </c>
      <c r="C2047" s="182">
        <f t="shared" si="4"/>
        <v>238.23660000000004</v>
      </c>
      <c r="D2047" s="182">
        <v>30310.000000000004</v>
      </c>
      <c r="E2047" s="182">
        <v>340</v>
      </c>
      <c r="F2047" s="182">
        <v>310</v>
      </c>
      <c r="G2047" s="182">
        <v>21</v>
      </c>
      <c r="H2047" s="182">
        <v>39</v>
      </c>
      <c r="I2047" s="182"/>
      <c r="J2047" s="182">
        <v>27</v>
      </c>
      <c r="K2047" s="182">
        <f t="shared" si="3"/>
        <v>3.9743589743589745</v>
      </c>
      <c r="L2047" s="182">
        <f t="shared" si="5"/>
        <v>9.9047619047619051</v>
      </c>
      <c r="M2047" s="182">
        <v>592000000</v>
      </c>
      <c r="N2047" s="182">
        <v>4078000</v>
      </c>
      <c r="O2047" s="182">
        <v>3482000</v>
      </c>
      <c r="P2047" s="182">
        <v>139.80000000000001</v>
      </c>
      <c r="Q2047" s="182">
        <v>194000000</v>
      </c>
      <c r="R2047" s="182">
        <v>1913000</v>
      </c>
      <c r="S2047" s="182">
        <v>1252000</v>
      </c>
      <c r="T2047" s="182">
        <v>80</v>
      </c>
      <c r="U2047" s="182">
        <v>14107759.424066404</v>
      </c>
      <c r="V2047" s="182">
        <v>4386000000000</v>
      </c>
    </row>
    <row r="2048" spans="1:22">
      <c r="A2048" s="174" t="s">
        <v>4001</v>
      </c>
      <c r="B2048" s="174" t="s">
        <v>4001</v>
      </c>
      <c r="C2048" s="182">
        <f t="shared" si="4"/>
        <v>74.35560000000001</v>
      </c>
      <c r="D2048" s="182">
        <v>9460</v>
      </c>
      <c r="E2048" s="182">
        <v>301</v>
      </c>
      <c r="F2048" s="182">
        <v>300</v>
      </c>
      <c r="G2048" s="182">
        <v>8</v>
      </c>
      <c r="H2048" s="182">
        <v>11</v>
      </c>
      <c r="I2048" s="182"/>
      <c r="J2048" s="182">
        <v>27</v>
      </c>
      <c r="K2048" s="182">
        <f t="shared" si="3"/>
        <v>13.636363636363637</v>
      </c>
      <c r="L2048" s="182">
        <f t="shared" si="5"/>
        <v>28.125</v>
      </c>
      <c r="M2048" s="182">
        <v>164500000</v>
      </c>
      <c r="N2048" s="182">
        <v>1196000</v>
      </c>
      <c r="O2048" s="182">
        <v>1093000</v>
      </c>
      <c r="P2048" s="182">
        <v>131.9</v>
      </c>
      <c r="Q2048" s="182">
        <v>49590000</v>
      </c>
      <c r="R2048" s="182">
        <v>505700</v>
      </c>
      <c r="S2048" s="182">
        <v>330600</v>
      </c>
      <c r="T2048" s="182">
        <v>72.400000000000006</v>
      </c>
      <c r="U2048" s="182">
        <v>535856.8731466413</v>
      </c>
      <c r="V2048" s="182">
        <v>1041000000000</v>
      </c>
    </row>
    <row r="2049" spans="1:22">
      <c r="A2049" s="174" t="s">
        <v>4002</v>
      </c>
      <c r="B2049" s="174" t="s">
        <v>4002</v>
      </c>
      <c r="C2049" s="182">
        <f t="shared" si="4"/>
        <v>97.778400000000005</v>
      </c>
      <c r="D2049" s="182">
        <v>12440</v>
      </c>
      <c r="E2049" s="182">
        <v>310</v>
      </c>
      <c r="F2049" s="182">
        <v>300</v>
      </c>
      <c r="G2049" s="182">
        <v>9</v>
      </c>
      <c r="H2049" s="182">
        <v>15.5</v>
      </c>
      <c r="I2049" s="182"/>
      <c r="J2049" s="182">
        <v>27</v>
      </c>
      <c r="K2049" s="182">
        <f t="shared" si="3"/>
        <v>9.67741935483871</v>
      </c>
      <c r="L2049" s="182">
        <f t="shared" si="5"/>
        <v>25</v>
      </c>
      <c r="M2049" s="182">
        <v>229300000</v>
      </c>
      <c r="N2049" s="182">
        <v>1628000</v>
      </c>
      <c r="O2049" s="182">
        <v>1479000</v>
      </c>
      <c r="P2049" s="182">
        <v>135.80000000000001</v>
      </c>
      <c r="Q2049" s="182">
        <v>69850000</v>
      </c>
      <c r="R2049" s="182">
        <v>709700</v>
      </c>
      <c r="S2049" s="182">
        <v>465700</v>
      </c>
      <c r="T2049" s="182">
        <v>74.900000000000006</v>
      </c>
      <c r="U2049" s="182">
        <v>1118640.4232401112</v>
      </c>
      <c r="V2049" s="182">
        <v>1512000000000</v>
      </c>
    </row>
    <row r="2050" spans="1:22">
      <c r="A2050" s="174" t="s">
        <v>4003</v>
      </c>
      <c r="B2050" s="174" t="s">
        <v>4003</v>
      </c>
      <c r="C2050" s="182">
        <f t="shared" si="4"/>
        <v>126.78180000000002</v>
      </c>
      <c r="D2050" s="182">
        <v>16130.000000000002</v>
      </c>
      <c r="E2050" s="182">
        <v>320</v>
      </c>
      <c r="F2050" s="182">
        <v>300</v>
      </c>
      <c r="G2050" s="182">
        <v>11.5</v>
      </c>
      <c r="H2050" s="182">
        <v>20.5</v>
      </c>
      <c r="I2050" s="182"/>
      <c r="J2050" s="182">
        <v>27</v>
      </c>
      <c r="K2050" s="182">
        <f t="shared" si="3"/>
        <v>7.3170731707317076</v>
      </c>
      <c r="L2050" s="182">
        <f t="shared" si="5"/>
        <v>19.565217391304348</v>
      </c>
      <c r="M2050" s="182">
        <v>308200000</v>
      </c>
      <c r="N2050" s="182">
        <v>2149000</v>
      </c>
      <c r="O2050" s="182">
        <v>1926000</v>
      </c>
      <c r="P2050" s="182">
        <v>138.19999999999999</v>
      </c>
      <c r="Q2050" s="182">
        <v>92390000</v>
      </c>
      <c r="R2050" s="182">
        <v>939100</v>
      </c>
      <c r="S2050" s="182">
        <v>615900</v>
      </c>
      <c r="T2050" s="182">
        <v>75.7</v>
      </c>
      <c r="U2050" s="182">
        <v>2304528.4774247166</v>
      </c>
      <c r="V2050" s="182">
        <v>2069000000000</v>
      </c>
    </row>
    <row r="2051" spans="1:22">
      <c r="A2051" s="174" t="s">
        <v>4004</v>
      </c>
      <c r="B2051" s="174" t="s">
        <v>4004</v>
      </c>
      <c r="C2051" s="182">
        <f t="shared" si="4"/>
        <v>186.20340000000002</v>
      </c>
      <c r="D2051" s="182">
        <v>23690</v>
      </c>
      <c r="E2051" s="182">
        <v>340</v>
      </c>
      <c r="F2051" s="182">
        <v>305</v>
      </c>
      <c r="G2051" s="182">
        <v>16</v>
      </c>
      <c r="H2051" s="182">
        <v>30.5</v>
      </c>
      <c r="I2051" s="182"/>
      <c r="J2051" s="182">
        <v>27</v>
      </c>
      <c r="K2051" s="182">
        <f t="shared" si="3"/>
        <v>5</v>
      </c>
      <c r="L2051" s="182">
        <f t="shared" si="5"/>
        <v>14.0625</v>
      </c>
      <c r="M2051" s="182">
        <v>487100000</v>
      </c>
      <c r="N2051" s="182">
        <v>3274000</v>
      </c>
      <c r="O2051" s="182">
        <v>2865000</v>
      </c>
      <c r="P2051" s="182">
        <v>143</v>
      </c>
      <c r="Q2051" s="182">
        <v>144400000</v>
      </c>
      <c r="R2051" s="182">
        <v>1445000</v>
      </c>
      <c r="S2051" s="182">
        <v>947300</v>
      </c>
      <c r="T2051" s="182">
        <v>78.099999999999994</v>
      </c>
      <c r="U2051" s="182">
        <v>6880736.0630614832</v>
      </c>
      <c r="V2051" s="182">
        <v>3459000000000</v>
      </c>
    </row>
    <row r="2052" spans="1:22">
      <c r="A2052" s="174" t="s">
        <v>4005</v>
      </c>
      <c r="B2052" s="174" t="s">
        <v>4005</v>
      </c>
      <c r="C2052" s="182">
        <f t="shared" si="4"/>
        <v>245.23200000000003</v>
      </c>
      <c r="D2052" s="182">
        <v>31200</v>
      </c>
      <c r="E2052" s="182">
        <v>359</v>
      </c>
      <c r="F2052" s="182">
        <v>309</v>
      </c>
      <c r="G2052" s="182">
        <v>21</v>
      </c>
      <c r="H2052" s="182">
        <v>40</v>
      </c>
      <c r="I2052" s="182"/>
      <c r="J2052" s="182">
        <v>27</v>
      </c>
      <c r="K2052" s="182">
        <f t="shared" si="3"/>
        <v>3.8624999999999998</v>
      </c>
      <c r="L2052" s="182">
        <f t="shared" si="5"/>
        <v>10.714285714285714</v>
      </c>
      <c r="M2052" s="182">
        <v>681300000</v>
      </c>
      <c r="N2052" s="182">
        <v>4435000</v>
      </c>
      <c r="O2052" s="182">
        <v>3796000</v>
      </c>
      <c r="P2052" s="182">
        <v>147.79999999999998</v>
      </c>
      <c r="Q2052" s="182">
        <v>197100000</v>
      </c>
      <c r="R2052" s="182">
        <v>1951000</v>
      </c>
      <c r="S2052" s="182">
        <v>1276000</v>
      </c>
      <c r="T2052" s="182">
        <v>79.5</v>
      </c>
      <c r="U2052" s="182">
        <v>15060154.466937082</v>
      </c>
      <c r="V2052" s="182">
        <v>5004000000000</v>
      </c>
    </row>
    <row r="2053" spans="1:22">
      <c r="A2053" s="174" t="s">
        <v>4006</v>
      </c>
      <c r="B2053" s="174" t="s">
        <v>4006</v>
      </c>
      <c r="C2053" s="182">
        <f t="shared" si="4"/>
        <v>78.993000000000009</v>
      </c>
      <c r="D2053" s="182">
        <v>10050</v>
      </c>
      <c r="E2053" s="182">
        <v>320</v>
      </c>
      <c r="F2053" s="182">
        <v>300</v>
      </c>
      <c r="G2053" s="182">
        <v>8.5</v>
      </c>
      <c r="H2053" s="182">
        <v>11.5</v>
      </c>
      <c r="I2053" s="182"/>
      <c r="J2053" s="182">
        <v>27</v>
      </c>
      <c r="K2053" s="182">
        <f t="shared" ref="K2053:K2116" si="6">F2053/2/H2053</f>
        <v>13.043478260869565</v>
      </c>
      <c r="L2053" s="182">
        <f t="shared" si="5"/>
        <v>28.588235294117649</v>
      </c>
      <c r="M2053" s="182">
        <v>195500000</v>
      </c>
      <c r="N2053" s="182">
        <v>1341000</v>
      </c>
      <c r="O2053" s="182">
        <v>1222000</v>
      </c>
      <c r="P2053" s="182">
        <v>139.5</v>
      </c>
      <c r="Q2053" s="182">
        <v>51850000</v>
      </c>
      <c r="R2053" s="182">
        <v>529300</v>
      </c>
      <c r="S2053" s="182">
        <v>345600</v>
      </c>
      <c r="T2053" s="182">
        <v>71.8</v>
      </c>
      <c r="U2053" s="182">
        <v>600186.21001448692</v>
      </c>
      <c r="V2053" s="182">
        <v>1231000000000</v>
      </c>
    </row>
    <row r="2054" spans="1:22">
      <c r="A2054" s="174" t="s">
        <v>4007</v>
      </c>
      <c r="B2054" s="174" t="s">
        <v>4007</v>
      </c>
      <c r="C2054" s="182">
        <f t="shared" ref="C2054:C2117" si="7">D2054*0.00786</f>
        <v>104.93100000000001</v>
      </c>
      <c r="D2054" s="182">
        <v>13350</v>
      </c>
      <c r="E2054" s="182">
        <v>330</v>
      </c>
      <c r="F2054" s="182">
        <v>300</v>
      </c>
      <c r="G2054" s="182">
        <v>9.5</v>
      </c>
      <c r="H2054" s="182">
        <v>16.5</v>
      </c>
      <c r="I2054" s="182"/>
      <c r="J2054" s="182">
        <v>27</v>
      </c>
      <c r="K2054" s="182">
        <f t="shared" si="6"/>
        <v>9.0909090909090917</v>
      </c>
      <c r="L2054" s="182">
        <f t="shared" ref="L2054:L2117" si="8">(E2054-2*H2054-2*J2054)/G2054</f>
        <v>25.578947368421051</v>
      </c>
      <c r="M2054" s="182">
        <v>276900000</v>
      </c>
      <c r="N2054" s="182">
        <v>1850000</v>
      </c>
      <c r="O2054" s="182">
        <v>1678000</v>
      </c>
      <c r="P2054" s="182">
        <v>144</v>
      </c>
      <c r="Q2054" s="182">
        <v>74360000</v>
      </c>
      <c r="R2054" s="182">
        <v>755900</v>
      </c>
      <c r="S2054" s="182">
        <v>495700</v>
      </c>
      <c r="T2054" s="182">
        <v>74.599999999999994</v>
      </c>
      <c r="U2054" s="182">
        <v>1314054.0666212225</v>
      </c>
      <c r="V2054" s="182">
        <v>1824000000000</v>
      </c>
    </row>
    <row r="2055" spans="1:22">
      <c r="A2055" s="174" t="s">
        <v>4008</v>
      </c>
      <c r="B2055" s="174" t="s">
        <v>4008</v>
      </c>
      <c r="C2055" s="182">
        <f t="shared" si="7"/>
        <v>134.32740000000001</v>
      </c>
      <c r="D2055" s="182">
        <v>17090</v>
      </c>
      <c r="E2055" s="182">
        <v>340</v>
      </c>
      <c r="F2055" s="182">
        <v>300</v>
      </c>
      <c r="G2055" s="182">
        <v>12</v>
      </c>
      <c r="H2055" s="182">
        <v>21.5</v>
      </c>
      <c r="I2055" s="182"/>
      <c r="J2055" s="182">
        <v>27</v>
      </c>
      <c r="K2055" s="182">
        <f t="shared" si="6"/>
        <v>6.9767441860465116</v>
      </c>
      <c r="L2055" s="182">
        <f t="shared" si="8"/>
        <v>20.25</v>
      </c>
      <c r="M2055" s="182">
        <v>366600000</v>
      </c>
      <c r="N2055" s="182">
        <v>2408000</v>
      </c>
      <c r="O2055" s="182">
        <v>2156000</v>
      </c>
      <c r="P2055" s="182">
        <v>146.5</v>
      </c>
      <c r="Q2055" s="182">
        <v>96900000</v>
      </c>
      <c r="R2055" s="182">
        <v>985700</v>
      </c>
      <c r="S2055" s="182">
        <v>646000</v>
      </c>
      <c r="T2055" s="182">
        <v>75.3</v>
      </c>
      <c r="U2055" s="182">
        <v>2628467.5234572785</v>
      </c>
      <c r="V2055" s="182">
        <v>2454000000000</v>
      </c>
    </row>
    <row r="2056" spans="1:22">
      <c r="A2056" s="174" t="s">
        <v>4009</v>
      </c>
      <c r="B2056" s="174" t="s">
        <v>4009</v>
      </c>
      <c r="C2056" s="182">
        <f t="shared" si="7"/>
        <v>248.21880000000002</v>
      </c>
      <c r="D2056" s="182">
        <v>31580</v>
      </c>
      <c r="E2056" s="182">
        <v>377</v>
      </c>
      <c r="F2056" s="182">
        <v>309</v>
      </c>
      <c r="G2056" s="182">
        <v>21</v>
      </c>
      <c r="H2056" s="182">
        <v>40</v>
      </c>
      <c r="I2056" s="182"/>
      <c r="J2056" s="182">
        <v>27</v>
      </c>
      <c r="K2056" s="182">
        <f t="shared" si="6"/>
        <v>3.8624999999999998</v>
      </c>
      <c r="L2056" s="182">
        <f t="shared" si="8"/>
        <v>11.571428571428571</v>
      </c>
      <c r="M2056" s="182">
        <v>763700000</v>
      </c>
      <c r="N2056" s="182">
        <v>4718000</v>
      </c>
      <c r="O2056" s="182">
        <v>4052000</v>
      </c>
      <c r="P2056" s="182">
        <v>155.5</v>
      </c>
      <c r="Q2056" s="182">
        <v>197100000</v>
      </c>
      <c r="R2056" s="182">
        <v>1953000</v>
      </c>
      <c r="S2056" s="182">
        <v>1276000</v>
      </c>
      <c r="T2056" s="182">
        <v>79</v>
      </c>
      <c r="U2056" s="182">
        <v>15115720.46693708</v>
      </c>
      <c r="V2056" s="182">
        <v>5584000000000</v>
      </c>
    </row>
    <row r="2057" spans="1:22">
      <c r="A2057" s="174" t="s">
        <v>4010</v>
      </c>
      <c r="B2057" s="174" t="s">
        <v>4010</v>
      </c>
      <c r="C2057" s="182">
        <f t="shared" si="7"/>
        <v>83.787600000000012</v>
      </c>
      <c r="D2057" s="182">
        <v>10660</v>
      </c>
      <c r="E2057" s="182">
        <v>339</v>
      </c>
      <c r="F2057" s="182">
        <v>300</v>
      </c>
      <c r="G2057" s="182">
        <v>9</v>
      </c>
      <c r="H2057" s="182">
        <v>12</v>
      </c>
      <c r="I2057" s="182"/>
      <c r="J2057" s="182">
        <v>27</v>
      </c>
      <c r="K2057" s="182">
        <f t="shared" si="6"/>
        <v>12.5</v>
      </c>
      <c r="L2057" s="182">
        <f t="shared" si="8"/>
        <v>29</v>
      </c>
      <c r="M2057" s="182">
        <v>230400000</v>
      </c>
      <c r="N2057" s="182">
        <v>1495000</v>
      </c>
      <c r="O2057" s="182">
        <v>1359000</v>
      </c>
      <c r="P2057" s="182">
        <v>147</v>
      </c>
      <c r="Q2057" s="182">
        <v>54100000</v>
      </c>
      <c r="R2057" s="182">
        <v>553000</v>
      </c>
      <c r="S2057" s="182">
        <v>360700</v>
      </c>
      <c r="T2057" s="182">
        <v>71.2</v>
      </c>
      <c r="U2057" s="182">
        <v>671340.61479354918</v>
      </c>
      <c r="V2057" s="182">
        <v>1444000000000</v>
      </c>
    </row>
    <row r="2058" spans="1:22">
      <c r="A2058" s="174" t="s">
        <v>4011</v>
      </c>
      <c r="B2058" s="174" t="s">
        <v>4011</v>
      </c>
      <c r="C2058" s="182">
        <f t="shared" si="7"/>
        <v>112.24080000000002</v>
      </c>
      <c r="D2058" s="182">
        <v>14280.000000000002</v>
      </c>
      <c r="E2058" s="182">
        <v>350</v>
      </c>
      <c r="F2058" s="182">
        <v>300</v>
      </c>
      <c r="G2058" s="182">
        <v>10</v>
      </c>
      <c r="H2058" s="182">
        <v>17.5</v>
      </c>
      <c r="I2058" s="182"/>
      <c r="J2058" s="182">
        <v>27</v>
      </c>
      <c r="K2058" s="182">
        <f t="shared" si="6"/>
        <v>8.5714285714285712</v>
      </c>
      <c r="L2058" s="182">
        <f t="shared" si="8"/>
        <v>26.1</v>
      </c>
      <c r="M2058" s="182">
        <v>330900000</v>
      </c>
      <c r="N2058" s="182">
        <v>2088000</v>
      </c>
      <c r="O2058" s="182">
        <v>1891000</v>
      </c>
      <c r="P2058" s="182">
        <v>152.20000000000002</v>
      </c>
      <c r="Q2058" s="182">
        <v>78870000</v>
      </c>
      <c r="R2058" s="182">
        <v>802300</v>
      </c>
      <c r="S2058" s="182">
        <v>525800</v>
      </c>
      <c r="T2058" s="182">
        <v>74.3</v>
      </c>
      <c r="U2058" s="182">
        <v>1533421.0226677787</v>
      </c>
      <c r="V2058" s="182">
        <v>2177000000000</v>
      </c>
    </row>
    <row r="2059" spans="1:22">
      <c r="A2059" s="174" t="s">
        <v>4012</v>
      </c>
      <c r="B2059" s="174" t="s">
        <v>4012</v>
      </c>
      <c r="C2059" s="182">
        <f t="shared" si="7"/>
        <v>141.95160000000001</v>
      </c>
      <c r="D2059" s="182">
        <v>18060</v>
      </c>
      <c r="E2059" s="182">
        <v>360</v>
      </c>
      <c r="F2059" s="182">
        <v>300</v>
      </c>
      <c r="G2059" s="182">
        <v>12.5</v>
      </c>
      <c r="H2059" s="182">
        <v>22.5</v>
      </c>
      <c r="I2059" s="182"/>
      <c r="J2059" s="182">
        <v>27</v>
      </c>
      <c r="K2059" s="182">
        <f t="shared" si="6"/>
        <v>6.666666666666667</v>
      </c>
      <c r="L2059" s="182">
        <f t="shared" si="8"/>
        <v>20.88</v>
      </c>
      <c r="M2059" s="182">
        <v>431900000</v>
      </c>
      <c r="N2059" s="182">
        <v>2683000</v>
      </c>
      <c r="O2059" s="182">
        <v>2400000</v>
      </c>
      <c r="P2059" s="182">
        <v>154.60000000000002</v>
      </c>
      <c r="Q2059" s="182">
        <v>101400000</v>
      </c>
      <c r="R2059" s="182">
        <v>1032000</v>
      </c>
      <c r="S2059" s="182">
        <v>676100</v>
      </c>
      <c r="T2059" s="182">
        <v>74.900000000000006</v>
      </c>
      <c r="U2059" s="182">
        <v>2983365.1690397607</v>
      </c>
      <c r="V2059" s="182">
        <v>2883000000000</v>
      </c>
    </row>
    <row r="2060" spans="1:22">
      <c r="A2060" s="174" t="s">
        <v>4013</v>
      </c>
      <c r="B2060" s="174" t="s">
        <v>4013</v>
      </c>
      <c r="C2060" s="182">
        <f t="shared" si="7"/>
        <v>250.57680000000002</v>
      </c>
      <c r="D2060" s="182">
        <v>31880</v>
      </c>
      <c r="E2060" s="182">
        <v>395</v>
      </c>
      <c r="F2060" s="182">
        <v>308</v>
      </c>
      <c r="G2060" s="182">
        <v>21</v>
      </c>
      <c r="H2060" s="182">
        <v>40</v>
      </c>
      <c r="I2060" s="182"/>
      <c r="J2060" s="182">
        <v>27</v>
      </c>
      <c r="K2060" s="182">
        <f t="shared" si="6"/>
        <v>3.85</v>
      </c>
      <c r="L2060" s="182">
        <f t="shared" si="8"/>
        <v>12.428571428571429</v>
      </c>
      <c r="M2060" s="182">
        <v>848700000</v>
      </c>
      <c r="N2060" s="182">
        <v>4989000</v>
      </c>
      <c r="O2060" s="182">
        <v>4297000</v>
      </c>
      <c r="P2060" s="182">
        <v>163.19999999999999</v>
      </c>
      <c r="Q2060" s="182">
        <v>195200000</v>
      </c>
      <c r="R2060" s="182">
        <v>1942000</v>
      </c>
      <c r="S2060" s="182">
        <v>1268000</v>
      </c>
      <c r="T2060" s="182">
        <v>78.3</v>
      </c>
      <c r="U2060" s="182">
        <v>15128619.800270414</v>
      </c>
      <c r="V2060" s="182">
        <v>6137000000000</v>
      </c>
    </row>
    <row r="2061" spans="1:22">
      <c r="A2061" s="174" t="s">
        <v>4014</v>
      </c>
      <c r="B2061" s="174" t="s">
        <v>4014</v>
      </c>
      <c r="C2061" s="182">
        <f t="shared" si="7"/>
        <v>92.512200000000007</v>
      </c>
      <c r="D2061" s="182">
        <v>11770</v>
      </c>
      <c r="E2061" s="182">
        <v>378</v>
      </c>
      <c r="F2061" s="182">
        <v>300</v>
      </c>
      <c r="G2061" s="182">
        <v>9.5</v>
      </c>
      <c r="H2061" s="182">
        <v>13</v>
      </c>
      <c r="I2061" s="182"/>
      <c r="J2061" s="182">
        <v>27</v>
      </c>
      <c r="K2061" s="182">
        <f t="shared" si="6"/>
        <v>11.538461538461538</v>
      </c>
      <c r="L2061" s="182">
        <f t="shared" si="8"/>
        <v>31.368421052631579</v>
      </c>
      <c r="M2061" s="182">
        <v>312500000</v>
      </c>
      <c r="N2061" s="182">
        <v>1824000</v>
      </c>
      <c r="O2061" s="182">
        <v>1654000</v>
      </c>
      <c r="P2061" s="182">
        <v>163</v>
      </c>
      <c r="Q2061" s="182">
        <v>58610000</v>
      </c>
      <c r="R2061" s="182">
        <v>599700</v>
      </c>
      <c r="S2061" s="182">
        <v>390800</v>
      </c>
      <c r="T2061" s="182">
        <v>70.599999999999994</v>
      </c>
      <c r="U2061" s="182">
        <v>813192.49155196385</v>
      </c>
      <c r="V2061" s="182">
        <v>1948000000000</v>
      </c>
    </row>
    <row r="2062" spans="1:22">
      <c r="A2062" s="174" t="s">
        <v>4015</v>
      </c>
      <c r="B2062" s="174" t="s">
        <v>4015</v>
      </c>
      <c r="C2062" s="182">
        <f t="shared" si="7"/>
        <v>124.974</v>
      </c>
      <c r="D2062" s="182">
        <v>15900</v>
      </c>
      <c r="E2062" s="182">
        <v>390</v>
      </c>
      <c r="F2062" s="182">
        <v>300</v>
      </c>
      <c r="G2062" s="182">
        <v>11</v>
      </c>
      <c r="H2062" s="182">
        <v>19</v>
      </c>
      <c r="I2062" s="182"/>
      <c r="J2062" s="182">
        <v>27</v>
      </c>
      <c r="K2062" s="182">
        <f t="shared" si="6"/>
        <v>7.8947368421052628</v>
      </c>
      <c r="L2062" s="182">
        <f t="shared" si="8"/>
        <v>27.09090909090909</v>
      </c>
      <c r="M2062" s="182">
        <v>450700000</v>
      </c>
      <c r="N2062" s="182">
        <v>2562000</v>
      </c>
      <c r="O2062" s="182">
        <v>2311000</v>
      </c>
      <c r="P2062" s="182">
        <v>168.4</v>
      </c>
      <c r="Q2062" s="182">
        <v>85640000</v>
      </c>
      <c r="R2062" s="182">
        <v>872900</v>
      </c>
      <c r="S2062" s="182">
        <v>570900</v>
      </c>
      <c r="T2062" s="182">
        <v>73.400000000000006</v>
      </c>
      <c r="U2062" s="182">
        <v>1931713.7838533621</v>
      </c>
      <c r="V2062" s="182">
        <v>2942000000000</v>
      </c>
    </row>
    <row r="2063" spans="1:22">
      <c r="A2063" s="174" t="s">
        <v>4016</v>
      </c>
      <c r="B2063" s="174" t="s">
        <v>4016</v>
      </c>
      <c r="C2063" s="182">
        <f t="shared" si="7"/>
        <v>155.47080000000003</v>
      </c>
      <c r="D2063" s="182">
        <v>19780</v>
      </c>
      <c r="E2063" s="182">
        <v>400</v>
      </c>
      <c r="F2063" s="182">
        <v>300</v>
      </c>
      <c r="G2063" s="182">
        <v>13.5</v>
      </c>
      <c r="H2063" s="182">
        <v>24</v>
      </c>
      <c r="I2063" s="182"/>
      <c r="J2063" s="182">
        <v>27</v>
      </c>
      <c r="K2063" s="182">
        <f t="shared" si="6"/>
        <v>6.25</v>
      </c>
      <c r="L2063" s="182">
        <f t="shared" si="8"/>
        <v>22.074074074074073</v>
      </c>
      <c r="M2063" s="182">
        <v>576800000</v>
      </c>
      <c r="N2063" s="182">
        <v>3232000</v>
      </c>
      <c r="O2063" s="182">
        <v>2884000</v>
      </c>
      <c r="P2063" s="182">
        <v>170.79999999999998</v>
      </c>
      <c r="Q2063" s="182">
        <v>108200000</v>
      </c>
      <c r="R2063" s="182">
        <v>1104000</v>
      </c>
      <c r="S2063" s="182">
        <v>721300</v>
      </c>
      <c r="T2063" s="182">
        <v>74</v>
      </c>
      <c r="U2063" s="182">
        <v>3610277.143037518</v>
      </c>
      <c r="V2063" s="182">
        <v>3817000000000</v>
      </c>
    </row>
    <row r="2064" spans="1:22">
      <c r="A2064" s="174" t="s">
        <v>4017</v>
      </c>
      <c r="B2064" s="174" t="s">
        <v>4017</v>
      </c>
      <c r="C2064" s="182">
        <f t="shared" si="7"/>
        <v>256.0788</v>
      </c>
      <c r="D2064" s="182">
        <v>32580</v>
      </c>
      <c r="E2064" s="182">
        <v>432</v>
      </c>
      <c r="F2064" s="182">
        <v>307</v>
      </c>
      <c r="G2064" s="182">
        <v>21</v>
      </c>
      <c r="H2064" s="182">
        <v>40</v>
      </c>
      <c r="I2064" s="182"/>
      <c r="J2064" s="182">
        <v>27</v>
      </c>
      <c r="K2064" s="182">
        <f t="shared" si="6"/>
        <v>3.8374999999999999</v>
      </c>
      <c r="L2064" s="182">
        <f t="shared" si="8"/>
        <v>14.19047619047619</v>
      </c>
      <c r="M2064" s="182">
        <v>1041000000</v>
      </c>
      <c r="N2064" s="182">
        <v>5571000</v>
      </c>
      <c r="O2064" s="182">
        <v>4820000</v>
      </c>
      <c r="P2064" s="182">
        <v>178.79999999999998</v>
      </c>
      <c r="Q2064" s="182">
        <v>193400000</v>
      </c>
      <c r="R2064" s="182">
        <v>1934000</v>
      </c>
      <c r="S2064" s="182">
        <v>1260000</v>
      </c>
      <c r="T2064" s="182">
        <v>77</v>
      </c>
      <c r="U2064" s="182">
        <v>15200172.133603746</v>
      </c>
      <c r="V2064" s="182">
        <v>7410000000000</v>
      </c>
    </row>
    <row r="2065" spans="1:22">
      <c r="A2065" s="174" t="s">
        <v>4018</v>
      </c>
      <c r="B2065" s="174" t="s">
        <v>4018</v>
      </c>
      <c r="C2065" s="182">
        <f t="shared" si="7"/>
        <v>99.900600000000011</v>
      </c>
      <c r="D2065" s="182">
        <v>12710</v>
      </c>
      <c r="E2065" s="182">
        <v>425</v>
      </c>
      <c r="F2065" s="182">
        <v>300</v>
      </c>
      <c r="G2065" s="182">
        <v>10</v>
      </c>
      <c r="H2065" s="182">
        <v>13.5</v>
      </c>
      <c r="I2065" s="182"/>
      <c r="J2065" s="182">
        <v>27</v>
      </c>
      <c r="K2065" s="182">
        <f t="shared" si="6"/>
        <v>11.111111111111111</v>
      </c>
      <c r="L2065" s="182">
        <f t="shared" si="8"/>
        <v>34.4</v>
      </c>
      <c r="M2065" s="182">
        <v>418900000</v>
      </c>
      <c r="N2065" s="182">
        <v>2183000</v>
      </c>
      <c r="O2065" s="182">
        <v>1971000</v>
      </c>
      <c r="P2065" s="182">
        <v>181.6</v>
      </c>
      <c r="Q2065" s="182">
        <v>60880000</v>
      </c>
      <c r="R2065" s="182">
        <v>624400</v>
      </c>
      <c r="S2065" s="182">
        <v>405800</v>
      </c>
      <c r="T2065" s="182">
        <v>69.2</v>
      </c>
      <c r="U2065" s="182">
        <v>913937.2461932844</v>
      </c>
      <c r="V2065" s="182">
        <v>2572000000000</v>
      </c>
    </row>
    <row r="2066" spans="1:22">
      <c r="A2066" s="174" t="s">
        <v>4019</v>
      </c>
      <c r="B2066" s="174" t="s">
        <v>4019</v>
      </c>
      <c r="C2066" s="182">
        <f t="shared" si="7"/>
        <v>139.90800000000002</v>
      </c>
      <c r="D2066" s="182">
        <v>17800</v>
      </c>
      <c r="E2066" s="182">
        <v>440</v>
      </c>
      <c r="F2066" s="182">
        <v>300</v>
      </c>
      <c r="G2066" s="182">
        <v>11.5</v>
      </c>
      <c r="H2066" s="182">
        <v>21</v>
      </c>
      <c r="I2066" s="182"/>
      <c r="J2066" s="182">
        <v>27</v>
      </c>
      <c r="K2066" s="182">
        <f t="shared" si="6"/>
        <v>7.1428571428571432</v>
      </c>
      <c r="L2066" s="182">
        <f t="shared" si="8"/>
        <v>29.913043478260871</v>
      </c>
      <c r="M2066" s="182">
        <v>637200000</v>
      </c>
      <c r="N2066" s="182">
        <v>3216000</v>
      </c>
      <c r="O2066" s="182">
        <v>2896000</v>
      </c>
      <c r="P2066" s="182">
        <v>189.20000000000002</v>
      </c>
      <c r="Q2066" s="182">
        <v>94650000</v>
      </c>
      <c r="R2066" s="182">
        <v>965500</v>
      </c>
      <c r="S2066" s="182">
        <v>631000</v>
      </c>
      <c r="T2066" s="182">
        <v>72.900000000000006</v>
      </c>
      <c r="U2066" s="182">
        <v>2501090.9923990793</v>
      </c>
      <c r="V2066" s="182">
        <v>4148000000000</v>
      </c>
    </row>
    <row r="2067" spans="1:22">
      <c r="A2067" s="174" t="s">
        <v>4020</v>
      </c>
      <c r="B2067" s="174" t="s">
        <v>4020</v>
      </c>
      <c r="C2067" s="182">
        <f t="shared" si="7"/>
        <v>171.34800000000001</v>
      </c>
      <c r="D2067" s="182">
        <v>21800</v>
      </c>
      <c r="E2067" s="182">
        <v>450</v>
      </c>
      <c r="F2067" s="182">
        <v>300</v>
      </c>
      <c r="G2067" s="182">
        <v>14</v>
      </c>
      <c r="H2067" s="182">
        <v>26</v>
      </c>
      <c r="I2067" s="182"/>
      <c r="J2067" s="182">
        <v>27</v>
      </c>
      <c r="K2067" s="182">
        <f t="shared" si="6"/>
        <v>5.7692307692307692</v>
      </c>
      <c r="L2067" s="182">
        <f t="shared" si="8"/>
        <v>24.571428571428573</v>
      </c>
      <c r="M2067" s="182">
        <v>798900000</v>
      </c>
      <c r="N2067" s="182">
        <v>3982000</v>
      </c>
      <c r="O2067" s="182">
        <v>3551000</v>
      </c>
      <c r="P2067" s="182">
        <v>191.4</v>
      </c>
      <c r="Q2067" s="182">
        <v>117200000</v>
      </c>
      <c r="R2067" s="182">
        <v>1198000</v>
      </c>
      <c r="S2067" s="182">
        <v>781400</v>
      </c>
      <c r="T2067" s="182">
        <v>73.3</v>
      </c>
      <c r="U2067" s="182">
        <v>4479743.1969161294</v>
      </c>
      <c r="V2067" s="182">
        <v>5258000000000</v>
      </c>
    </row>
    <row r="2068" spans="1:22">
      <c r="A2068" s="174" t="s">
        <v>4021</v>
      </c>
      <c r="B2068" s="174" t="s">
        <v>4021</v>
      </c>
      <c r="C2068" s="182">
        <f t="shared" si="7"/>
        <v>263.62440000000004</v>
      </c>
      <c r="D2068" s="182">
        <v>33540</v>
      </c>
      <c r="E2068" s="182">
        <v>478</v>
      </c>
      <c r="F2068" s="182">
        <v>307</v>
      </c>
      <c r="G2068" s="182">
        <v>21</v>
      </c>
      <c r="H2068" s="182">
        <v>40</v>
      </c>
      <c r="I2068" s="182"/>
      <c r="J2068" s="182">
        <v>27</v>
      </c>
      <c r="K2068" s="182">
        <f t="shared" si="6"/>
        <v>3.8374999999999999</v>
      </c>
      <c r="L2068" s="182">
        <f t="shared" si="8"/>
        <v>16.38095238095238</v>
      </c>
      <c r="M2068" s="182">
        <v>1315000000</v>
      </c>
      <c r="N2068" s="182">
        <v>6331000</v>
      </c>
      <c r="O2068" s="182">
        <v>5501000</v>
      </c>
      <c r="P2068" s="182">
        <v>198</v>
      </c>
      <c r="Q2068" s="182">
        <v>193400000</v>
      </c>
      <c r="R2068" s="182">
        <v>1939000</v>
      </c>
      <c r="S2068" s="182">
        <v>1260000</v>
      </c>
      <c r="T2068" s="182">
        <v>75.900000000000006</v>
      </c>
      <c r="U2068" s="182">
        <v>15342174.133603746</v>
      </c>
      <c r="V2068" s="182">
        <v>9251000000000</v>
      </c>
    </row>
    <row r="2069" spans="1:22">
      <c r="A2069" s="174" t="s">
        <v>4022</v>
      </c>
      <c r="B2069" s="174" t="s">
        <v>4022</v>
      </c>
      <c r="C2069" s="182">
        <f t="shared" si="7"/>
        <v>107.60340000000001</v>
      </c>
      <c r="D2069" s="182">
        <v>13690</v>
      </c>
      <c r="E2069" s="182">
        <v>472</v>
      </c>
      <c r="F2069" s="182">
        <v>300</v>
      </c>
      <c r="G2069" s="182">
        <v>10.5</v>
      </c>
      <c r="H2069" s="182">
        <v>14</v>
      </c>
      <c r="I2069" s="182"/>
      <c r="J2069" s="182">
        <v>27</v>
      </c>
      <c r="K2069" s="182">
        <f t="shared" si="6"/>
        <v>10.714285714285714</v>
      </c>
      <c r="L2069" s="182">
        <f t="shared" si="8"/>
        <v>37.142857142857146</v>
      </c>
      <c r="M2069" s="182">
        <v>546400000</v>
      </c>
      <c r="N2069" s="182">
        <v>2576000</v>
      </c>
      <c r="O2069" s="182">
        <v>2315000</v>
      </c>
      <c r="P2069" s="182">
        <v>199.8</v>
      </c>
      <c r="Q2069" s="182">
        <v>63140000</v>
      </c>
      <c r="R2069" s="182">
        <v>649300</v>
      </c>
      <c r="S2069" s="182">
        <v>420900</v>
      </c>
      <c r="T2069" s="182">
        <v>67.900000000000006</v>
      </c>
      <c r="U2069" s="182">
        <v>1026176.9405444843</v>
      </c>
      <c r="V2069" s="182">
        <v>3304000000000</v>
      </c>
    </row>
    <row r="2070" spans="1:22">
      <c r="A2070" s="174" t="s">
        <v>4023</v>
      </c>
      <c r="B2070" s="174" t="s">
        <v>4023</v>
      </c>
      <c r="C2070" s="182">
        <f t="shared" si="7"/>
        <v>155.23500000000001</v>
      </c>
      <c r="D2070" s="182">
        <v>19750</v>
      </c>
      <c r="E2070" s="182">
        <v>490</v>
      </c>
      <c r="F2070" s="182">
        <v>300</v>
      </c>
      <c r="G2070" s="182">
        <v>12</v>
      </c>
      <c r="H2070" s="182">
        <v>23</v>
      </c>
      <c r="I2070" s="182"/>
      <c r="J2070" s="182">
        <v>27</v>
      </c>
      <c r="K2070" s="182">
        <f t="shared" si="6"/>
        <v>6.5217391304347823</v>
      </c>
      <c r="L2070" s="182">
        <f t="shared" si="8"/>
        <v>32.5</v>
      </c>
      <c r="M2070" s="182">
        <v>869700000</v>
      </c>
      <c r="N2070" s="182">
        <v>3949000</v>
      </c>
      <c r="O2070" s="182">
        <v>3550000</v>
      </c>
      <c r="P2070" s="182">
        <v>209.8</v>
      </c>
      <c r="Q2070" s="182">
        <v>103700000</v>
      </c>
      <c r="R2070" s="182">
        <v>1059000</v>
      </c>
      <c r="S2070" s="182">
        <v>691100</v>
      </c>
      <c r="T2070" s="182">
        <v>72.400000000000006</v>
      </c>
      <c r="U2070" s="182">
        <v>3178153.5058868984</v>
      </c>
      <c r="V2070" s="182">
        <v>5643000000000</v>
      </c>
    </row>
    <row r="2071" spans="1:22">
      <c r="A2071" s="174" t="s">
        <v>4024</v>
      </c>
      <c r="B2071" s="174" t="s">
        <v>4024</v>
      </c>
      <c r="C2071" s="182">
        <f t="shared" si="7"/>
        <v>187.53960000000001</v>
      </c>
      <c r="D2071" s="182">
        <v>23860</v>
      </c>
      <c r="E2071" s="182">
        <v>500</v>
      </c>
      <c r="F2071" s="182">
        <v>300</v>
      </c>
      <c r="G2071" s="182">
        <v>14.5</v>
      </c>
      <c r="H2071" s="182">
        <v>28</v>
      </c>
      <c r="I2071" s="182"/>
      <c r="J2071" s="182">
        <v>27</v>
      </c>
      <c r="K2071" s="182">
        <f t="shared" si="6"/>
        <v>5.3571428571428568</v>
      </c>
      <c r="L2071" s="182">
        <f t="shared" si="8"/>
        <v>26.896551724137932</v>
      </c>
      <c r="M2071" s="182">
        <v>1072000000</v>
      </c>
      <c r="N2071" s="182">
        <v>4815000</v>
      </c>
      <c r="O2071" s="182">
        <v>4287000</v>
      </c>
      <c r="P2071" s="182">
        <v>211.9</v>
      </c>
      <c r="Q2071" s="182">
        <v>126200000</v>
      </c>
      <c r="R2071" s="182">
        <v>1292000</v>
      </c>
      <c r="S2071" s="182">
        <v>841600</v>
      </c>
      <c r="T2071" s="182">
        <v>72.699999999999989</v>
      </c>
      <c r="U2071" s="182">
        <v>5481373.2011982203</v>
      </c>
      <c r="V2071" s="182">
        <v>7018000000000</v>
      </c>
    </row>
    <row r="2072" spans="1:22">
      <c r="A2072" s="174" t="s">
        <v>4025</v>
      </c>
      <c r="B2072" s="174" t="s">
        <v>4025</v>
      </c>
      <c r="C2072" s="182">
        <f t="shared" si="7"/>
        <v>270.6198</v>
      </c>
      <c r="D2072" s="182">
        <v>34430</v>
      </c>
      <c r="E2072" s="182">
        <v>524</v>
      </c>
      <c r="F2072" s="182">
        <v>306</v>
      </c>
      <c r="G2072" s="182">
        <v>21</v>
      </c>
      <c r="H2072" s="182">
        <v>40</v>
      </c>
      <c r="I2072" s="182"/>
      <c r="J2072" s="182">
        <v>27</v>
      </c>
      <c r="K2072" s="182">
        <f t="shared" si="6"/>
        <v>3.8250000000000002</v>
      </c>
      <c r="L2072" s="182">
        <f t="shared" si="8"/>
        <v>18.571428571428573</v>
      </c>
      <c r="M2072" s="182">
        <v>1619000000</v>
      </c>
      <c r="N2072" s="182">
        <v>7094000</v>
      </c>
      <c r="O2072" s="182">
        <v>6180000</v>
      </c>
      <c r="P2072" s="182">
        <v>216.9</v>
      </c>
      <c r="Q2072" s="182">
        <v>191500000</v>
      </c>
      <c r="R2072" s="182">
        <v>1932000</v>
      </c>
      <c r="S2072" s="182">
        <v>1252000</v>
      </c>
      <c r="T2072" s="182">
        <v>74.599999999999994</v>
      </c>
      <c r="U2072" s="182">
        <v>15441509.46693708</v>
      </c>
      <c r="V2072" s="182">
        <v>11190000000000</v>
      </c>
    </row>
    <row r="2073" spans="1:22">
      <c r="A2073" s="174" t="s">
        <v>4026</v>
      </c>
      <c r="B2073" s="174" t="s">
        <v>4026</v>
      </c>
      <c r="C2073" s="182">
        <f t="shared" si="7"/>
        <v>120.10080000000002</v>
      </c>
      <c r="D2073" s="182">
        <v>15280.000000000002</v>
      </c>
      <c r="E2073" s="182">
        <v>522</v>
      </c>
      <c r="F2073" s="182">
        <v>300</v>
      </c>
      <c r="G2073" s="182">
        <v>11.5</v>
      </c>
      <c r="H2073" s="182">
        <v>15</v>
      </c>
      <c r="I2073" s="182"/>
      <c r="J2073" s="182">
        <v>27</v>
      </c>
      <c r="K2073" s="182">
        <f t="shared" si="6"/>
        <v>10</v>
      </c>
      <c r="L2073" s="182">
        <f t="shared" si="8"/>
        <v>38.086956521739133</v>
      </c>
      <c r="M2073" s="182">
        <v>728700000</v>
      </c>
      <c r="N2073" s="182">
        <v>3128000</v>
      </c>
      <c r="O2073" s="182">
        <v>2792000</v>
      </c>
      <c r="P2073" s="182">
        <v>218.4</v>
      </c>
      <c r="Q2073" s="182">
        <v>67670000</v>
      </c>
      <c r="R2073" s="182">
        <v>698600</v>
      </c>
      <c r="S2073" s="182">
        <v>451100</v>
      </c>
      <c r="T2073" s="182">
        <v>66.5</v>
      </c>
      <c r="U2073" s="182">
        <v>1266801.2751733449</v>
      </c>
      <c r="V2073" s="182">
        <v>4338000000000</v>
      </c>
    </row>
    <row r="2074" spans="1:22">
      <c r="A2074" s="174" t="s">
        <v>4027</v>
      </c>
      <c r="B2074" s="174" t="s">
        <v>4027</v>
      </c>
      <c r="C2074" s="182">
        <f t="shared" si="7"/>
        <v>166.47480000000002</v>
      </c>
      <c r="D2074" s="182">
        <v>21180</v>
      </c>
      <c r="E2074" s="182">
        <v>540</v>
      </c>
      <c r="F2074" s="182">
        <v>300</v>
      </c>
      <c r="G2074" s="182">
        <v>12.5</v>
      </c>
      <c r="H2074" s="182">
        <v>24</v>
      </c>
      <c r="I2074" s="182"/>
      <c r="J2074" s="182">
        <v>27</v>
      </c>
      <c r="K2074" s="182">
        <f t="shared" si="6"/>
        <v>6.25</v>
      </c>
      <c r="L2074" s="182">
        <f t="shared" si="8"/>
        <v>35.04</v>
      </c>
      <c r="M2074" s="182">
        <v>1119000000</v>
      </c>
      <c r="N2074" s="182">
        <v>4622000</v>
      </c>
      <c r="O2074" s="182">
        <v>4146000</v>
      </c>
      <c r="P2074" s="182">
        <v>229.89999999999998</v>
      </c>
      <c r="Q2074" s="182">
        <v>108200000</v>
      </c>
      <c r="R2074" s="182">
        <v>1107000</v>
      </c>
      <c r="S2074" s="182">
        <v>721300</v>
      </c>
      <c r="T2074" s="182">
        <v>71.5</v>
      </c>
      <c r="U2074" s="182">
        <v>3603555.8642453058</v>
      </c>
      <c r="V2074" s="182">
        <v>7189000000000</v>
      </c>
    </row>
    <row r="2075" spans="1:22">
      <c r="A2075" s="174" t="s">
        <v>4028</v>
      </c>
      <c r="B2075" s="174" t="s">
        <v>4028</v>
      </c>
      <c r="C2075" s="182">
        <f t="shared" si="7"/>
        <v>199.72260000000003</v>
      </c>
      <c r="D2075" s="182">
        <v>25410</v>
      </c>
      <c r="E2075" s="182">
        <v>550</v>
      </c>
      <c r="F2075" s="182">
        <v>300</v>
      </c>
      <c r="G2075" s="182">
        <v>15</v>
      </c>
      <c r="H2075" s="182">
        <v>29</v>
      </c>
      <c r="I2075" s="182"/>
      <c r="J2075" s="182">
        <v>27</v>
      </c>
      <c r="K2075" s="182">
        <f t="shared" si="6"/>
        <v>5.1724137931034484</v>
      </c>
      <c r="L2075" s="182">
        <f t="shared" si="8"/>
        <v>29.2</v>
      </c>
      <c r="M2075" s="182">
        <v>1367000000</v>
      </c>
      <c r="N2075" s="182">
        <v>5591000</v>
      </c>
      <c r="O2075" s="182">
        <v>4971000</v>
      </c>
      <c r="P2075" s="182">
        <v>232</v>
      </c>
      <c r="Q2075" s="182">
        <v>130800000</v>
      </c>
      <c r="R2075" s="182">
        <v>1341000</v>
      </c>
      <c r="S2075" s="182">
        <v>871800</v>
      </c>
      <c r="T2075" s="182">
        <v>71.7</v>
      </c>
      <c r="U2075" s="182">
        <v>6101732.2494148128</v>
      </c>
      <c r="V2075" s="182">
        <v>8856000000000</v>
      </c>
    </row>
    <row r="2076" spans="1:22">
      <c r="A2076" s="174" t="s">
        <v>4029</v>
      </c>
      <c r="B2076" s="174" t="s">
        <v>4029</v>
      </c>
      <c r="C2076" s="182">
        <f t="shared" si="7"/>
        <v>278.55840000000001</v>
      </c>
      <c r="D2076" s="182">
        <v>35440</v>
      </c>
      <c r="E2076" s="182">
        <v>572</v>
      </c>
      <c r="F2076" s="182">
        <v>306</v>
      </c>
      <c r="G2076" s="182">
        <v>21</v>
      </c>
      <c r="H2076" s="182">
        <v>40</v>
      </c>
      <c r="I2076" s="182"/>
      <c r="J2076" s="182">
        <v>27</v>
      </c>
      <c r="K2076" s="182">
        <f t="shared" si="6"/>
        <v>3.8250000000000002</v>
      </c>
      <c r="L2076" s="182">
        <f t="shared" si="8"/>
        <v>20.857142857142858</v>
      </c>
      <c r="M2076" s="182">
        <v>1980000000</v>
      </c>
      <c r="N2076" s="182">
        <v>7933000</v>
      </c>
      <c r="O2076" s="182">
        <v>6923000</v>
      </c>
      <c r="P2076" s="182">
        <v>236.4</v>
      </c>
      <c r="Q2076" s="182">
        <v>191600000</v>
      </c>
      <c r="R2076" s="182">
        <v>1937000</v>
      </c>
      <c r="S2076" s="182">
        <v>1252000</v>
      </c>
      <c r="T2076" s="182">
        <v>73.5</v>
      </c>
      <c r="U2076" s="182">
        <v>15589685.46693708</v>
      </c>
      <c r="V2076" s="182">
        <v>13520000000000</v>
      </c>
    </row>
    <row r="2077" spans="1:22">
      <c r="A2077" s="174" t="s">
        <v>4030</v>
      </c>
      <c r="B2077" s="174" t="s">
        <v>4030</v>
      </c>
      <c r="C2077" s="182">
        <f t="shared" si="7"/>
        <v>128.98260000000002</v>
      </c>
      <c r="D2077" s="182">
        <v>16410</v>
      </c>
      <c r="E2077" s="182">
        <v>571</v>
      </c>
      <c r="F2077" s="182">
        <v>300</v>
      </c>
      <c r="G2077" s="182">
        <v>12</v>
      </c>
      <c r="H2077" s="182">
        <v>15.5</v>
      </c>
      <c r="I2077" s="182"/>
      <c r="J2077" s="182">
        <v>27</v>
      </c>
      <c r="K2077" s="182">
        <f t="shared" si="6"/>
        <v>9.67741935483871</v>
      </c>
      <c r="L2077" s="182">
        <f t="shared" si="8"/>
        <v>40.5</v>
      </c>
      <c r="M2077" s="182">
        <v>919000000</v>
      </c>
      <c r="N2077" s="182">
        <v>3623000</v>
      </c>
      <c r="O2077" s="182">
        <v>3218000</v>
      </c>
      <c r="P2077" s="182">
        <v>236.6</v>
      </c>
      <c r="Q2077" s="182">
        <v>69930000</v>
      </c>
      <c r="R2077" s="182">
        <v>724500</v>
      </c>
      <c r="S2077" s="182">
        <v>466200</v>
      </c>
      <c r="T2077" s="182">
        <v>65.3</v>
      </c>
      <c r="U2077" s="182">
        <v>1417706.4726961381</v>
      </c>
      <c r="V2077" s="182">
        <v>5381000000000</v>
      </c>
    </row>
    <row r="2078" spans="1:22">
      <c r="A2078" s="174" t="s">
        <v>4031</v>
      </c>
      <c r="B2078" s="174" t="s">
        <v>4031</v>
      </c>
      <c r="C2078" s="182">
        <f t="shared" si="7"/>
        <v>178.02900000000002</v>
      </c>
      <c r="D2078" s="182">
        <v>22650</v>
      </c>
      <c r="E2078" s="182">
        <v>590</v>
      </c>
      <c r="F2078" s="182">
        <v>300</v>
      </c>
      <c r="G2078" s="182">
        <v>13</v>
      </c>
      <c r="H2078" s="182">
        <v>25</v>
      </c>
      <c r="I2078" s="182"/>
      <c r="J2078" s="182">
        <v>27</v>
      </c>
      <c r="K2078" s="182">
        <f t="shared" si="6"/>
        <v>6</v>
      </c>
      <c r="L2078" s="182">
        <f t="shared" si="8"/>
        <v>37.384615384615387</v>
      </c>
      <c r="M2078" s="182">
        <v>1412000000</v>
      </c>
      <c r="N2078" s="182">
        <v>5350000</v>
      </c>
      <c r="O2078" s="182">
        <v>4787000</v>
      </c>
      <c r="P2078" s="182">
        <v>249.7</v>
      </c>
      <c r="Q2078" s="182">
        <v>112700000</v>
      </c>
      <c r="R2078" s="182">
        <v>1156000</v>
      </c>
      <c r="S2078" s="182">
        <v>751400</v>
      </c>
      <c r="T2078" s="182">
        <v>70.5</v>
      </c>
      <c r="U2078" s="182">
        <v>4068805.7454621163</v>
      </c>
      <c r="V2078" s="182">
        <v>8978000000000</v>
      </c>
    </row>
    <row r="2079" spans="1:22">
      <c r="A2079" s="174" t="s">
        <v>4032</v>
      </c>
      <c r="B2079" s="174" t="s">
        <v>4032</v>
      </c>
      <c r="C2079" s="182">
        <f t="shared" si="7"/>
        <v>212.22000000000003</v>
      </c>
      <c r="D2079" s="182">
        <v>27000</v>
      </c>
      <c r="E2079" s="182">
        <v>600</v>
      </c>
      <c r="F2079" s="182">
        <v>300</v>
      </c>
      <c r="G2079" s="182">
        <v>15.5</v>
      </c>
      <c r="H2079" s="182">
        <v>30</v>
      </c>
      <c r="I2079" s="182"/>
      <c r="J2079" s="182">
        <v>27</v>
      </c>
      <c r="K2079" s="182">
        <f t="shared" si="6"/>
        <v>5</v>
      </c>
      <c r="L2079" s="182">
        <f t="shared" si="8"/>
        <v>31.35483870967742</v>
      </c>
      <c r="M2079" s="182">
        <v>1710000000</v>
      </c>
      <c r="N2079" s="182">
        <v>6425000</v>
      </c>
      <c r="O2079" s="182">
        <v>5701000</v>
      </c>
      <c r="P2079" s="182">
        <v>251.70000000000002</v>
      </c>
      <c r="Q2079" s="182">
        <v>135300000</v>
      </c>
      <c r="R2079" s="182">
        <v>1391000</v>
      </c>
      <c r="S2079" s="182">
        <v>902000</v>
      </c>
      <c r="T2079" s="182">
        <v>70.8</v>
      </c>
      <c r="U2079" s="182">
        <v>6771259.5862712869</v>
      </c>
      <c r="V2079" s="182">
        <v>10970000000000</v>
      </c>
    </row>
    <row r="2080" spans="1:22">
      <c r="A2080" s="174" t="s">
        <v>4033</v>
      </c>
      <c r="B2080" s="174" t="s">
        <v>4033</v>
      </c>
      <c r="C2080" s="182">
        <f t="shared" si="7"/>
        <v>285.8682</v>
      </c>
      <c r="D2080" s="182">
        <v>36370</v>
      </c>
      <c r="E2080" s="182">
        <v>620</v>
      </c>
      <c r="F2080" s="182">
        <v>305</v>
      </c>
      <c r="G2080" s="182">
        <v>21</v>
      </c>
      <c r="H2080" s="182">
        <v>40</v>
      </c>
      <c r="I2080" s="182"/>
      <c r="J2080" s="182">
        <v>27</v>
      </c>
      <c r="K2080" s="182">
        <f t="shared" si="6"/>
        <v>3.8125</v>
      </c>
      <c r="L2080" s="182">
        <f t="shared" si="8"/>
        <v>23.142857142857142</v>
      </c>
      <c r="M2080" s="182">
        <v>2374000000</v>
      </c>
      <c r="N2080" s="182">
        <v>8772000</v>
      </c>
      <c r="O2080" s="182">
        <v>7660000</v>
      </c>
      <c r="P2080" s="182">
        <v>255.5</v>
      </c>
      <c r="Q2080" s="182">
        <v>189800000</v>
      </c>
      <c r="R2080" s="182">
        <v>1930000</v>
      </c>
      <c r="S2080" s="182">
        <v>1244000</v>
      </c>
      <c r="T2080" s="182">
        <v>72.2</v>
      </c>
      <c r="U2080" s="182">
        <v>15695194.800270414</v>
      </c>
      <c r="V2080" s="182">
        <v>15910000000000</v>
      </c>
    </row>
    <row r="2081" spans="1:22">
      <c r="A2081" s="174" t="s">
        <v>4034</v>
      </c>
      <c r="B2081" s="174" t="s">
        <v>4034</v>
      </c>
      <c r="C2081" s="182">
        <f t="shared" si="7"/>
        <v>337.35120000000001</v>
      </c>
      <c r="D2081" s="182">
        <v>42920</v>
      </c>
      <c r="E2081" s="182">
        <v>632</v>
      </c>
      <c r="F2081" s="182">
        <v>310</v>
      </c>
      <c r="G2081" s="182">
        <v>25.5</v>
      </c>
      <c r="H2081" s="182">
        <v>46</v>
      </c>
      <c r="I2081" s="182"/>
      <c r="J2081" s="182">
        <v>27</v>
      </c>
      <c r="K2081" s="182">
        <f t="shared" si="6"/>
        <v>3.3695652173913042</v>
      </c>
      <c r="L2081" s="182">
        <f t="shared" si="8"/>
        <v>19.058823529411764</v>
      </c>
      <c r="M2081" s="182">
        <v>2832000000</v>
      </c>
      <c r="N2081" s="182">
        <v>10380000</v>
      </c>
      <c r="O2081" s="182">
        <v>8961000</v>
      </c>
      <c r="P2081" s="182">
        <v>256.90000000000003</v>
      </c>
      <c r="Q2081" s="182">
        <v>229400000</v>
      </c>
      <c r="R2081" s="182">
        <v>2310000</v>
      </c>
      <c r="S2081" s="182">
        <v>1480000</v>
      </c>
      <c r="T2081" s="182">
        <v>73.099999999999994</v>
      </c>
      <c r="U2081" s="182">
        <v>24408581.632646721</v>
      </c>
      <c r="V2081" s="182">
        <v>19610000000000</v>
      </c>
    </row>
    <row r="2082" spans="1:22">
      <c r="A2082" s="174" t="s">
        <v>4035</v>
      </c>
      <c r="B2082" s="174" t="s">
        <v>4035</v>
      </c>
      <c r="C2082" s="182">
        <f t="shared" si="7"/>
        <v>399.68100000000004</v>
      </c>
      <c r="D2082" s="182">
        <v>50850</v>
      </c>
      <c r="E2082" s="182">
        <v>648</v>
      </c>
      <c r="F2082" s="182">
        <v>315</v>
      </c>
      <c r="G2082" s="182">
        <v>30</v>
      </c>
      <c r="H2082" s="182">
        <v>54</v>
      </c>
      <c r="I2082" s="182"/>
      <c r="J2082" s="182">
        <v>27</v>
      </c>
      <c r="K2082" s="182">
        <f t="shared" si="6"/>
        <v>2.9166666666666665</v>
      </c>
      <c r="L2082" s="182">
        <f t="shared" si="8"/>
        <v>16.2</v>
      </c>
      <c r="M2082" s="182">
        <v>3446000000</v>
      </c>
      <c r="N2082" s="182">
        <v>12460000</v>
      </c>
      <c r="O2082" s="182">
        <v>10640000</v>
      </c>
      <c r="P2082" s="182">
        <v>260.3</v>
      </c>
      <c r="Q2082" s="182">
        <v>282800000</v>
      </c>
      <c r="R2082" s="182">
        <v>2814000</v>
      </c>
      <c r="S2082" s="182">
        <v>1796000</v>
      </c>
      <c r="T2082" s="182">
        <v>74.599999999999994</v>
      </c>
      <c r="U2082" s="182">
        <v>39337889.383839354</v>
      </c>
      <c r="V2082" s="182">
        <v>24810000000000</v>
      </c>
    </row>
    <row r="2083" spans="1:22">
      <c r="A2083" s="174" t="s">
        <v>4036</v>
      </c>
      <c r="B2083" s="174" t="s">
        <v>4036</v>
      </c>
      <c r="C2083" s="182">
        <f t="shared" si="7"/>
        <v>138.17880000000002</v>
      </c>
      <c r="D2083" s="182">
        <v>17580</v>
      </c>
      <c r="E2083" s="182">
        <v>620</v>
      </c>
      <c r="F2083" s="182">
        <v>300</v>
      </c>
      <c r="G2083" s="182">
        <v>12.5</v>
      </c>
      <c r="H2083" s="182">
        <v>16</v>
      </c>
      <c r="I2083" s="182"/>
      <c r="J2083" s="182">
        <v>27</v>
      </c>
      <c r="K2083" s="182">
        <f t="shared" si="6"/>
        <v>9.375</v>
      </c>
      <c r="L2083" s="182">
        <f t="shared" si="8"/>
        <v>42.72</v>
      </c>
      <c r="M2083" s="182">
        <v>1139000000</v>
      </c>
      <c r="N2083" s="182">
        <v>4160000</v>
      </c>
      <c r="O2083" s="182">
        <v>3676000</v>
      </c>
      <c r="P2083" s="182">
        <v>254.60000000000002</v>
      </c>
      <c r="Q2083" s="182">
        <v>72210000</v>
      </c>
      <c r="R2083" s="182">
        <v>750700</v>
      </c>
      <c r="S2083" s="182">
        <v>481400</v>
      </c>
      <c r="T2083" s="182">
        <v>64.099999999999994</v>
      </c>
      <c r="U2083" s="182">
        <v>1584342.9956678632</v>
      </c>
      <c r="V2083" s="182">
        <v>6567000000000</v>
      </c>
    </row>
    <row r="2084" spans="1:22">
      <c r="A2084" s="174" t="s">
        <v>4037</v>
      </c>
      <c r="B2084" s="174" t="s">
        <v>4037</v>
      </c>
      <c r="C2084" s="182">
        <f t="shared" si="7"/>
        <v>189.89760000000001</v>
      </c>
      <c r="D2084" s="182">
        <v>24160</v>
      </c>
      <c r="E2084" s="182">
        <v>640</v>
      </c>
      <c r="F2084" s="182">
        <v>300</v>
      </c>
      <c r="G2084" s="182">
        <v>13.5</v>
      </c>
      <c r="H2084" s="182">
        <v>26</v>
      </c>
      <c r="I2084" s="182"/>
      <c r="J2084" s="182">
        <v>27</v>
      </c>
      <c r="K2084" s="182">
        <f t="shared" si="6"/>
        <v>5.7692307692307692</v>
      </c>
      <c r="L2084" s="182">
        <f t="shared" si="8"/>
        <v>39.555555555555557</v>
      </c>
      <c r="M2084" s="182">
        <v>1752000000</v>
      </c>
      <c r="N2084" s="182">
        <v>6136000</v>
      </c>
      <c r="O2084" s="182">
        <v>5474000</v>
      </c>
      <c r="P2084" s="182">
        <v>269.3</v>
      </c>
      <c r="Q2084" s="182">
        <v>117200000</v>
      </c>
      <c r="R2084" s="182">
        <v>1205000</v>
      </c>
      <c r="S2084" s="182">
        <v>781600</v>
      </c>
      <c r="T2084" s="182">
        <v>69.7</v>
      </c>
      <c r="U2084" s="182">
        <v>4576044.7599339513</v>
      </c>
      <c r="V2084" s="182">
        <v>11030000000000</v>
      </c>
    </row>
    <row r="2085" spans="1:22">
      <c r="A2085" s="174" t="s">
        <v>4038</v>
      </c>
      <c r="B2085" s="174" t="s">
        <v>4038</v>
      </c>
      <c r="C2085" s="182">
        <f t="shared" si="7"/>
        <v>225.03180000000003</v>
      </c>
      <c r="D2085" s="182">
        <v>28630</v>
      </c>
      <c r="E2085" s="182">
        <v>650</v>
      </c>
      <c r="F2085" s="182">
        <v>300</v>
      </c>
      <c r="G2085" s="182">
        <v>16</v>
      </c>
      <c r="H2085" s="182">
        <v>31</v>
      </c>
      <c r="I2085" s="182"/>
      <c r="J2085" s="182">
        <v>27</v>
      </c>
      <c r="K2085" s="182">
        <f t="shared" si="6"/>
        <v>4.838709677419355</v>
      </c>
      <c r="L2085" s="182">
        <f t="shared" si="8"/>
        <v>33.375</v>
      </c>
      <c r="M2085" s="182">
        <v>2106000000</v>
      </c>
      <c r="N2085" s="182">
        <v>7320000</v>
      </c>
      <c r="O2085" s="182">
        <v>6480000</v>
      </c>
      <c r="P2085" s="182">
        <v>271.2</v>
      </c>
      <c r="Q2085" s="182">
        <v>139800000</v>
      </c>
      <c r="R2085" s="182">
        <v>1441000</v>
      </c>
      <c r="S2085" s="182">
        <v>932300</v>
      </c>
      <c r="T2085" s="182">
        <v>69.900000000000006</v>
      </c>
      <c r="U2085" s="182">
        <v>7492242.955446613</v>
      </c>
      <c r="V2085" s="182">
        <v>13360000000000</v>
      </c>
    </row>
    <row r="2086" spans="1:22">
      <c r="A2086" s="174" t="s">
        <v>4039</v>
      </c>
      <c r="B2086" s="174" t="s">
        <v>4039</v>
      </c>
      <c r="C2086" s="182">
        <f t="shared" si="7"/>
        <v>293.72820000000002</v>
      </c>
      <c r="D2086" s="182">
        <v>37370</v>
      </c>
      <c r="E2086" s="182">
        <v>668</v>
      </c>
      <c r="F2086" s="182">
        <v>305</v>
      </c>
      <c r="G2086" s="182">
        <v>21</v>
      </c>
      <c r="H2086" s="182">
        <v>40</v>
      </c>
      <c r="I2086" s="182"/>
      <c r="J2086" s="182">
        <v>27</v>
      </c>
      <c r="K2086" s="182">
        <f t="shared" si="6"/>
        <v>3.8125</v>
      </c>
      <c r="L2086" s="182">
        <f t="shared" si="8"/>
        <v>25.428571428571427</v>
      </c>
      <c r="M2086" s="182">
        <v>2817000000</v>
      </c>
      <c r="N2086" s="182">
        <v>9657000</v>
      </c>
      <c r="O2086" s="182">
        <v>8433000</v>
      </c>
      <c r="P2086" s="182">
        <v>274.5</v>
      </c>
      <c r="Q2086" s="182">
        <v>189800000</v>
      </c>
      <c r="R2086" s="182">
        <v>1936000</v>
      </c>
      <c r="S2086" s="182">
        <v>1245000</v>
      </c>
      <c r="T2086" s="182">
        <v>71.3</v>
      </c>
      <c r="U2086" s="182">
        <v>15843370.800270414</v>
      </c>
      <c r="V2086" s="182">
        <v>18650000000000</v>
      </c>
    </row>
    <row r="2087" spans="1:22">
      <c r="A2087" s="174" t="s">
        <v>4040</v>
      </c>
      <c r="B2087" s="174" t="s">
        <v>4040</v>
      </c>
      <c r="C2087" s="182">
        <f t="shared" si="7"/>
        <v>343.87500000000006</v>
      </c>
      <c r="D2087" s="182">
        <v>43750</v>
      </c>
      <c r="E2087" s="182">
        <v>680</v>
      </c>
      <c r="F2087" s="182">
        <v>309</v>
      </c>
      <c r="G2087" s="182">
        <v>25</v>
      </c>
      <c r="H2087" s="182">
        <v>46</v>
      </c>
      <c r="I2087" s="182"/>
      <c r="J2087" s="182">
        <v>27</v>
      </c>
      <c r="K2087" s="182">
        <f t="shared" si="6"/>
        <v>3.3586956521739131</v>
      </c>
      <c r="L2087" s="182">
        <f t="shared" si="8"/>
        <v>21.36</v>
      </c>
      <c r="M2087" s="182">
        <v>3337000000</v>
      </c>
      <c r="N2087" s="182">
        <v>11350000</v>
      </c>
      <c r="O2087" s="182">
        <v>9815000</v>
      </c>
      <c r="P2087" s="182">
        <v>276.2</v>
      </c>
      <c r="Q2087" s="182">
        <v>227200000</v>
      </c>
      <c r="R2087" s="182">
        <v>2300000</v>
      </c>
      <c r="S2087" s="182">
        <v>1470000</v>
      </c>
      <c r="T2087" s="182">
        <v>72.099999999999994</v>
      </c>
      <c r="U2087" s="182">
        <v>24352666.60900094</v>
      </c>
      <c r="V2087" s="182">
        <v>22730000000000</v>
      </c>
    </row>
    <row r="2088" spans="1:22">
      <c r="A2088" s="174" t="s">
        <v>4041</v>
      </c>
      <c r="B2088" s="174" t="s">
        <v>4041</v>
      </c>
      <c r="C2088" s="182">
        <f t="shared" si="7"/>
        <v>407.77679999999998</v>
      </c>
      <c r="D2088" s="182">
        <v>51879.999999999993</v>
      </c>
      <c r="E2088" s="182">
        <v>696</v>
      </c>
      <c r="F2088" s="182">
        <v>314</v>
      </c>
      <c r="G2088" s="182">
        <v>29.5</v>
      </c>
      <c r="H2088" s="182">
        <v>54</v>
      </c>
      <c r="I2088" s="182"/>
      <c r="J2088" s="182">
        <v>27</v>
      </c>
      <c r="K2088" s="182">
        <f t="shared" si="6"/>
        <v>2.9074074074074074</v>
      </c>
      <c r="L2088" s="182">
        <f t="shared" si="8"/>
        <v>18.101694915254239</v>
      </c>
      <c r="M2088" s="182">
        <v>4054000000</v>
      </c>
      <c r="N2088" s="182">
        <v>13620000</v>
      </c>
      <c r="O2088" s="182">
        <v>11650000</v>
      </c>
      <c r="P2088" s="182">
        <v>279.5</v>
      </c>
      <c r="Q2088" s="182">
        <v>280200000</v>
      </c>
      <c r="R2088" s="182">
        <v>2803000</v>
      </c>
      <c r="S2088" s="182">
        <v>1785000</v>
      </c>
      <c r="T2088" s="182">
        <v>73.5</v>
      </c>
      <c r="U2088" s="182">
        <v>39306406.34581311</v>
      </c>
      <c r="V2088" s="182">
        <v>28710000000000</v>
      </c>
    </row>
    <row r="2089" spans="1:22">
      <c r="A2089" s="174" t="s">
        <v>4042</v>
      </c>
      <c r="B2089" s="174" t="s">
        <v>4042</v>
      </c>
      <c r="C2089" s="182">
        <f t="shared" si="7"/>
        <v>150.04740000000001</v>
      </c>
      <c r="D2089" s="182">
        <v>19090</v>
      </c>
      <c r="E2089" s="182">
        <v>670</v>
      </c>
      <c r="F2089" s="182">
        <v>300</v>
      </c>
      <c r="G2089" s="182">
        <v>13</v>
      </c>
      <c r="H2089" s="182">
        <v>17</v>
      </c>
      <c r="I2089" s="182"/>
      <c r="J2089" s="182">
        <v>27</v>
      </c>
      <c r="K2089" s="182">
        <f t="shared" si="6"/>
        <v>8.8235294117647065</v>
      </c>
      <c r="L2089" s="182">
        <f t="shared" si="8"/>
        <v>44.769230769230766</v>
      </c>
      <c r="M2089" s="182">
        <v>1427000000</v>
      </c>
      <c r="N2089" s="182">
        <v>4840000</v>
      </c>
      <c r="O2089" s="182">
        <v>4260000</v>
      </c>
      <c r="P2089" s="182">
        <v>273.39999999999998</v>
      </c>
      <c r="Q2089" s="182">
        <v>76730000</v>
      </c>
      <c r="R2089" s="182">
        <v>799700</v>
      </c>
      <c r="S2089" s="182">
        <v>511500</v>
      </c>
      <c r="T2089" s="182">
        <v>63.4</v>
      </c>
      <c r="U2089" s="182">
        <v>1863396.4595908285</v>
      </c>
      <c r="V2089" s="182">
        <v>8155000000000</v>
      </c>
    </row>
    <row r="2090" spans="1:22">
      <c r="A2090" s="174" t="s">
        <v>4043</v>
      </c>
      <c r="B2090" s="174" t="s">
        <v>4043</v>
      </c>
      <c r="C2090" s="182">
        <f t="shared" si="7"/>
        <v>204.75300000000001</v>
      </c>
      <c r="D2090" s="182">
        <v>26050</v>
      </c>
      <c r="E2090" s="182">
        <v>690</v>
      </c>
      <c r="F2090" s="182">
        <v>300</v>
      </c>
      <c r="G2090" s="182">
        <v>14.5</v>
      </c>
      <c r="H2090" s="182">
        <v>27</v>
      </c>
      <c r="I2090" s="182"/>
      <c r="J2090" s="182">
        <v>27</v>
      </c>
      <c r="K2090" s="182">
        <f t="shared" si="6"/>
        <v>5.5555555555555554</v>
      </c>
      <c r="L2090" s="182">
        <f t="shared" si="8"/>
        <v>40.137931034482762</v>
      </c>
      <c r="M2090" s="182">
        <v>2153000000</v>
      </c>
      <c r="N2090" s="182">
        <v>7032000</v>
      </c>
      <c r="O2090" s="182">
        <v>6241000</v>
      </c>
      <c r="P2090" s="182">
        <v>287.5</v>
      </c>
      <c r="Q2090" s="182">
        <v>121800000</v>
      </c>
      <c r="R2090" s="182">
        <v>1257000</v>
      </c>
      <c r="S2090" s="182">
        <v>811900</v>
      </c>
      <c r="T2090" s="182">
        <v>68.400000000000006</v>
      </c>
      <c r="U2090" s="182">
        <v>5215451.6021854458</v>
      </c>
      <c r="V2090" s="182">
        <v>13350000000000</v>
      </c>
    </row>
    <row r="2091" spans="1:22">
      <c r="A2091" s="174" t="s">
        <v>4044</v>
      </c>
      <c r="B2091" s="174" t="s">
        <v>4044</v>
      </c>
      <c r="C2091" s="182">
        <f t="shared" si="7"/>
        <v>240.8304</v>
      </c>
      <c r="D2091" s="182">
        <v>30639.999999999996</v>
      </c>
      <c r="E2091" s="182">
        <v>700</v>
      </c>
      <c r="F2091" s="182">
        <v>300</v>
      </c>
      <c r="G2091" s="182">
        <v>17</v>
      </c>
      <c r="H2091" s="182">
        <v>32</v>
      </c>
      <c r="I2091" s="182"/>
      <c r="J2091" s="182">
        <v>27</v>
      </c>
      <c r="K2091" s="182">
        <f t="shared" si="6"/>
        <v>4.6875</v>
      </c>
      <c r="L2091" s="182">
        <f t="shared" si="8"/>
        <v>34.235294117647058</v>
      </c>
      <c r="M2091" s="182">
        <v>2569000000</v>
      </c>
      <c r="N2091" s="182">
        <v>8327000</v>
      </c>
      <c r="O2091" s="182">
        <v>7340000</v>
      </c>
      <c r="P2091" s="182">
        <v>289.60000000000002</v>
      </c>
      <c r="Q2091" s="182">
        <v>144400000</v>
      </c>
      <c r="R2091" s="182">
        <v>1495000</v>
      </c>
      <c r="S2091" s="182">
        <v>962700</v>
      </c>
      <c r="T2091" s="182">
        <v>68.7</v>
      </c>
      <c r="U2091" s="182">
        <v>8388246.7439098936</v>
      </c>
      <c r="V2091" s="182">
        <v>16060000000000</v>
      </c>
    </row>
    <row r="2092" spans="1:22">
      <c r="A2092" s="174" t="s">
        <v>4045</v>
      </c>
      <c r="B2092" s="174" t="s">
        <v>4045</v>
      </c>
      <c r="C2092" s="182">
        <f t="shared" si="7"/>
        <v>301.03800000000001</v>
      </c>
      <c r="D2092" s="182">
        <v>38300</v>
      </c>
      <c r="E2092" s="182">
        <v>716</v>
      </c>
      <c r="F2092" s="182">
        <v>304</v>
      </c>
      <c r="G2092" s="182">
        <v>21</v>
      </c>
      <c r="H2092" s="182">
        <v>40</v>
      </c>
      <c r="I2092" s="182"/>
      <c r="J2092" s="182">
        <v>27</v>
      </c>
      <c r="K2092" s="182">
        <f t="shared" si="6"/>
        <v>3.8</v>
      </c>
      <c r="L2092" s="182">
        <f t="shared" si="8"/>
        <v>27.714285714285715</v>
      </c>
      <c r="M2092" s="182">
        <v>3293000000</v>
      </c>
      <c r="N2092" s="182">
        <v>10540000</v>
      </c>
      <c r="O2092" s="182">
        <v>9198000</v>
      </c>
      <c r="P2092" s="182">
        <v>293.2</v>
      </c>
      <c r="Q2092" s="182">
        <v>188000000</v>
      </c>
      <c r="R2092" s="182">
        <v>1929000</v>
      </c>
      <c r="S2092" s="182">
        <v>1240000</v>
      </c>
      <c r="T2092" s="182">
        <v>70.099999999999994</v>
      </c>
      <c r="U2092" s="182">
        <v>15948880.133603746</v>
      </c>
      <c r="V2092" s="182">
        <v>21400000000000</v>
      </c>
    </row>
    <row r="2093" spans="1:22">
      <c r="A2093" s="174" t="s">
        <v>4046</v>
      </c>
      <c r="B2093" s="174" t="s">
        <v>4046</v>
      </c>
      <c r="C2093" s="182">
        <f t="shared" si="7"/>
        <v>352.59960000000001</v>
      </c>
      <c r="D2093" s="182">
        <v>44860</v>
      </c>
      <c r="E2093" s="182">
        <v>728</v>
      </c>
      <c r="F2093" s="182">
        <v>308</v>
      </c>
      <c r="G2093" s="182">
        <v>25</v>
      </c>
      <c r="H2093" s="182">
        <v>46</v>
      </c>
      <c r="I2093" s="182"/>
      <c r="J2093" s="182">
        <v>27</v>
      </c>
      <c r="K2093" s="182">
        <f t="shared" si="6"/>
        <v>3.347826086956522</v>
      </c>
      <c r="L2093" s="182">
        <f t="shared" si="8"/>
        <v>23.28</v>
      </c>
      <c r="M2093" s="182">
        <v>3897000000</v>
      </c>
      <c r="N2093" s="182">
        <v>12390000</v>
      </c>
      <c r="O2093" s="182">
        <v>10710000</v>
      </c>
      <c r="P2093" s="182">
        <v>294.7</v>
      </c>
      <c r="Q2093" s="182">
        <v>225100000</v>
      </c>
      <c r="R2093" s="182">
        <v>2293000</v>
      </c>
      <c r="S2093" s="182">
        <v>1461000</v>
      </c>
      <c r="T2093" s="182">
        <v>70.8</v>
      </c>
      <c r="U2093" s="182">
        <v>24537775.942334276</v>
      </c>
      <c r="V2093" s="182">
        <v>26050000000000</v>
      </c>
    </row>
    <row r="2094" spans="1:22">
      <c r="A2094" s="174" t="s">
        <v>4047</v>
      </c>
      <c r="B2094" s="174" t="s">
        <v>4047</v>
      </c>
      <c r="C2094" s="182">
        <f t="shared" si="7"/>
        <v>418.07340000000005</v>
      </c>
      <c r="D2094" s="182">
        <v>53190</v>
      </c>
      <c r="E2094" s="182">
        <v>744</v>
      </c>
      <c r="F2094" s="182">
        <v>313</v>
      </c>
      <c r="G2094" s="182">
        <v>29.5</v>
      </c>
      <c r="H2094" s="182">
        <v>54</v>
      </c>
      <c r="I2094" s="182"/>
      <c r="J2094" s="182">
        <v>27</v>
      </c>
      <c r="K2094" s="182">
        <f t="shared" si="6"/>
        <v>2.8981481481481484</v>
      </c>
      <c r="L2094" s="182">
        <f t="shared" si="8"/>
        <v>19.728813559322035</v>
      </c>
      <c r="M2094" s="182">
        <v>4725000000</v>
      </c>
      <c r="N2094" s="182">
        <v>14840000</v>
      </c>
      <c r="O2094" s="182">
        <v>12700000</v>
      </c>
      <c r="P2094" s="182">
        <v>298</v>
      </c>
      <c r="Q2094" s="182">
        <v>277600000</v>
      </c>
      <c r="R2094" s="182">
        <v>2797000</v>
      </c>
      <c r="S2094" s="182">
        <v>1774000</v>
      </c>
      <c r="T2094" s="182">
        <v>72.2</v>
      </c>
      <c r="U2094" s="182">
        <v>39612188.34581311</v>
      </c>
      <c r="V2094" s="182">
        <v>32850000000000</v>
      </c>
    </row>
    <row r="2095" spans="1:22">
      <c r="A2095" s="174" t="s">
        <v>4048</v>
      </c>
      <c r="B2095" s="174" t="s">
        <v>4048</v>
      </c>
      <c r="C2095" s="182">
        <f t="shared" si="7"/>
        <v>171.74100000000001</v>
      </c>
      <c r="D2095" s="182">
        <v>21850</v>
      </c>
      <c r="E2095" s="182">
        <v>770</v>
      </c>
      <c r="F2095" s="182">
        <v>300</v>
      </c>
      <c r="G2095" s="182">
        <v>14</v>
      </c>
      <c r="H2095" s="182">
        <v>18</v>
      </c>
      <c r="I2095" s="182"/>
      <c r="J2095" s="182">
        <v>30</v>
      </c>
      <c r="K2095" s="182">
        <f t="shared" si="6"/>
        <v>8.3333333333333339</v>
      </c>
      <c r="L2095" s="182">
        <f t="shared" si="8"/>
        <v>48.142857142857146</v>
      </c>
      <c r="M2095" s="182">
        <v>2089000000</v>
      </c>
      <c r="N2095" s="182">
        <v>6225000</v>
      </c>
      <c r="O2095" s="182">
        <v>5426000</v>
      </c>
      <c r="P2095" s="182">
        <v>309.20000000000005</v>
      </c>
      <c r="Q2095" s="182">
        <v>81340000</v>
      </c>
      <c r="R2095" s="182">
        <v>856600</v>
      </c>
      <c r="S2095" s="182">
        <v>542200</v>
      </c>
      <c r="T2095" s="182">
        <v>61</v>
      </c>
      <c r="U2095" s="182">
        <v>2430307.3333667452</v>
      </c>
      <c r="V2095" s="182">
        <v>11450000000000</v>
      </c>
    </row>
    <row r="2096" spans="1:22">
      <c r="A2096" s="174" t="s">
        <v>4049</v>
      </c>
      <c r="B2096" s="174" t="s">
        <v>4049</v>
      </c>
      <c r="C2096" s="182">
        <f t="shared" si="7"/>
        <v>224.63880000000003</v>
      </c>
      <c r="D2096" s="182">
        <v>28580</v>
      </c>
      <c r="E2096" s="182">
        <v>790</v>
      </c>
      <c r="F2096" s="182">
        <v>300</v>
      </c>
      <c r="G2096" s="182">
        <v>15</v>
      </c>
      <c r="H2096" s="182">
        <v>28</v>
      </c>
      <c r="I2096" s="182"/>
      <c r="J2096" s="182">
        <v>30</v>
      </c>
      <c r="K2096" s="182">
        <f t="shared" si="6"/>
        <v>5.3571428571428568</v>
      </c>
      <c r="L2096" s="182">
        <f t="shared" si="8"/>
        <v>44.93333333333333</v>
      </c>
      <c r="M2096" s="182">
        <v>3034000000</v>
      </c>
      <c r="N2096" s="182">
        <v>8699000</v>
      </c>
      <c r="O2096" s="182">
        <v>7682000</v>
      </c>
      <c r="P2096" s="182">
        <v>325.79999999999995</v>
      </c>
      <c r="Q2096" s="182">
        <v>126400000</v>
      </c>
      <c r="R2096" s="182">
        <v>1312000</v>
      </c>
      <c r="S2096" s="182">
        <v>842600</v>
      </c>
      <c r="T2096" s="182">
        <v>66.5</v>
      </c>
      <c r="U2096" s="182">
        <v>6086333.1193392649</v>
      </c>
      <c r="V2096" s="182">
        <v>18290000000000</v>
      </c>
    </row>
    <row r="2097" spans="1:22">
      <c r="A2097" s="174" t="s">
        <v>4050</v>
      </c>
      <c r="B2097" s="174" t="s">
        <v>4050</v>
      </c>
      <c r="C2097" s="182">
        <f t="shared" si="7"/>
        <v>262.68120000000005</v>
      </c>
      <c r="D2097" s="182">
        <v>33420</v>
      </c>
      <c r="E2097" s="182">
        <v>800</v>
      </c>
      <c r="F2097" s="182">
        <v>300</v>
      </c>
      <c r="G2097" s="182">
        <v>17.5</v>
      </c>
      <c r="H2097" s="182">
        <v>33</v>
      </c>
      <c r="I2097" s="182"/>
      <c r="J2097" s="182">
        <v>30</v>
      </c>
      <c r="K2097" s="182">
        <f t="shared" si="6"/>
        <v>4.5454545454545459</v>
      </c>
      <c r="L2097" s="182">
        <f t="shared" si="8"/>
        <v>38.514285714285712</v>
      </c>
      <c r="M2097" s="182">
        <v>3591000000</v>
      </c>
      <c r="N2097" s="182">
        <v>10230000</v>
      </c>
      <c r="O2097" s="182">
        <v>8977000</v>
      </c>
      <c r="P2097" s="182">
        <v>327.8</v>
      </c>
      <c r="Q2097" s="182">
        <v>149000000</v>
      </c>
      <c r="R2097" s="182">
        <v>1553000</v>
      </c>
      <c r="S2097" s="182">
        <v>993600</v>
      </c>
      <c r="T2097" s="182">
        <v>66.8</v>
      </c>
      <c r="U2097" s="182">
        <v>9587011.1153772604</v>
      </c>
      <c r="V2097" s="182">
        <v>21840000000000</v>
      </c>
    </row>
    <row r="2098" spans="1:22">
      <c r="A2098" s="174" t="s">
        <v>4051</v>
      </c>
      <c r="B2098" s="174" t="s">
        <v>4051</v>
      </c>
      <c r="C2098" s="182">
        <f t="shared" si="7"/>
        <v>317.77980000000002</v>
      </c>
      <c r="D2098" s="182">
        <v>40430</v>
      </c>
      <c r="E2098" s="182">
        <v>814</v>
      </c>
      <c r="F2098" s="182">
        <v>303</v>
      </c>
      <c r="G2098" s="182">
        <v>21</v>
      </c>
      <c r="H2098" s="182">
        <v>40</v>
      </c>
      <c r="I2098" s="182"/>
      <c r="J2098" s="182">
        <v>30</v>
      </c>
      <c r="K2098" s="182">
        <f t="shared" si="6"/>
        <v>3.7875000000000001</v>
      </c>
      <c r="L2098" s="182">
        <f t="shared" si="8"/>
        <v>32.095238095238095</v>
      </c>
      <c r="M2098" s="182">
        <v>4426000000</v>
      </c>
      <c r="N2098" s="182">
        <v>12490000</v>
      </c>
      <c r="O2098" s="182">
        <v>10870000</v>
      </c>
      <c r="P2098" s="182">
        <v>330.90000000000003</v>
      </c>
      <c r="Q2098" s="182">
        <v>186300000</v>
      </c>
      <c r="R2098" s="182">
        <v>1930000</v>
      </c>
      <c r="S2098" s="182">
        <v>1230000</v>
      </c>
      <c r="T2098" s="182">
        <v>67.900000000000006</v>
      </c>
      <c r="U2098" s="182">
        <v>16573697.471062548</v>
      </c>
      <c r="V2098" s="182">
        <v>27780000000000</v>
      </c>
    </row>
    <row r="2099" spans="1:22">
      <c r="A2099" s="174" t="s">
        <v>4052</v>
      </c>
      <c r="B2099" s="174" t="s">
        <v>4052</v>
      </c>
      <c r="C2099" s="182">
        <f t="shared" si="7"/>
        <v>373.03560000000004</v>
      </c>
      <c r="D2099" s="182">
        <v>47460</v>
      </c>
      <c r="E2099" s="182">
        <v>826</v>
      </c>
      <c r="F2099" s="182">
        <v>308</v>
      </c>
      <c r="G2099" s="182">
        <v>25</v>
      </c>
      <c r="H2099" s="182">
        <v>46</v>
      </c>
      <c r="I2099" s="182"/>
      <c r="J2099" s="182">
        <v>30</v>
      </c>
      <c r="K2099" s="182">
        <f t="shared" si="6"/>
        <v>3.347826086956522</v>
      </c>
      <c r="L2099" s="182">
        <f t="shared" si="8"/>
        <v>26.96</v>
      </c>
      <c r="M2099" s="182">
        <v>5239000000</v>
      </c>
      <c r="N2099" s="182">
        <v>14700000</v>
      </c>
      <c r="O2099" s="182">
        <v>12690000</v>
      </c>
      <c r="P2099" s="182">
        <v>332.29999999999995</v>
      </c>
      <c r="Q2099" s="182">
        <v>225300000</v>
      </c>
      <c r="R2099" s="182">
        <v>2311000</v>
      </c>
      <c r="S2099" s="182">
        <v>1463000</v>
      </c>
      <c r="T2099" s="182">
        <v>68.899999999999991</v>
      </c>
      <c r="U2099" s="182">
        <v>25532022.946362607</v>
      </c>
      <c r="V2099" s="182">
        <v>34070000000000</v>
      </c>
    </row>
    <row r="2100" spans="1:22">
      <c r="A2100" s="174" t="s">
        <v>4053</v>
      </c>
      <c r="B2100" s="174" t="s">
        <v>4053</v>
      </c>
      <c r="C2100" s="182">
        <f t="shared" si="7"/>
        <v>444.87600000000003</v>
      </c>
      <c r="D2100" s="182">
        <v>56600</v>
      </c>
      <c r="E2100" s="182">
        <v>842</v>
      </c>
      <c r="F2100" s="182">
        <v>313</v>
      </c>
      <c r="G2100" s="182">
        <v>30</v>
      </c>
      <c r="H2100" s="182">
        <v>54</v>
      </c>
      <c r="I2100" s="182"/>
      <c r="J2100" s="182">
        <v>30</v>
      </c>
      <c r="K2100" s="182">
        <f t="shared" si="6"/>
        <v>2.8981481481481484</v>
      </c>
      <c r="L2100" s="182">
        <f t="shared" si="8"/>
        <v>22.466666666666665</v>
      </c>
      <c r="M2100" s="182">
        <v>6345000000</v>
      </c>
      <c r="N2100" s="182">
        <v>17640000</v>
      </c>
      <c r="O2100" s="182">
        <v>15070000</v>
      </c>
      <c r="P2100" s="182">
        <v>334.79999999999995</v>
      </c>
      <c r="Q2100" s="182">
        <v>278000000</v>
      </c>
      <c r="R2100" s="182">
        <v>2827000</v>
      </c>
      <c r="S2100" s="182">
        <v>1776000</v>
      </c>
      <c r="T2100" s="182">
        <v>70.099999999999994</v>
      </c>
      <c r="U2100" s="182">
        <v>41549247.477163352</v>
      </c>
      <c r="V2100" s="182">
        <v>42840000000000</v>
      </c>
    </row>
    <row r="2101" spans="1:22">
      <c r="A2101" s="174" t="s">
        <v>4054</v>
      </c>
      <c r="B2101" s="174" t="s">
        <v>4054</v>
      </c>
      <c r="C2101" s="182">
        <f t="shared" si="7"/>
        <v>198.22920000000002</v>
      </c>
      <c r="D2101" s="182">
        <v>25220</v>
      </c>
      <c r="E2101" s="182">
        <v>870</v>
      </c>
      <c r="F2101" s="182">
        <v>300</v>
      </c>
      <c r="G2101" s="182">
        <v>15</v>
      </c>
      <c r="H2101" s="182">
        <v>20</v>
      </c>
      <c r="I2101" s="182"/>
      <c r="J2101" s="182">
        <v>30</v>
      </c>
      <c r="K2101" s="182">
        <f t="shared" si="6"/>
        <v>7.5</v>
      </c>
      <c r="L2101" s="182">
        <f t="shared" si="8"/>
        <v>51.333333333333336</v>
      </c>
      <c r="M2101" s="182">
        <v>3011000000</v>
      </c>
      <c r="N2101" s="182">
        <v>7999000</v>
      </c>
      <c r="O2101" s="182">
        <v>6923000</v>
      </c>
      <c r="P2101" s="182">
        <v>345.5</v>
      </c>
      <c r="Q2101" s="182">
        <v>90410000</v>
      </c>
      <c r="R2101" s="182">
        <v>957700</v>
      </c>
      <c r="S2101" s="182">
        <v>602800</v>
      </c>
      <c r="T2101" s="182">
        <v>59.900000000000006</v>
      </c>
      <c r="U2101" s="182">
        <v>3218139.9558621985</v>
      </c>
      <c r="V2101" s="182">
        <v>16260000000000</v>
      </c>
    </row>
    <row r="2102" spans="1:22">
      <c r="A2102" s="174" t="s">
        <v>4055</v>
      </c>
      <c r="B2102" s="174" t="s">
        <v>4055</v>
      </c>
      <c r="C2102" s="182">
        <f t="shared" si="7"/>
        <v>251.91300000000001</v>
      </c>
      <c r="D2102" s="182">
        <v>32050</v>
      </c>
      <c r="E2102" s="182">
        <v>890</v>
      </c>
      <c r="F2102" s="182">
        <v>300</v>
      </c>
      <c r="G2102" s="182">
        <v>16</v>
      </c>
      <c r="H2102" s="182">
        <v>30</v>
      </c>
      <c r="I2102" s="182"/>
      <c r="J2102" s="182">
        <v>30</v>
      </c>
      <c r="K2102" s="182">
        <f t="shared" si="6"/>
        <v>5</v>
      </c>
      <c r="L2102" s="182">
        <f t="shared" si="8"/>
        <v>48.125</v>
      </c>
      <c r="M2102" s="182">
        <v>4221000000</v>
      </c>
      <c r="N2102" s="182">
        <v>10810000</v>
      </c>
      <c r="O2102" s="182">
        <v>9485000</v>
      </c>
      <c r="P2102" s="182">
        <v>362.9</v>
      </c>
      <c r="Q2102" s="182">
        <v>135500000</v>
      </c>
      <c r="R2102" s="182">
        <v>1414000</v>
      </c>
      <c r="S2102" s="182">
        <v>903200</v>
      </c>
      <c r="T2102" s="182">
        <v>65</v>
      </c>
      <c r="U2102" s="182">
        <v>7490141.7890031105</v>
      </c>
      <c r="V2102" s="182">
        <v>24960000000000</v>
      </c>
    </row>
    <row r="2103" spans="1:22">
      <c r="A2103" s="174" t="s">
        <v>4056</v>
      </c>
      <c r="B2103" s="174" t="s">
        <v>4056</v>
      </c>
      <c r="C2103" s="182">
        <f t="shared" si="7"/>
        <v>291.84180000000003</v>
      </c>
      <c r="D2103" s="182">
        <v>37130</v>
      </c>
      <c r="E2103" s="182">
        <v>900</v>
      </c>
      <c r="F2103" s="182">
        <v>300</v>
      </c>
      <c r="G2103" s="182">
        <v>18.5</v>
      </c>
      <c r="H2103" s="182">
        <v>35</v>
      </c>
      <c r="I2103" s="182"/>
      <c r="J2103" s="182">
        <v>30</v>
      </c>
      <c r="K2103" s="182">
        <f t="shared" si="6"/>
        <v>4.2857142857142856</v>
      </c>
      <c r="L2103" s="182">
        <f t="shared" si="8"/>
        <v>41.621621621621621</v>
      </c>
      <c r="M2103" s="182">
        <v>4941000000</v>
      </c>
      <c r="N2103" s="182">
        <v>12580000</v>
      </c>
      <c r="O2103" s="182">
        <v>10980000</v>
      </c>
      <c r="P2103" s="182">
        <v>364.79999999999995</v>
      </c>
      <c r="Q2103" s="182">
        <v>158200000</v>
      </c>
      <c r="R2103" s="182">
        <v>1658000</v>
      </c>
      <c r="S2103" s="182">
        <v>1050000</v>
      </c>
      <c r="T2103" s="182">
        <v>65.3</v>
      </c>
      <c r="U2103" s="182">
        <v>11501929.86664249</v>
      </c>
      <c r="V2103" s="182">
        <v>29460000000000</v>
      </c>
    </row>
    <row r="2104" spans="1:22">
      <c r="A2104" s="174" t="s">
        <v>4057</v>
      </c>
      <c r="B2104" s="174" t="s">
        <v>4057</v>
      </c>
      <c r="C2104" s="182">
        <f t="shared" si="7"/>
        <v>332.94960000000003</v>
      </c>
      <c r="D2104" s="182">
        <v>42360</v>
      </c>
      <c r="E2104" s="182">
        <v>910</v>
      </c>
      <c r="F2104" s="182">
        <v>302</v>
      </c>
      <c r="G2104" s="182">
        <v>21</v>
      </c>
      <c r="H2104" s="182">
        <v>40</v>
      </c>
      <c r="I2104" s="182"/>
      <c r="J2104" s="182">
        <v>30</v>
      </c>
      <c r="K2104" s="182">
        <f t="shared" si="6"/>
        <v>3.7749999999999999</v>
      </c>
      <c r="L2104" s="182">
        <f t="shared" si="8"/>
        <v>36.666666666666664</v>
      </c>
      <c r="M2104" s="182">
        <v>5704000000</v>
      </c>
      <c r="N2104" s="182">
        <v>14440000</v>
      </c>
      <c r="O2104" s="182">
        <v>12540000</v>
      </c>
      <c r="P2104" s="182">
        <v>367</v>
      </c>
      <c r="Q2104" s="182">
        <v>184500000</v>
      </c>
      <c r="R2104" s="182">
        <v>1929000</v>
      </c>
      <c r="S2104" s="182">
        <v>1220000</v>
      </c>
      <c r="T2104" s="182">
        <v>66</v>
      </c>
      <c r="U2104" s="182">
        <v>16827382.804395881</v>
      </c>
      <c r="V2104" s="182">
        <v>34750000000000</v>
      </c>
    </row>
    <row r="2105" spans="1:22">
      <c r="A2105" s="174" t="s">
        <v>4058</v>
      </c>
      <c r="B2105" s="174" t="s">
        <v>4058</v>
      </c>
      <c r="C2105" s="182">
        <f t="shared" si="7"/>
        <v>391.19220000000001</v>
      </c>
      <c r="D2105" s="182">
        <v>49770</v>
      </c>
      <c r="E2105" s="182">
        <v>922</v>
      </c>
      <c r="F2105" s="182">
        <v>307</v>
      </c>
      <c r="G2105" s="182">
        <v>25</v>
      </c>
      <c r="H2105" s="182">
        <v>46</v>
      </c>
      <c r="I2105" s="182"/>
      <c r="J2105" s="182">
        <v>30</v>
      </c>
      <c r="K2105" s="182">
        <f t="shared" si="6"/>
        <v>3.3369565217391304</v>
      </c>
      <c r="L2105" s="182">
        <f t="shared" si="8"/>
        <v>30.8</v>
      </c>
      <c r="M2105" s="182">
        <v>6743000000</v>
      </c>
      <c r="N2105" s="182">
        <v>16990000</v>
      </c>
      <c r="O2105" s="182">
        <v>14630000</v>
      </c>
      <c r="P2105" s="182">
        <v>368.1</v>
      </c>
      <c r="Q2105" s="182">
        <v>223200000</v>
      </c>
      <c r="R2105" s="182">
        <v>2312000</v>
      </c>
      <c r="S2105" s="182">
        <v>1454000</v>
      </c>
      <c r="T2105" s="182">
        <v>67</v>
      </c>
      <c r="U2105" s="182">
        <v>25967132.279695943</v>
      </c>
      <c r="V2105" s="182">
        <v>42560000000000</v>
      </c>
    </row>
    <row r="2106" spans="1:22">
      <c r="A2106" s="174" t="s">
        <v>4059</v>
      </c>
      <c r="B2106" s="174" t="s">
        <v>4059</v>
      </c>
      <c r="C2106" s="182">
        <f t="shared" si="7"/>
        <v>466.64820000000009</v>
      </c>
      <c r="D2106" s="182">
        <v>59370.000000000007</v>
      </c>
      <c r="E2106" s="182">
        <v>938</v>
      </c>
      <c r="F2106" s="182">
        <v>312</v>
      </c>
      <c r="G2106" s="182">
        <v>30</v>
      </c>
      <c r="H2106" s="182">
        <v>54</v>
      </c>
      <c r="I2106" s="182"/>
      <c r="J2106" s="182">
        <v>30</v>
      </c>
      <c r="K2106" s="182">
        <f t="shared" si="6"/>
        <v>2.8888888888888888</v>
      </c>
      <c r="L2106" s="182">
        <f t="shared" si="8"/>
        <v>25.666666666666668</v>
      </c>
      <c r="M2106" s="182">
        <v>8149000000</v>
      </c>
      <c r="N2106" s="182">
        <v>20380000</v>
      </c>
      <c r="O2106" s="182">
        <v>17380000</v>
      </c>
      <c r="P2106" s="182">
        <v>370.5</v>
      </c>
      <c r="Q2106" s="182">
        <v>275600000</v>
      </c>
      <c r="R2106" s="182">
        <v>2832000</v>
      </c>
      <c r="S2106" s="182">
        <v>1767000</v>
      </c>
      <c r="T2106" s="182">
        <v>68.099999999999994</v>
      </c>
      <c r="U2106" s="182">
        <v>42308271.477163352</v>
      </c>
      <c r="V2106" s="182">
        <v>53400000000000</v>
      </c>
    </row>
    <row r="2107" spans="1:22">
      <c r="A2107" s="174" t="s">
        <v>4060</v>
      </c>
      <c r="B2107" s="174" t="s">
        <v>4060</v>
      </c>
      <c r="C2107" s="182">
        <f t="shared" si="7"/>
        <v>221.80920000000003</v>
      </c>
      <c r="D2107" s="182">
        <v>28220</v>
      </c>
      <c r="E2107" s="182">
        <v>970</v>
      </c>
      <c r="F2107" s="182">
        <v>300</v>
      </c>
      <c r="G2107" s="182">
        <v>16</v>
      </c>
      <c r="H2107" s="182">
        <v>21</v>
      </c>
      <c r="I2107" s="182"/>
      <c r="J2107" s="182">
        <v>30</v>
      </c>
      <c r="K2107" s="182">
        <f t="shared" si="6"/>
        <v>7.1428571428571432</v>
      </c>
      <c r="L2107" s="182">
        <f t="shared" si="8"/>
        <v>54.25</v>
      </c>
      <c r="M2107" s="182">
        <v>4065000000</v>
      </c>
      <c r="N2107" s="182">
        <v>9777000</v>
      </c>
      <c r="O2107" s="182">
        <v>8380000</v>
      </c>
      <c r="P2107" s="182">
        <v>379.5</v>
      </c>
      <c r="Q2107" s="182">
        <v>95010000</v>
      </c>
      <c r="R2107" s="182">
        <v>1016000</v>
      </c>
      <c r="S2107" s="182">
        <v>633400</v>
      </c>
      <c r="T2107" s="182">
        <v>58</v>
      </c>
      <c r="U2107" s="182">
        <v>3870535.4270833195</v>
      </c>
      <c r="V2107" s="182">
        <v>21280000000000</v>
      </c>
    </row>
    <row r="2108" spans="1:22">
      <c r="A2108" s="174" t="s">
        <v>4061</v>
      </c>
      <c r="B2108" s="174" t="s">
        <v>4061</v>
      </c>
      <c r="C2108" s="182">
        <f t="shared" si="7"/>
        <v>249.00480000000002</v>
      </c>
      <c r="D2108" s="182">
        <v>31680</v>
      </c>
      <c r="E2108" s="182">
        <v>980</v>
      </c>
      <c r="F2108" s="182">
        <v>300</v>
      </c>
      <c r="G2108" s="182">
        <v>16.5</v>
      </c>
      <c r="H2108" s="182">
        <v>26</v>
      </c>
      <c r="I2108" s="182"/>
      <c r="J2108" s="182">
        <v>30</v>
      </c>
      <c r="K2108" s="182">
        <f t="shared" si="6"/>
        <v>5.7692307692307692</v>
      </c>
      <c r="L2108" s="182">
        <f t="shared" si="8"/>
        <v>52.606060606060609</v>
      </c>
      <c r="M2108" s="182">
        <v>4811000000</v>
      </c>
      <c r="N2108" s="182">
        <v>11350000</v>
      </c>
      <c r="O2108" s="182">
        <v>9818000</v>
      </c>
      <c r="P2108" s="182">
        <v>389.7</v>
      </c>
      <c r="Q2108" s="182">
        <v>117500000</v>
      </c>
      <c r="R2108" s="182">
        <v>1245000</v>
      </c>
      <c r="S2108" s="182">
        <v>784000</v>
      </c>
      <c r="T2108" s="182">
        <v>60.9</v>
      </c>
      <c r="U2108" s="182">
        <v>5819591.3753341027</v>
      </c>
      <c r="V2108" s="182">
        <v>26620000000000</v>
      </c>
    </row>
    <row r="2109" spans="1:22">
      <c r="A2109" s="174" t="s">
        <v>4062</v>
      </c>
      <c r="B2109" s="174" t="s">
        <v>4062</v>
      </c>
      <c r="C2109" s="182">
        <f t="shared" si="7"/>
        <v>272.58480000000003</v>
      </c>
      <c r="D2109" s="182">
        <v>34680</v>
      </c>
      <c r="E2109" s="182">
        <v>990</v>
      </c>
      <c r="F2109" s="182">
        <v>300</v>
      </c>
      <c r="G2109" s="182">
        <v>16.5</v>
      </c>
      <c r="H2109" s="182">
        <v>31</v>
      </c>
      <c r="I2109" s="182"/>
      <c r="J2109" s="182">
        <v>30</v>
      </c>
      <c r="K2109" s="182">
        <f t="shared" si="6"/>
        <v>4.838709677419355</v>
      </c>
      <c r="L2109" s="182">
        <f t="shared" si="8"/>
        <v>52.606060606060609</v>
      </c>
      <c r="M2109" s="182">
        <v>5538000000</v>
      </c>
      <c r="N2109" s="182">
        <v>12820000</v>
      </c>
      <c r="O2109" s="182">
        <v>11190000</v>
      </c>
      <c r="P2109" s="182">
        <v>399.6</v>
      </c>
      <c r="Q2109" s="182">
        <v>140000000</v>
      </c>
      <c r="R2109" s="182">
        <v>1470000</v>
      </c>
      <c r="S2109" s="182">
        <v>933600</v>
      </c>
      <c r="T2109" s="182">
        <v>63.5</v>
      </c>
      <c r="U2109" s="182">
        <v>8348450.2831217507</v>
      </c>
      <c r="V2109" s="182">
        <v>32070000000000</v>
      </c>
    </row>
    <row r="2110" spans="1:22">
      <c r="A2110" s="174" t="s">
        <v>4063</v>
      </c>
      <c r="B2110" s="174" t="s">
        <v>4063</v>
      </c>
      <c r="C2110" s="182">
        <f t="shared" si="7"/>
        <v>314.40000000000003</v>
      </c>
      <c r="D2110" s="182">
        <v>40000</v>
      </c>
      <c r="E2110" s="182">
        <v>1000</v>
      </c>
      <c r="F2110" s="182">
        <v>300</v>
      </c>
      <c r="G2110" s="182">
        <v>19</v>
      </c>
      <c r="H2110" s="182">
        <v>36</v>
      </c>
      <c r="I2110" s="182"/>
      <c r="J2110" s="182">
        <v>30</v>
      </c>
      <c r="K2110" s="182">
        <f t="shared" si="6"/>
        <v>4.166666666666667</v>
      </c>
      <c r="L2110" s="182">
        <f t="shared" si="8"/>
        <v>45.684210526315788</v>
      </c>
      <c r="M2110" s="182">
        <v>6447000000</v>
      </c>
      <c r="N2110" s="182">
        <v>14860000</v>
      </c>
      <c r="O2110" s="182">
        <v>12890000</v>
      </c>
      <c r="P2110" s="182">
        <v>401.5</v>
      </c>
      <c r="Q2110" s="182">
        <v>162800000</v>
      </c>
      <c r="R2110" s="182">
        <v>1716000</v>
      </c>
      <c r="S2110" s="182">
        <v>1085000</v>
      </c>
      <c r="T2110" s="182">
        <v>63.8</v>
      </c>
      <c r="U2110" s="182">
        <v>12670799.396418413</v>
      </c>
      <c r="V2110" s="182">
        <v>37640000000000</v>
      </c>
    </row>
    <row r="2111" spans="1:22">
      <c r="A2111" s="174" t="s">
        <v>4064</v>
      </c>
      <c r="B2111" s="174" t="s">
        <v>4064</v>
      </c>
      <c r="C2111" s="182">
        <f t="shared" si="7"/>
        <v>349.14120000000003</v>
      </c>
      <c r="D2111" s="182">
        <v>44420</v>
      </c>
      <c r="E2111" s="182">
        <v>1008</v>
      </c>
      <c r="F2111" s="182">
        <v>302</v>
      </c>
      <c r="G2111" s="182">
        <v>21</v>
      </c>
      <c r="H2111" s="182">
        <v>40</v>
      </c>
      <c r="I2111" s="182"/>
      <c r="J2111" s="182">
        <v>30</v>
      </c>
      <c r="K2111" s="182">
        <f t="shared" si="6"/>
        <v>3.7749999999999999</v>
      </c>
      <c r="L2111" s="182">
        <f t="shared" si="8"/>
        <v>41.333333333333336</v>
      </c>
      <c r="M2111" s="182">
        <v>7223000000</v>
      </c>
      <c r="N2111" s="182">
        <v>16570000</v>
      </c>
      <c r="O2111" s="182">
        <v>14330000</v>
      </c>
      <c r="P2111" s="182">
        <v>403.2</v>
      </c>
      <c r="Q2111" s="182">
        <v>184600000</v>
      </c>
      <c r="R2111" s="182">
        <v>1940000</v>
      </c>
      <c r="S2111" s="182">
        <v>1222000</v>
      </c>
      <c r="T2111" s="182">
        <v>64.5</v>
      </c>
      <c r="U2111" s="182">
        <v>17129908.804395881</v>
      </c>
      <c r="V2111" s="182">
        <v>43020000000000</v>
      </c>
    </row>
    <row r="2112" spans="1:22">
      <c r="A2112" s="174" t="s">
        <v>4065</v>
      </c>
      <c r="B2112" s="174" t="s">
        <v>4065</v>
      </c>
      <c r="C2112" s="182">
        <f t="shared" si="7"/>
        <v>393.15720000000005</v>
      </c>
      <c r="D2112" s="182">
        <v>50020</v>
      </c>
      <c r="E2112" s="182">
        <v>1016</v>
      </c>
      <c r="F2112" s="182">
        <v>303</v>
      </c>
      <c r="G2112" s="182">
        <v>24.4</v>
      </c>
      <c r="H2112" s="182">
        <v>43.9</v>
      </c>
      <c r="I2112" s="182"/>
      <c r="J2112" s="182">
        <v>30</v>
      </c>
      <c r="K2112" s="182">
        <f t="shared" si="6"/>
        <v>3.4510250569476084</v>
      </c>
      <c r="L2112" s="182">
        <f t="shared" si="8"/>
        <v>35.581967213114758</v>
      </c>
      <c r="M2112" s="182">
        <v>8077000000</v>
      </c>
      <c r="N2112" s="182">
        <v>18540000</v>
      </c>
      <c r="O2112" s="182">
        <v>15900000</v>
      </c>
      <c r="P2112" s="182">
        <v>401.8</v>
      </c>
      <c r="Q2112" s="182">
        <v>205000000</v>
      </c>
      <c r="R2112" s="182">
        <v>2168000</v>
      </c>
      <c r="S2112" s="182">
        <v>1353000</v>
      </c>
      <c r="T2112" s="182">
        <v>64</v>
      </c>
      <c r="U2112" s="182">
        <v>23296653.355814625</v>
      </c>
      <c r="V2112" s="182">
        <v>48080000000000</v>
      </c>
    </row>
    <row r="2113" spans="1:22">
      <c r="A2113" s="174" t="s">
        <v>4066</v>
      </c>
      <c r="B2113" s="174" t="s">
        <v>4066</v>
      </c>
      <c r="C2113" s="182">
        <f t="shared" si="7"/>
        <v>415.55820000000011</v>
      </c>
      <c r="D2113" s="182">
        <v>52870.000000000007</v>
      </c>
      <c r="E2113" s="182">
        <v>1020</v>
      </c>
      <c r="F2113" s="182">
        <v>304</v>
      </c>
      <c r="G2113" s="182">
        <v>26</v>
      </c>
      <c r="H2113" s="182">
        <v>46</v>
      </c>
      <c r="I2113" s="182"/>
      <c r="J2113" s="182">
        <v>30</v>
      </c>
      <c r="K2113" s="182">
        <f t="shared" si="6"/>
        <v>3.3043478260869565</v>
      </c>
      <c r="L2113" s="182">
        <f t="shared" si="8"/>
        <v>33.384615384615387</v>
      </c>
      <c r="M2113" s="182">
        <v>8531000000</v>
      </c>
      <c r="N2113" s="182">
        <v>19571000</v>
      </c>
      <c r="O2113" s="182">
        <v>16728000</v>
      </c>
      <c r="P2113" s="182">
        <v>401.70000000000005</v>
      </c>
      <c r="Q2113" s="182">
        <v>217100000</v>
      </c>
      <c r="R2113" s="182">
        <v>2298000</v>
      </c>
      <c r="S2113" s="182">
        <v>1428000</v>
      </c>
      <c r="T2113" s="182">
        <v>64.099999999999994</v>
      </c>
      <c r="U2113" s="182">
        <v>27038376.587893937</v>
      </c>
      <c r="V2113" s="182">
        <v>51080000000000</v>
      </c>
    </row>
    <row r="2114" spans="1:22">
      <c r="A2114" s="174" t="s">
        <v>4067</v>
      </c>
      <c r="B2114" s="174" t="s">
        <v>4067</v>
      </c>
      <c r="C2114" s="182">
        <f t="shared" si="7"/>
        <v>437.01600000000002</v>
      </c>
      <c r="D2114" s="182">
        <v>55600</v>
      </c>
      <c r="E2114" s="182">
        <v>1026</v>
      </c>
      <c r="F2114" s="182">
        <v>305</v>
      </c>
      <c r="G2114" s="182">
        <v>26.9</v>
      </c>
      <c r="H2114" s="182">
        <v>49</v>
      </c>
      <c r="I2114" s="182"/>
      <c r="J2114" s="182">
        <v>30</v>
      </c>
      <c r="K2114" s="182">
        <f t="shared" si="6"/>
        <v>3.1122448979591835</v>
      </c>
      <c r="L2114" s="182">
        <f t="shared" si="8"/>
        <v>32.267657992565056</v>
      </c>
      <c r="M2114" s="182">
        <v>9092000000</v>
      </c>
      <c r="N2114" s="182">
        <v>20750000</v>
      </c>
      <c r="O2114" s="182">
        <v>17720000</v>
      </c>
      <c r="P2114" s="182">
        <v>404.3</v>
      </c>
      <c r="Q2114" s="182">
        <v>233600000</v>
      </c>
      <c r="R2114" s="182">
        <v>2463000</v>
      </c>
      <c r="S2114" s="182">
        <v>1531000</v>
      </c>
      <c r="T2114" s="182">
        <v>64.800000000000011</v>
      </c>
      <c r="U2114" s="182">
        <v>31817882.482939459</v>
      </c>
      <c r="V2114" s="182">
        <v>55290000000000</v>
      </c>
    </row>
    <row r="2115" spans="1:22">
      <c r="A2115" s="174" t="s">
        <v>4068</v>
      </c>
      <c r="B2115" s="174" t="s">
        <v>4068</v>
      </c>
      <c r="C2115" s="182">
        <f t="shared" si="7"/>
        <v>494.47260000000006</v>
      </c>
      <c r="D2115" s="182">
        <v>62910</v>
      </c>
      <c r="E2115" s="182">
        <v>1036</v>
      </c>
      <c r="F2115" s="182">
        <v>309</v>
      </c>
      <c r="G2115" s="182">
        <v>31</v>
      </c>
      <c r="H2115" s="182">
        <v>54</v>
      </c>
      <c r="I2115" s="182"/>
      <c r="J2115" s="182">
        <v>30</v>
      </c>
      <c r="K2115" s="182">
        <f t="shared" si="6"/>
        <v>2.8611111111111112</v>
      </c>
      <c r="L2115" s="182">
        <f t="shared" si="8"/>
        <v>28</v>
      </c>
      <c r="M2115" s="182">
        <v>10280000000</v>
      </c>
      <c r="N2115" s="182">
        <v>23413000</v>
      </c>
      <c r="O2115" s="182">
        <v>19845000</v>
      </c>
      <c r="P2115" s="182">
        <v>404.20000000000005</v>
      </c>
      <c r="Q2115" s="182">
        <v>268200000</v>
      </c>
      <c r="R2115" s="182">
        <v>2818000</v>
      </c>
      <c r="S2115" s="182">
        <v>1736000</v>
      </c>
      <c r="T2115" s="182">
        <v>65.3</v>
      </c>
      <c r="U2115" s="182">
        <v>43955720.979134686</v>
      </c>
      <c r="V2115" s="182">
        <v>64010000000000</v>
      </c>
    </row>
    <row r="2116" spans="1:22">
      <c r="A2116" s="174" t="s">
        <v>4069</v>
      </c>
      <c r="B2116" s="174" t="s">
        <v>4069</v>
      </c>
      <c r="C2116" s="182">
        <f t="shared" si="7"/>
        <v>584.54820000000007</v>
      </c>
      <c r="D2116" s="182">
        <v>74370</v>
      </c>
      <c r="E2116" s="182">
        <v>1056</v>
      </c>
      <c r="F2116" s="182">
        <v>314</v>
      </c>
      <c r="G2116" s="182">
        <v>36</v>
      </c>
      <c r="H2116" s="182">
        <v>64</v>
      </c>
      <c r="I2116" s="182"/>
      <c r="J2116" s="182">
        <v>30</v>
      </c>
      <c r="K2116" s="182">
        <f t="shared" si="6"/>
        <v>2.453125</v>
      </c>
      <c r="L2116" s="182">
        <f t="shared" si="8"/>
        <v>24.111111111111111</v>
      </c>
      <c r="M2116" s="182">
        <v>12461000000</v>
      </c>
      <c r="N2116" s="182">
        <v>28039000</v>
      </c>
      <c r="O2116" s="182">
        <v>23600000</v>
      </c>
      <c r="P2116" s="182">
        <v>409.3</v>
      </c>
      <c r="Q2116" s="182">
        <v>334300000</v>
      </c>
      <c r="R2116" s="182">
        <v>3475000</v>
      </c>
      <c r="S2116" s="182">
        <v>2130000</v>
      </c>
      <c r="T2116" s="182">
        <v>67</v>
      </c>
      <c r="U2116" s="182">
        <v>71538737.676956147</v>
      </c>
      <c r="V2116" s="182">
        <v>81240000000000</v>
      </c>
    </row>
    <row r="2117" spans="1:22">
      <c r="A2117" s="174" t="s">
        <v>4070</v>
      </c>
      <c r="B2117" s="174" t="s">
        <v>4070</v>
      </c>
      <c r="C2117" s="182">
        <f t="shared" si="7"/>
        <v>343.63920000000002</v>
      </c>
      <c r="D2117" s="182">
        <v>43720</v>
      </c>
      <c r="E2117" s="182">
        <v>927</v>
      </c>
      <c r="F2117" s="182">
        <v>418</v>
      </c>
      <c r="G2117" s="182">
        <v>19.3</v>
      </c>
      <c r="H2117" s="182">
        <v>32</v>
      </c>
      <c r="I2117" s="182"/>
      <c r="J2117" s="182">
        <v>19</v>
      </c>
      <c r="K2117" s="182">
        <f t="shared" ref="K2117:K2180" si="9">F2117/2/H2117</f>
        <v>6.53125</v>
      </c>
      <c r="L2117" s="182">
        <f t="shared" si="8"/>
        <v>42.746113989637301</v>
      </c>
      <c r="M2117" s="182">
        <v>6450000000</v>
      </c>
      <c r="N2117" s="182">
        <v>15700000</v>
      </c>
      <c r="O2117" s="182">
        <v>13920000</v>
      </c>
      <c r="P2117" s="182">
        <v>384.09999999999997</v>
      </c>
      <c r="Q2117" s="182">
        <v>390100000</v>
      </c>
      <c r="R2117" s="182">
        <v>2880000</v>
      </c>
      <c r="S2117" s="182">
        <v>1867000</v>
      </c>
      <c r="T2117" s="182">
        <v>94.5</v>
      </c>
      <c r="U2117" s="182">
        <v>11592722.145136504</v>
      </c>
      <c r="V2117" s="182">
        <v>78120000000000</v>
      </c>
    </row>
    <row r="2118" spans="1:22">
      <c r="A2118" s="174" t="s">
        <v>4071</v>
      </c>
      <c r="B2118" s="174" t="s">
        <v>4071</v>
      </c>
      <c r="C2118" s="182">
        <f t="shared" ref="C2118:C2181" si="10">D2118*0.00786</f>
        <v>365.96160000000003</v>
      </c>
      <c r="D2118" s="182">
        <v>46560</v>
      </c>
      <c r="E2118" s="182">
        <v>931</v>
      </c>
      <c r="F2118" s="182">
        <v>419</v>
      </c>
      <c r="G2118" s="182">
        <v>20.3</v>
      </c>
      <c r="H2118" s="182">
        <v>34.299999999999997</v>
      </c>
      <c r="I2118" s="182"/>
      <c r="J2118" s="182">
        <v>19</v>
      </c>
      <c r="K2118" s="182">
        <f t="shared" si="9"/>
        <v>6.1078717201166182</v>
      </c>
      <c r="L2118" s="182">
        <f t="shared" ref="L2118:L2181" si="11">(E2118-2*H2118-2*J2118)/G2118</f>
        <v>40.610837438423644</v>
      </c>
      <c r="M2118" s="182">
        <v>6922000000</v>
      </c>
      <c r="N2118" s="182">
        <v>16790000</v>
      </c>
      <c r="O2118" s="182">
        <v>14870000</v>
      </c>
      <c r="P2118" s="182">
        <v>385.6</v>
      </c>
      <c r="Q2118" s="182">
        <v>421200000</v>
      </c>
      <c r="R2118" s="182">
        <v>3104000</v>
      </c>
      <c r="S2118" s="182">
        <v>2010000</v>
      </c>
      <c r="T2118" s="182">
        <v>95.1</v>
      </c>
      <c r="U2118" s="182">
        <v>14082838.132865533</v>
      </c>
      <c r="V2118" s="182">
        <v>84670000000000</v>
      </c>
    </row>
    <row r="2119" spans="1:22">
      <c r="A2119" s="174" t="s">
        <v>4072</v>
      </c>
      <c r="B2119" s="174" t="s">
        <v>4072</v>
      </c>
      <c r="C2119" s="182">
        <f t="shared" si="10"/>
        <v>388.51980000000003</v>
      </c>
      <c r="D2119" s="182">
        <v>49430</v>
      </c>
      <c r="E2119" s="182">
        <v>936</v>
      </c>
      <c r="F2119" s="182">
        <v>420</v>
      </c>
      <c r="G2119" s="182">
        <v>21.3</v>
      </c>
      <c r="H2119" s="182">
        <v>36.6</v>
      </c>
      <c r="I2119" s="182"/>
      <c r="J2119" s="182">
        <v>19</v>
      </c>
      <c r="K2119" s="182">
        <f t="shared" si="9"/>
        <v>5.7377049180327866</v>
      </c>
      <c r="L2119" s="182">
        <f t="shared" si="11"/>
        <v>38.72300469483568</v>
      </c>
      <c r="M2119" s="182">
        <v>7417000000</v>
      </c>
      <c r="N2119" s="182">
        <v>17920000</v>
      </c>
      <c r="O2119" s="182">
        <v>15850000</v>
      </c>
      <c r="P2119" s="182">
        <v>387.40000000000003</v>
      </c>
      <c r="Q2119" s="182">
        <v>452700000</v>
      </c>
      <c r="R2119" s="182">
        <v>3331000</v>
      </c>
      <c r="S2119" s="182">
        <v>2156000</v>
      </c>
      <c r="T2119" s="182">
        <v>95.7</v>
      </c>
      <c r="U2119" s="182">
        <v>16914399.70959986</v>
      </c>
      <c r="V2119" s="182">
        <v>91550000000000</v>
      </c>
    </row>
    <row r="2120" spans="1:22">
      <c r="A2120" s="174" t="s">
        <v>4073</v>
      </c>
      <c r="B2120" s="174" t="s">
        <v>4073</v>
      </c>
      <c r="C2120" s="182">
        <f t="shared" si="10"/>
        <v>419.80260000000004</v>
      </c>
      <c r="D2120" s="182">
        <v>53410</v>
      </c>
      <c r="E2120" s="182">
        <v>943</v>
      </c>
      <c r="F2120" s="182">
        <v>422</v>
      </c>
      <c r="G2120" s="182">
        <v>22.5</v>
      </c>
      <c r="H2120" s="182">
        <v>39.9</v>
      </c>
      <c r="I2120" s="182"/>
      <c r="J2120" s="182">
        <v>19</v>
      </c>
      <c r="K2120" s="182">
        <f t="shared" si="9"/>
        <v>5.2882205513784459</v>
      </c>
      <c r="L2120" s="182">
        <f t="shared" si="11"/>
        <v>36.675555555555555</v>
      </c>
      <c r="M2120" s="182">
        <v>8133000000</v>
      </c>
      <c r="N2120" s="182">
        <v>19530000</v>
      </c>
      <c r="O2120" s="182">
        <v>17250000</v>
      </c>
      <c r="P2120" s="182">
        <v>390.20000000000005</v>
      </c>
      <c r="Q2120" s="182">
        <v>500700000</v>
      </c>
      <c r="R2120" s="182">
        <v>3667000</v>
      </c>
      <c r="S2120" s="182">
        <v>2373000</v>
      </c>
      <c r="T2120" s="182">
        <v>96.8</v>
      </c>
      <c r="U2120" s="182">
        <v>21514084.518508509</v>
      </c>
      <c r="V2120" s="182">
        <v>102100000000000</v>
      </c>
    </row>
    <row r="2121" spans="1:22">
      <c r="A2121" s="174" t="s">
        <v>4074</v>
      </c>
      <c r="B2121" s="174" t="s">
        <v>4074</v>
      </c>
      <c r="C2121" s="182">
        <f t="shared" si="10"/>
        <v>449.12040000000002</v>
      </c>
      <c r="D2121" s="182">
        <v>57140</v>
      </c>
      <c r="E2121" s="182">
        <v>948</v>
      </c>
      <c r="F2121" s="182">
        <v>423</v>
      </c>
      <c r="G2121" s="182">
        <v>24</v>
      </c>
      <c r="H2121" s="182">
        <v>42.7</v>
      </c>
      <c r="I2121" s="182"/>
      <c r="J2121" s="182">
        <v>19</v>
      </c>
      <c r="K2121" s="182">
        <f t="shared" si="9"/>
        <v>4.9531615925058547</v>
      </c>
      <c r="L2121" s="182">
        <f t="shared" si="11"/>
        <v>34.358333333333334</v>
      </c>
      <c r="M2121" s="182">
        <v>8747000000</v>
      </c>
      <c r="N2121" s="182">
        <v>20950000</v>
      </c>
      <c r="O2121" s="182">
        <v>18450000</v>
      </c>
      <c r="P2121" s="182">
        <v>391.3</v>
      </c>
      <c r="Q2121" s="182">
        <v>539700000</v>
      </c>
      <c r="R2121" s="182">
        <v>3949000</v>
      </c>
      <c r="S2121" s="182">
        <v>2552000</v>
      </c>
      <c r="T2121" s="182">
        <v>97.2</v>
      </c>
      <c r="U2121" s="182">
        <v>26270044.684605096</v>
      </c>
      <c r="V2121" s="182">
        <v>110600000000000</v>
      </c>
    </row>
    <row r="2122" spans="1:22">
      <c r="A2122" s="174" t="s">
        <v>4075</v>
      </c>
      <c r="B2122" s="174" t="s">
        <v>4075</v>
      </c>
      <c r="C2122" s="182">
        <f t="shared" si="10"/>
        <v>489.91379999999998</v>
      </c>
      <c r="D2122" s="182">
        <v>62329.999999999993</v>
      </c>
      <c r="E2122" s="182">
        <v>957</v>
      </c>
      <c r="F2122" s="182">
        <v>422</v>
      </c>
      <c r="G2122" s="182">
        <v>25.9</v>
      </c>
      <c r="H2122" s="182">
        <v>47</v>
      </c>
      <c r="I2122" s="182"/>
      <c r="J2122" s="182">
        <v>19</v>
      </c>
      <c r="K2122" s="182">
        <f t="shared" si="9"/>
        <v>4.4893617021276597</v>
      </c>
      <c r="L2122" s="182">
        <f t="shared" si="11"/>
        <v>31.853281853281857</v>
      </c>
      <c r="M2122" s="182">
        <v>9663000000</v>
      </c>
      <c r="N2122" s="182">
        <v>23000000</v>
      </c>
      <c r="O2122" s="182">
        <v>20200000</v>
      </c>
      <c r="P2122" s="182">
        <v>393.7</v>
      </c>
      <c r="Q2122" s="182">
        <v>590000000</v>
      </c>
      <c r="R2122" s="182">
        <v>4335000</v>
      </c>
      <c r="S2122" s="182">
        <v>2796000</v>
      </c>
      <c r="T2122" s="182">
        <v>97.300000000000011</v>
      </c>
      <c r="U2122" s="182">
        <v>34411263.560061738</v>
      </c>
      <c r="V2122" s="182">
        <v>122200000000000</v>
      </c>
    </row>
    <row r="2123" spans="1:22">
      <c r="A2123" s="174" t="s">
        <v>4076</v>
      </c>
      <c r="B2123" s="174" t="s">
        <v>4076</v>
      </c>
      <c r="C2123" s="182">
        <f t="shared" si="10"/>
        <v>536.44500000000005</v>
      </c>
      <c r="D2123" s="182">
        <v>68250</v>
      </c>
      <c r="E2123" s="182">
        <v>965</v>
      </c>
      <c r="F2123" s="182">
        <v>425</v>
      </c>
      <c r="G2123" s="182">
        <v>28.4</v>
      </c>
      <c r="H2123" s="182">
        <v>51.1</v>
      </c>
      <c r="I2123" s="182"/>
      <c r="J2123" s="182">
        <v>19</v>
      </c>
      <c r="K2123" s="182">
        <f t="shared" si="9"/>
        <v>4.1585127201565557</v>
      </c>
      <c r="L2123" s="182">
        <f t="shared" si="11"/>
        <v>29.04225352112676</v>
      </c>
      <c r="M2123" s="182">
        <v>10660000000</v>
      </c>
      <c r="N2123" s="182">
        <v>25270000</v>
      </c>
      <c r="O2123" s="182">
        <v>22080000</v>
      </c>
      <c r="P2123" s="182">
        <v>395.09999999999997</v>
      </c>
      <c r="Q2123" s="182">
        <v>655500000</v>
      </c>
      <c r="R2123" s="182">
        <v>4795000</v>
      </c>
      <c r="S2123" s="182">
        <v>3085000</v>
      </c>
      <c r="T2123" s="182">
        <v>98</v>
      </c>
      <c r="U2123" s="182">
        <v>44470971.839186639</v>
      </c>
      <c r="V2123" s="182">
        <v>136900000000000</v>
      </c>
    </row>
    <row r="2124" spans="1:22">
      <c r="A2124" s="174" t="s">
        <v>4077</v>
      </c>
      <c r="B2124" s="174" t="s">
        <v>4077</v>
      </c>
      <c r="C2124" s="182">
        <f t="shared" si="10"/>
        <v>588.00660000000005</v>
      </c>
      <c r="D2124" s="182">
        <v>74810</v>
      </c>
      <c r="E2124" s="182">
        <v>975</v>
      </c>
      <c r="F2124" s="182">
        <v>427</v>
      </c>
      <c r="G2124" s="182">
        <v>31</v>
      </c>
      <c r="H2124" s="182">
        <v>55.9</v>
      </c>
      <c r="I2124" s="182"/>
      <c r="J2124" s="182">
        <v>19</v>
      </c>
      <c r="K2124" s="182">
        <f t="shared" si="9"/>
        <v>3.8193202146690521</v>
      </c>
      <c r="L2124" s="182">
        <f t="shared" si="11"/>
        <v>26.619354838709679</v>
      </c>
      <c r="M2124" s="182">
        <v>11810000000</v>
      </c>
      <c r="N2124" s="182">
        <v>27840000</v>
      </c>
      <c r="O2124" s="182">
        <v>24230000</v>
      </c>
      <c r="P2124" s="182">
        <v>397.40000000000003</v>
      </c>
      <c r="Q2124" s="182">
        <v>727600000</v>
      </c>
      <c r="R2124" s="182">
        <v>5310000</v>
      </c>
      <c r="S2124" s="182">
        <v>3408000</v>
      </c>
      <c r="T2124" s="182">
        <v>98.6</v>
      </c>
      <c r="U2124" s="182">
        <v>58073513.214667015</v>
      </c>
      <c r="V2124" s="182">
        <v>153200000000000</v>
      </c>
    </row>
    <row r="2125" spans="1:22">
      <c r="A2125" s="174" t="s">
        <v>4078</v>
      </c>
      <c r="B2125" s="174" t="s">
        <v>4078</v>
      </c>
      <c r="C2125" s="182">
        <f t="shared" si="10"/>
        <v>656.5458000000001</v>
      </c>
      <c r="D2125" s="182">
        <v>83530</v>
      </c>
      <c r="E2125" s="182">
        <v>987</v>
      </c>
      <c r="F2125" s="182">
        <v>431</v>
      </c>
      <c r="G2125" s="182">
        <v>34.5</v>
      </c>
      <c r="H2125" s="182">
        <v>62</v>
      </c>
      <c r="I2125" s="182"/>
      <c r="J2125" s="182">
        <v>19</v>
      </c>
      <c r="K2125" s="182">
        <f t="shared" si="9"/>
        <v>3.475806451612903</v>
      </c>
      <c r="L2125" s="182">
        <f t="shared" si="11"/>
        <v>23.913043478260871</v>
      </c>
      <c r="M2125" s="182">
        <v>13350000000</v>
      </c>
      <c r="N2125" s="182">
        <v>31270000</v>
      </c>
      <c r="O2125" s="182">
        <v>27060000</v>
      </c>
      <c r="P2125" s="182">
        <v>399.79999999999995</v>
      </c>
      <c r="Q2125" s="182">
        <v>830400000</v>
      </c>
      <c r="R2125" s="182">
        <v>6022000</v>
      </c>
      <c r="S2125" s="182">
        <v>3853000</v>
      </c>
      <c r="T2125" s="182">
        <v>99.7</v>
      </c>
      <c r="U2125" s="182">
        <v>79503404.318329021</v>
      </c>
      <c r="V2125" s="182">
        <v>177600000000000</v>
      </c>
    </row>
    <row r="2126" spans="1:22">
      <c r="A2126" s="174" t="s">
        <v>4079</v>
      </c>
      <c r="B2126" s="174" t="s">
        <v>4079</v>
      </c>
      <c r="C2126" s="182">
        <f t="shared" si="10"/>
        <v>725.39940000000001</v>
      </c>
      <c r="D2126" s="182">
        <v>92290</v>
      </c>
      <c r="E2126" s="182">
        <v>999</v>
      </c>
      <c r="F2126" s="182">
        <v>434</v>
      </c>
      <c r="G2126" s="182">
        <v>38.1</v>
      </c>
      <c r="H2126" s="182">
        <v>68.099999999999994</v>
      </c>
      <c r="I2126" s="182"/>
      <c r="J2126" s="182">
        <v>19</v>
      </c>
      <c r="K2126" s="182">
        <f t="shared" si="9"/>
        <v>3.1864904552129225</v>
      </c>
      <c r="L2126" s="182">
        <f t="shared" si="11"/>
        <v>21.648293963254591</v>
      </c>
      <c r="M2126" s="182">
        <v>14920000000</v>
      </c>
      <c r="N2126" s="182">
        <v>34740000</v>
      </c>
      <c r="O2126" s="182">
        <v>29880000</v>
      </c>
      <c r="P2126" s="182">
        <v>402.1</v>
      </c>
      <c r="Q2126" s="182">
        <v>932000000</v>
      </c>
      <c r="R2126" s="182">
        <v>6734000</v>
      </c>
      <c r="S2126" s="182">
        <v>4295000</v>
      </c>
      <c r="T2126" s="182">
        <v>100.5</v>
      </c>
      <c r="U2126" s="182">
        <v>105655716.77159616</v>
      </c>
      <c r="V2126" s="182">
        <v>201900000000000</v>
      </c>
    </row>
    <row r="2127" spans="1:22">
      <c r="A2127" s="174" t="s">
        <v>4080</v>
      </c>
      <c r="B2127" s="174" t="s">
        <v>4080</v>
      </c>
      <c r="C2127" s="182">
        <f t="shared" si="10"/>
        <v>787.57200000000012</v>
      </c>
      <c r="D2127" s="182">
        <v>100200</v>
      </c>
      <c r="E2127" s="182">
        <v>1011</v>
      </c>
      <c r="F2127" s="182">
        <v>437</v>
      </c>
      <c r="G2127" s="182">
        <v>40.9</v>
      </c>
      <c r="H2127" s="182">
        <v>73.900000000000006</v>
      </c>
      <c r="I2127" s="182"/>
      <c r="J2127" s="182">
        <v>19</v>
      </c>
      <c r="K2127" s="182">
        <f t="shared" si="9"/>
        <v>2.9566982408660349</v>
      </c>
      <c r="L2127" s="182">
        <f t="shared" si="11"/>
        <v>20.176039119804404</v>
      </c>
      <c r="M2127" s="182">
        <v>16460000000</v>
      </c>
      <c r="N2127" s="182">
        <v>38010000</v>
      </c>
      <c r="O2127" s="182">
        <v>32560000</v>
      </c>
      <c r="P2127" s="182">
        <v>405.3</v>
      </c>
      <c r="Q2127" s="182">
        <v>1033000000</v>
      </c>
      <c r="R2127" s="182">
        <v>7425000</v>
      </c>
      <c r="S2127" s="182">
        <v>4728000</v>
      </c>
      <c r="T2127" s="182">
        <v>101.5</v>
      </c>
      <c r="U2127" s="182">
        <v>134284598.47482532</v>
      </c>
      <c r="V2127" s="182">
        <v>226800000000000</v>
      </c>
    </row>
    <row r="2128" spans="1:22">
      <c r="A2128" s="174" t="s">
        <v>4081</v>
      </c>
      <c r="B2128" s="174" t="s">
        <v>4081</v>
      </c>
      <c r="C2128" s="182">
        <f t="shared" si="10"/>
        <v>971.96759999999995</v>
      </c>
      <c r="D2128" s="182">
        <v>123659.99999999999</v>
      </c>
      <c r="E2128" s="182">
        <v>1043</v>
      </c>
      <c r="F2128" s="182">
        <v>446</v>
      </c>
      <c r="G2128" s="182">
        <v>50</v>
      </c>
      <c r="H2128" s="182">
        <v>89.9</v>
      </c>
      <c r="I2128" s="182"/>
      <c r="J2128" s="182">
        <v>19</v>
      </c>
      <c r="K2128" s="182">
        <f t="shared" si="9"/>
        <v>2.4805339265850943</v>
      </c>
      <c r="L2128" s="182">
        <f t="shared" si="11"/>
        <v>16.504000000000001</v>
      </c>
      <c r="M2128" s="182">
        <v>21000000000</v>
      </c>
      <c r="N2128" s="182">
        <v>47660000</v>
      </c>
      <c r="O2128" s="182">
        <v>40270000</v>
      </c>
      <c r="P2128" s="182">
        <v>412.1</v>
      </c>
      <c r="Q2128" s="182">
        <v>1339000000</v>
      </c>
      <c r="R2128" s="182">
        <v>9490000</v>
      </c>
      <c r="S2128" s="182">
        <v>6002000</v>
      </c>
      <c r="T2128" s="182">
        <v>104</v>
      </c>
      <c r="U2128" s="182">
        <v>243220559.0529418</v>
      </c>
      <c r="V2128" s="182">
        <v>304000000000000</v>
      </c>
    </row>
    <row r="2129" spans="1:22">
      <c r="A2129" s="174" t="s">
        <v>4082</v>
      </c>
      <c r="B2129" s="174" t="s">
        <v>4082</v>
      </c>
      <c r="C2129" s="182">
        <f t="shared" si="10"/>
        <v>1077.999</v>
      </c>
      <c r="D2129" s="182">
        <v>137150</v>
      </c>
      <c r="E2129" s="182">
        <v>1061</v>
      </c>
      <c r="F2129" s="182">
        <v>451</v>
      </c>
      <c r="G2129" s="182">
        <v>55</v>
      </c>
      <c r="H2129" s="182">
        <v>99.1</v>
      </c>
      <c r="I2129" s="182"/>
      <c r="J2129" s="182">
        <v>19</v>
      </c>
      <c r="K2129" s="182">
        <f t="shared" si="9"/>
        <v>2.27547931382442</v>
      </c>
      <c r="L2129" s="182">
        <f t="shared" si="11"/>
        <v>14.996363636363636</v>
      </c>
      <c r="M2129" s="182">
        <v>23770000000</v>
      </c>
      <c r="N2129" s="182">
        <v>53390000</v>
      </c>
      <c r="O2129" s="182">
        <v>44790000</v>
      </c>
      <c r="P2129" s="182">
        <v>416.3</v>
      </c>
      <c r="Q2129" s="182">
        <v>1527000000</v>
      </c>
      <c r="R2129" s="182">
        <v>10740000</v>
      </c>
      <c r="S2129" s="182">
        <v>6773000</v>
      </c>
      <c r="T2129" s="182">
        <v>105.5</v>
      </c>
      <c r="U2129" s="182">
        <v>325998404.53205281</v>
      </c>
      <c r="V2129" s="182">
        <v>350800000000000</v>
      </c>
    </row>
    <row r="2130" spans="1:22">
      <c r="A2130" s="174" t="s">
        <v>4083</v>
      </c>
      <c r="B2130" s="174" t="s">
        <v>4083</v>
      </c>
      <c r="C2130" s="182">
        <f t="shared" si="10"/>
        <v>1195.8990000000001</v>
      </c>
      <c r="D2130" s="182">
        <v>152150</v>
      </c>
      <c r="E2130" s="182">
        <v>1081</v>
      </c>
      <c r="F2130" s="182">
        <v>457</v>
      </c>
      <c r="G2130" s="182">
        <v>60.5</v>
      </c>
      <c r="H2130" s="182">
        <v>109</v>
      </c>
      <c r="I2130" s="182"/>
      <c r="J2130" s="182">
        <v>19</v>
      </c>
      <c r="K2130" s="182">
        <f t="shared" si="9"/>
        <v>2.096330275229358</v>
      </c>
      <c r="L2130" s="182">
        <f t="shared" si="11"/>
        <v>13.636363636363637</v>
      </c>
      <c r="M2130" s="182">
        <v>26940000000</v>
      </c>
      <c r="N2130" s="182">
        <v>59830000</v>
      </c>
      <c r="O2130" s="182">
        <v>49830000</v>
      </c>
      <c r="P2130" s="182">
        <v>420.79999999999995</v>
      </c>
      <c r="Q2130" s="182">
        <v>1750000000</v>
      </c>
      <c r="R2130" s="182">
        <v>12180000</v>
      </c>
      <c r="S2130" s="182">
        <v>7660000</v>
      </c>
      <c r="T2130" s="182">
        <v>107.2</v>
      </c>
      <c r="U2130" s="182">
        <v>435309386.63498908</v>
      </c>
      <c r="V2130" s="182">
        <v>409700000000000</v>
      </c>
    </row>
    <row r="2131" spans="1:22">
      <c r="A2131" s="174" t="s">
        <v>4084</v>
      </c>
      <c r="B2131" s="174" t="s">
        <v>4084</v>
      </c>
      <c r="C2131" s="182">
        <f t="shared" si="10"/>
        <v>1270.5690000000002</v>
      </c>
      <c r="D2131" s="182">
        <v>161650</v>
      </c>
      <c r="E2131" s="182">
        <v>1093</v>
      </c>
      <c r="F2131" s="182">
        <v>461</v>
      </c>
      <c r="G2131" s="182">
        <v>64</v>
      </c>
      <c r="H2131" s="182">
        <v>115.1</v>
      </c>
      <c r="I2131" s="182"/>
      <c r="J2131" s="182">
        <v>19</v>
      </c>
      <c r="K2131" s="182">
        <f t="shared" si="9"/>
        <v>2.0026064291920069</v>
      </c>
      <c r="L2131" s="182">
        <f t="shared" si="11"/>
        <v>12.887499999999999</v>
      </c>
      <c r="M2131" s="182">
        <v>29000000000</v>
      </c>
      <c r="N2131" s="182">
        <v>63960000</v>
      </c>
      <c r="O2131" s="182">
        <v>53040000</v>
      </c>
      <c r="P2131" s="182">
        <v>423.5</v>
      </c>
      <c r="Q2131" s="182">
        <v>1899000000</v>
      </c>
      <c r="R2131" s="182">
        <v>13130000</v>
      </c>
      <c r="S2131" s="182">
        <v>8237000</v>
      </c>
      <c r="T2131" s="182">
        <v>108.4</v>
      </c>
      <c r="U2131" s="182">
        <v>514493121.66618782</v>
      </c>
      <c r="V2131" s="182">
        <v>449700000000000</v>
      </c>
    </row>
    <row r="2132" spans="1:22">
      <c r="A2132" s="174" t="s">
        <v>4085</v>
      </c>
      <c r="B2132" s="174" t="s">
        <v>4085</v>
      </c>
      <c r="C2132" s="182">
        <f t="shared" si="10"/>
        <v>1378.4082000000001</v>
      </c>
      <c r="D2132" s="182">
        <v>175370</v>
      </c>
      <c r="E2132" s="182">
        <v>1093</v>
      </c>
      <c r="F2132" s="182">
        <v>473</v>
      </c>
      <c r="G2132" s="182">
        <v>76.7</v>
      </c>
      <c r="H2132" s="182">
        <v>115.1</v>
      </c>
      <c r="I2132" s="182"/>
      <c r="J2132" s="182">
        <v>19</v>
      </c>
      <c r="K2132" s="182">
        <f t="shared" si="9"/>
        <v>2.054735013032146</v>
      </c>
      <c r="L2132" s="182">
        <f t="shared" si="11"/>
        <v>10.753585397653193</v>
      </c>
      <c r="M2132" s="182">
        <v>30340000000</v>
      </c>
      <c r="N2132" s="182">
        <v>67680000</v>
      </c>
      <c r="O2132" s="182">
        <v>55500000</v>
      </c>
      <c r="P2132" s="182">
        <v>415.90000000000003</v>
      </c>
      <c r="Q2132" s="182">
        <v>2063000000</v>
      </c>
      <c r="R2132" s="182">
        <v>14160000</v>
      </c>
      <c r="S2132" s="182">
        <v>8723000</v>
      </c>
      <c r="T2132" s="182">
        <v>108.5</v>
      </c>
      <c r="U2132" s="182">
        <v>596418825.61829698</v>
      </c>
      <c r="V2132" s="182">
        <v>485700000000000</v>
      </c>
    </row>
    <row r="2133" spans="1:22">
      <c r="A2133" s="174" t="s">
        <v>4086</v>
      </c>
      <c r="B2133" s="174" t="s">
        <v>4086</v>
      </c>
      <c r="C2133" s="182">
        <f t="shared" si="10"/>
        <v>296.79360000000003</v>
      </c>
      <c r="D2133" s="182">
        <v>37760</v>
      </c>
      <c r="E2133" s="182">
        <v>982</v>
      </c>
      <c r="F2133" s="182">
        <v>400</v>
      </c>
      <c r="G2133" s="182">
        <v>16.5</v>
      </c>
      <c r="H2133" s="182">
        <v>27.1</v>
      </c>
      <c r="I2133" s="182"/>
      <c r="J2133" s="182">
        <v>30</v>
      </c>
      <c r="K2133" s="182">
        <f t="shared" si="9"/>
        <v>7.3800738007380069</v>
      </c>
      <c r="L2133" s="182">
        <f t="shared" si="11"/>
        <v>52.593939393939394</v>
      </c>
      <c r="M2133" s="182">
        <v>6203000000</v>
      </c>
      <c r="N2133" s="182">
        <v>14260000</v>
      </c>
      <c r="O2133" s="182">
        <v>12630000</v>
      </c>
      <c r="P2133" s="182">
        <v>405.3</v>
      </c>
      <c r="Q2133" s="182">
        <v>289600000</v>
      </c>
      <c r="R2133" s="182">
        <v>2243000</v>
      </c>
      <c r="S2133" s="182">
        <v>1448000</v>
      </c>
      <c r="T2133" s="182">
        <v>87.6</v>
      </c>
      <c r="U2133" s="182">
        <v>7636147.1229825038</v>
      </c>
      <c r="V2133" s="182">
        <v>65900000000000</v>
      </c>
    </row>
    <row r="2134" spans="1:22">
      <c r="A2134" s="174" t="s">
        <v>4087</v>
      </c>
      <c r="B2134" s="174" t="s">
        <v>4087</v>
      </c>
      <c r="C2134" s="182">
        <f t="shared" si="10"/>
        <v>321.3168</v>
      </c>
      <c r="D2134" s="182">
        <v>40880</v>
      </c>
      <c r="E2134" s="182">
        <v>990</v>
      </c>
      <c r="F2134" s="182">
        <v>400</v>
      </c>
      <c r="G2134" s="182">
        <v>16.5</v>
      </c>
      <c r="H2134" s="182">
        <v>31</v>
      </c>
      <c r="I2134" s="182"/>
      <c r="J2134" s="182">
        <v>30</v>
      </c>
      <c r="K2134" s="182">
        <f t="shared" si="9"/>
        <v>6.4516129032258061</v>
      </c>
      <c r="L2134" s="182">
        <f t="shared" si="11"/>
        <v>52.606060606060609</v>
      </c>
      <c r="M2134" s="182">
        <v>6964000000</v>
      </c>
      <c r="N2134" s="182">
        <v>15800000</v>
      </c>
      <c r="O2134" s="182">
        <v>14070000</v>
      </c>
      <c r="P2134" s="182">
        <v>412.70000000000005</v>
      </c>
      <c r="Q2134" s="182">
        <v>331200000</v>
      </c>
      <c r="R2134" s="182">
        <v>2555000</v>
      </c>
      <c r="S2134" s="182">
        <v>1656000</v>
      </c>
      <c r="T2134" s="182">
        <v>90</v>
      </c>
      <c r="U2134" s="182">
        <v>10334516.949788418</v>
      </c>
      <c r="V2134" s="182">
        <v>76030000000000</v>
      </c>
    </row>
    <row r="2135" spans="1:22">
      <c r="A2135" s="174" t="s">
        <v>4088</v>
      </c>
      <c r="B2135" s="174" t="s">
        <v>4088</v>
      </c>
      <c r="C2135" s="182">
        <f t="shared" si="10"/>
        <v>371.62080000000003</v>
      </c>
      <c r="D2135" s="182">
        <v>47280</v>
      </c>
      <c r="E2135" s="182">
        <v>1000</v>
      </c>
      <c r="F2135" s="182">
        <v>400</v>
      </c>
      <c r="G2135" s="182">
        <v>19</v>
      </c>
      <c r="H2135" s="182">
        <v>36.1</v>
      </c>
      <c r="I2135" s="182"/>
      <c r="J2135" s="182">
        <v>30</v>
      </c>
      <c r="K2135" s="182">
        <f t="shared" si="9"/>
        <v>5.5401662049861491</v>
      </c>
      <c r="L2135" s="182">
        <f t="shared" si="11"/>
        <v>45.673684210526311</v>
      </c>
      <c r="M2135" s="182">
        <v>8137000000</v>
      </c>
      <c r="N2135" s="182">
        <v>18360000</v>
      </c>
      <c r="O2135" s="182">
        <v>16270000</v>
      </c>
      <c r="P2135" s="182">
        <v>414.90000000000003</v>
      </c>
      <c r="Q2135" s="182">
        <v>385800000</v>
      </c>
      <c r="R2135" s="182">
        <v>2984000</v>
      </c>
      <c r="S2135" s="182">
        <v>1929000</v>
      </c>
      <c r="T2135" s="182">
        <v>90.3</v>
      </c>
      <c r="U2135" s="182">
        <v>15884408.422306882</v>
      </c>
      <c r="V2135" s="182">
        <v>89440000000000</v>
      </c>
    </row>
    <row r="2136" spans="1:22">
      <c r="A2136" s="174" t="s">
        <v>4089</v>
      </c>
      <c r="B2136" s="174" t="s">
        <v>4089</v>
      </c>
      <c r="C2136" s="182">
        <f t="shared" si="10"/>
        <v>412.72860000000003</v>
      </c>
      <c r="D2136" s="182">
        <v>52510</v>
      </c>
      <c r="E2136" s="182">
        <v>1008</v>
      </c>
      <c r="F2136" s="182">
        <v>402</v>
      </c>
      <c r="G2136" s="182">
        <v>21.1</v>
      </c>
      <c r="H2136" s="182">
        <v>40</v>
      </c>
      <c r="I2136" s="182"/>
      <c r="J2136" s="182">
        <v>30</v>
      </c>
      <c r="K2136" s="182">
        <f t="shared" si="9"/>
        <v>5.0250000000000004</v>
      </c>
      <c r="L2136" s="182">
        <f t="shared" si="11"/>
        <v>41.137440758293835</v>
      </c>
      <c r="M2136" s="182">
        <v>9105000000</v>
      </c>
      <c r="N2136" s="182">
        <v>20460000</v>
      </c>
      <c r="O2136" s="182">
        <v>18070000</v>
      </c>
      <c r="P2136" s="182">
        <v>416.4</v>
      </c>
      <c r="Q2136" s="182">
        <v>434000000</v>
      </c>
      <c r="R2136" s="182">
        <v>3349000</v>
      </c>
      <c r="S2136" s="182">
        <v>2160000</v>
      </c>
      <c r="T2136" s="182">
        <v>90.9</v>
      </c>
      <c r="U2136" s="182">
        <v>21448778.938511219</v>
      </c>
      <c r="V2136" s="182">
        <v>101500000000000</v>
      </c>
    </row>
    <row r="2137" spans="1:22">
      <c r="A2137" s="174" t="s">
        <v>4090</v>
      </c>
      <c r="B2137" s="174" t="s">
        <v>4090</v>
      </c>
      <c r="C2137" s="182">
        <f t="shared" si="10"/>
        <v>443.0682000000001</v>
      </c>
      <c r="D2137" s="182">
        <v>56370.000000000007</v>
      </c>
      <c r="E2137" s="182">
        <v>1012</v>
      </c>
      <c r="F2137" s="182">
        <v>402</v>
      </c>
      <c r="G2137" s="182">
        <v>23.6</v>
      </c>
      <c r="H2137" s="182">
        <v>41.9</v>
      </c>
      <c r="I2137" s="182"/>
      <c r="J2137" s="182">
        <v>30</v>
      </c>
      <c r="K2137" s="182">
        <f t="shared" si="9"/>
        <v>4.7971360381861574</v>
      </c>
      <c r="L2137" s="182">
        <f t="shared" si="11"/>
        <v>36.788135593220339</v>
      </c>
      <c r="M2137" s="182">
        <v>9665000000</v>
      </c>
      <c r="N2137" s="182">
        <v>21780000</v>
      </c>
      <c r="O2137" s="182">
        <v>19100000</v>
      </c>
      <c r="P2137" s="182">
        <v>414.09999999999997</v>
      </c>
      <c r="Q2137" s="182">
        <v>455000000</v>
      </c>
      <c r="R2137" s="182">
        <v>3529000</v>
      </c>
      <c r="S2137" s="182">
        <v>2264000</v>
      </c>
      <c r="T2137" s="182">
        <v>89.800000000000011</v>
      </c>
      <c r="U2137" s="182">
        <v>25434714.879058108</v>
      </c>
      <c r="V2137" s="182">
        <v>106700000000000</v>
      </c>
    </row>
    <row r="2138" spans="1:22">
      <c r="A2138" s="174" t="s">
        <v>4091</v>
      </c>
      <c r="B2138" s="174" t="s">
        <v>4091</v>
      </c>
      <c r="C2138" s="182">
        <f t="shared" si="10"/>
        <v>483.46860000000004</v>
      </c>
      <c r="D2138" s="182">
        <v>61510</v>
      </c>
      <c r="E2138" s="182">
        <v>1020</v>
      </c>
      <c r="F2138" s="182">
        <v>404</v>
      </c>
      <c r="G2138" s="182">
        <v>25.4</v>
      </c>
      <c r="H2138" s="182">
        <v>46</v>
      </c>
      <c r="I2138" s="182"/>
      <c r="J2138" s="182">
        <v>30</v>
      </c>
      <c r="K2138" s="182">
        <f t="shared" si="9"/>
        <v>4.3913043478260869</v>
      </c>
      <c r="L2138" s="182">
        <f t="shared" si="11"/>
        <v>34.173228346456696</v>
      </c>
      <c r="M2138" s="182">
        <v>10670000000</v>
      </c>
      <c r="N2138" s="182">
        <v>23920000</v>
      </c>
      <c r="O2138" s="182">
        <v>20930000</v>
      </c>
      <c r="P2138" s="182">
        <v>416.59999999999997</v>
      </c>
      <c r="Q2138" s="182">
        <v>507100000</v>
      </c>
      <c r="R2138" s="182">
        <v>3919000</v>
      </c>
      <c r="S2138" s="182">
        <v>2510000</v>
      </c>
      <c r="T2138" s="182">
        <v>90.8</v>
      </c>
      <c r="U2138" s="182">
        <v>33068031.701991688</v>
      </c>
      <c r="V2138" s="182">
        <v>119900000000000</v>
      </c>
    </row>
    <row r="2139" spans="1:22">
      <c r="A2139" s="174" t="s">
        <v>4092</v>
      </c>
      <c r="B2139" s="174" t="s">
        <v>4092</v>
      </c>
      <c r="C2139" s="182">
        <f t="shared" si="10"/>
        <v>540.13920000000007</v>
      </c>
      <c r="D2139" s="182">
        <v>68720</v>
      </c>
      <c r="E2139" s="182">
        <v>1030</v>
      </c>
      <c r="F2139" s="182">
        <v>407</v>
      </c>
      <c r="G2139" s="182">
        <v>28.4</v>
      </c>
      <c r="H2139" s="182">
        <v>51.1</v>
      </c>
      <c r="I2139" s="182"/>
      <c r="J2139" s="182">
        <v>30</v>
      </c>
      <c r="K2139" s="182">
        <f t="shared" si="9"/>
        <v>3.9823874755381605</v>
      </c>
      <c r="L2139" s="182">
        <f t="shared" si="11"/>
        <v>30.556338028169016</v>
      </c>
      <c r="M2139" s="182">
        <v>12030000000</v>
      </c>
      <c r="N2139" s="182">
        <v>26820000</v>
      </c>
      <c r="O2139" s="182">
        <v>23350000</v>
      </c>
      <c r="P2139" s="182">
        <v>418.29999999999995</v>
      </c>
      <c r="Q2139" s="182">
        <v>576300000</v>
      </c>
      <c r="R2139" s="182">
        <v>4436000</v>
      </c>
      <c r="S2139" s="182">
        <v>2832000</v>
      </c>
      <c r="T2139" s="182">
        <v>91.6</v>
      </c>
      <c r="U2139" s="182">
        <v>45295768.476040274</v>
      </c>
      <c r="V2139" s="182">
        <v>137600000000000</v>
      </c>
    </row>
    <row r="2140" spans="1:22">
      <c r="A2140" s="174" t="s">
        <v>4093</v>
      </c>
      <c r="B2140" s="174" t="s">
        <v>4093</v>
      </c>
      <c r="C2140" s="182">
        <f t="shared" si="10"/>
        <v>554.75880000000006</v>
      </c>
      <c r="D2140" s="182">
        <v>70580</v>
      </c>
      <c r="E2140" s="182">
        <v>1032</v>
      </c>
      <c r="F2140" s="182">
        <v>408</v>
      </c>
      <c r="G2140" s="182">
        <v>29.5</v>
      </c>
      <c r="H2140" s="182">
        <v>52</v>
      </c>
      <c r="I2140" s="182"/>
      <c r="J2140" s="182">
        <v>30</v>
      </c>
      <c r="K2140" s="182">
        <f t="shared" si="9"/>
        <v>3.9230769230769229</v>
      </c>
      <c r="L2140" s="182">
        <f t="shared" si="11"/>
        <v>29.423728813559322</v>
      </c>
      <c r="M2140" s="182">
        <v>12320000000</v>
      </c>
      <c r="N2140" s="182">
        <v>27500000</v>
      </c>
      <c r="O2140" s="182">
        <v>23880000</v>
      </c>
      <c r="P2140" s="182">
        <v>417.9</v>
      </c>
      <c r="Q2140" s="182">
        <v>591000000</v>
      </c>
      <c r="R2140" s="182">
        <v>4547000</v>
      </c>
      <c r="S2140" s="182">
        <v>2897000</v>
      </c>
      <c r="T2140" s="182">
        <v>91.5</v>
      </c>
      <c r="U2140" s="182">
        <v>48341084.933742419</v>
      </c>
      <c r="V2140" s="182">
        <v>141300000000000</v>
      </c>
    </row>
    <row r="2141" spans="1:22">
      <c r="A2141" s="174" t="s">
        <v>4094</v>
      </c>
      <c r="B2141" s="174" t="s">
        <v>4094</v>
      </c>
      <c r="C2141" s="182">
        <f t="shared" si="10"/>
        <v>591.62220000000002</v>
      </c>
      <c r="D2141" s="182">
        <v>75270</v>
      </c>
      <c r="E2141" s="182">
        <v>1040</v>
      </c>
      <c r="F2141" s="182">
        <v>409</v>
      </c>
      <c r="G2141" s="182">
        <v>31</v>
      </c>
      <c r="H2141" s="182">
        <v>55.9</v>
      </c>
      <c r="I2141" s="182"/>
      <c r="J2141" s="182">
        <v>30</v>
      </c>
      <c r="K2141" s="182">
        <f t="shared" si="9"/>
        <v>3.6583184257602861</v>
      </c>
      <c r="L2141" s="182">
        <f t="shared" si="11"/>
        <v>28.006451612903227</v>
      </c>
      <c r="M2141" s="182">
        <v>13310000000</v>
      </c>
      <c r="N2141" s="182">
        <v>29530000</v>
      </c>
      <c r="O2141" s="182">
        <v>25600000</v>
      </c>
      <c r="P2141" s="182">
        <v>420.5</v>
      </c>
      <c r="Q2141" s="182">
        <v>640100000</v>
      </c>
      <c r="R2141" s="182">
        <v>4916000</v>
      </c>
      <c r="S2141" s="182">
        <v>3130000</v>
      </c>
      <c r="T2141" s="182">
        <v>92.2</v>
      </c>
      <c r="U2141" s="182">
        <v>58955838.641573176</v>
      </c>
      <c r="V2141" s="182">
        <v>154300000000000</v>
      </c>
    </row>
    <row r="2142" spans="1:22">
      <c r="A2142" s="174" t="s">
        <v>4095</v>
      </c>
      <c r="B2142" s="174" t="s">
        <v>4095</v>
      </c>
      <c r="C2142" s="182">
        <f t="shared" si="10"/>
        <v>642.6336</v>
      </c>
      <c r="D2142" s="182">
        <v>81760</v>
      </c>
      <c r="E2142" s="182">
        <v>1048</v>
      </c>
      <c r="F2142" s="182">
        <v>412</v>
      </c>
      <c r="G2142" s="182">
        <v>34</v>
      </c>
      <c r="H2142" s="182">
        <v>60</v>
      </c>
      <c r="I2142" s="182"/>
      <c r="J2142" s="182">
        <v>30</v>
      </c>
      <c r="K2142" s="182">
        <f t="shared" si="9"/>
        <v>3.4333333333333331</v>
      </c>
      <c r="L2142" s="182">
        <f t="shared" si="11"/>
        <v>25.529411764705884</v>
      </c>
      <c r="M2142" s="182">
        <v>14510000000</v>
      </c>
      <c r="N2142" s="182">
        <v>32100000</v>
      </c>
      <c r="O2142" s="182">
        <v>27680000</v>
      </c>
      <c r="P2142" s="182">
        <v>421.2</v>
      </c>
      <c r="Q2142" s="182">
        <v>702800000</v>
      </c>
      <c r="R2142" s="182">
        <v>5379000</v>
      </c>
      <c r="S2142" s="182">
        <v>3412000</v>
      </c>
      <c r="T2142" s="182">
        <v>92.699999999999989</v>
      </c>
      <c r="U2142" s="182">
        <v>73817865.093941629</v>
      </c>
      <c r="V2142" s="182">
        <v>170700000000000</v>
      </c>
    </row>
    <row r="2143" spans="1:22">
      <c r="A2143" s="174" t="s">
        <v>4096</v>
      </c>
      <c r="B2143" s="174" t="s">
        <v>4096</v>
      </c>
      <c r="C2143" s="182">
        <f t="shared" si="10"/>
        <v>749.37240000000008</v>
      </c>
      <c r="D2143" s="182">
        <v>95340</v>
      </c>
      <c r="E2143" s="182">
        <v>1068</v>
      </c>
      <c r="F2143" s="182">
        <v>417</v>
      </c>
      <c r="G2143" s="182">
        <v>39</v>
      </c>
      <c r="H2143" s="182">
        <v>70</v>
      </c>
      <c r="I2143" s="182"/>
      <c r="J2143" s="182">
        <v>30</v>
      </c>
      <c r="K2143" s="182">
        <f t="shared" si="9"/>
        <v>2.9785714285714286</v>
      </c>
      <c r="L2143" s="182">
        <f t="shared" si="11"/>
        <v>22.256410256410255</v>
      </c>
      <c r="M2143" s="182">
        <v>17320000000</v>
      </c>
      <c r="N2143" s="182">
        <v>37880000</v>
      </c>
      <c r="O2143" s="182">
        <v>32430000</v>
      </c>
      <c r="P2143" s="182">
        <v>426.2</v>
      </c>
      <c r="Q2143" s="182">
        <v>851100000</v>
      </c>
      <c r="R2143" s="182">
        <v>6459000</v>
      </c>
      <c r="S2143" s="182">
        <v>4082000</v>
      </c>
      <c r="T2143" s="182">
        <v>94.5</v>
      </c>
      <c r="U2143" s="182">
        <v>115547099.56564899</v>
      </c>
      <c r="V2143" s="182">
        <v>210600000000000</v>
      </c>
    </row>
    <row r="2144" spans="1:22">
      <c r="A2144" s="174" t="s">
        <v>4097</v>
      </c>
      <c r="B2144" s="174" t="s">
        <v>4097</v>
      </c>
      <c r="C2144" s="182">
        <f t="shared" si="10"/>
        <v>884.48580000000004</v>
      </c>
      <c r="D2144" s="182">
        <v>112530</v>
      </c>
      <c r="E2144" s="182">
        <v>1092</v>
      </c>
      <c r="F2144" s="182">
        <v>424</v>
      </c>
      <c r="G2144" s="182">
        <v>45.5</v>
      </c>
      <c r="H2144" s="182">
        <v>82</v>
      </c>
      <c r="I2144" s="182"/>
      <c r="J2144" s="182">
        <v>30</v>
      </c>
      <c r="K2144" s="182">
        <f t="shared" si="9"/>
        <v>2.5853658536585367</v>
      </c>
      <c r="L2144" s="182">
        <f t="shared" si="11"/>
        <v>19.076923076923077</v>
      </c>
      <c r="M2144" s="182">
        <v>20960000000</v>
      </c>
      <c r="N2144" s="182">
        <v>45260000</v>
      </c>
      <c r="O2144" s="182">
        <v>38390000</v>
      </c>
      <c r="P2144" s="182">
        <v>431.59999999999997</v>
      </c>
      <c r="Q2144" s="182">
        <v>1050000000</v>
      </c>
      <c r="R2144" s="182">
        <v>7874000</v>
      </c>
      <c r="S2144" s="182">
        <v>4952000</v>
      </c>
      <c r="T2144" s="182">
        <v>96.6</v>
      </c>
      <c r="U2144" s="182">
        <v>185175982.91004521</v>
      </c>
      <c r="V2144" s="182">
        <v>265700000000000</v>
      </c>
    </row>
    <row r="2145" spans="1:22">
      <c r="A2145" s="174" t="s">
        <v>4098</v>
      </c>
      <c r="B2145" s="174" t="s">
        <v>4098</v>
      </c>
      <c r="C2145" s="182">
        <f t="shared" si="10"/>
        <v>975.74040000000025</v>
      </c>
      <c r="D2145" s="182">
        <v>124140.00000000001</v>
      </c>
      <c r="E2145" s="182">
        <v>1108</v>
      </c>
      <c r="F2145" s="182">
        <v>428</v>
      </c>
      <c r="G2145" s="182">
        <v>50</v>
      </c>
      <c r="H2145" s="182">
        <v>89.9</v>
      </c>
      <c r="I2145" s="182"/>
      <c r="J2145" s="182">
        <v>30</v>
      </c>
      <c r="K2145" s="182">
        <f t="shared" si="9"/>
        <v>2.3804226918798665</v>
      </c>
      <c r="L2145" s="182">
        <f t="shared" si="11"/>
        <v>17.364000000000001</v>
      </c>
      <c r="M2145" s="182">
        <v>23490000000</v>
      </c>
      <c r="N2145" s="182">
        <v>50300000</v>
      </c>
      <c r="O2145" s="182">
        <v>42400000</v>
      </c>
      <c r="P2145" s="182">
        <v>435</v>
      </c>
      <c r="Q2145" s="182">
        <v>1185000000</v>
      </c>
      <c r="R2145" s="182">
        <v>8839000</v>
      </c>
      <c r="S2145" s="182">
        <v>5538000</v>
      </c>
      <c r="T2145" s="182">
        <v>97.699999999999989</v>
      </c>
      <c r="U2145" s="182">
        <v>244199223.0024958</v>
      </c>
      <c r="V2145" s="182">
        <v>304400000000000</v>
      </c>
    </row>
    <row r="2146" spans="1:22">
      <c r="A2146" s="174" t="s">
        <v>4099</v>
      </c>
      <c r="B2146" s="174" t="s">
        <v>4099</v>
      </c>
      <c r="C2146" s="182">
        <f t="shared" si="10"/>
        <v>343.08900000000006</v>
      </c>
      <c r="D2146" s="182">
        <v>43650</v>
      </c>
      <c r="E2146" s="182">
        <v>1090</v>
      </c>
      <c r="F2146" s="182">
        <v>400</v>
      </c>
      <c r="G2146" s="182">
        <v>18</v>
      </c>
      <c r="H2146" s="182">
        <v>31</v>
      </c>
      <c r="I2146" s="182"/>
      <c r="J2146" s="182">
        <v>30</v>
      </c>
      <c r="K2146" s="182">
        <f t="shared" si="9"/>
        <v>6.4516129032258061</v>
      </c>
      <c r="L2146" s="182">
        <f t="shared" si="11"/>
        <v>53.777777777777779</v>
      </c>
      <c r="M2146" s="182">
        <v>8783600000</v>
      </c>
      <c r="N2146" s="182">
        <v>18280000</v>
      </c>
      <c r="O2146" s="182">
        <v>16110000</v>
      </c>
      <c r="P2146" s="182">
        <v>446.4</v>
      </c>
      <c r="Q2146" s="182">
        <v>331300000</v>
      </c>
      <c r="R2146" s="182">
        <v>2575000</v>
      </c>
      <c r="S2146" s="182">
        <v>1657000</v>
      </c>
      <c r="T2146" s="182">
        <v>86.7</v>
      </c>
      <c r="U2146" s="182">
        <v>11048129.88601597</v>
      </c>
      <c r="V2146" s="182">
        <v>92910000000000</v>
      </c>
    </row>
    <row r="2147" spans="1:22">
      <c r="A2147" s="174" t="s">
        <v>4100</v>
      </c>
      <c r="B2147" s="174" t="s">
        <v>4100</v>
      </c>
      <c r="C2147" s="182">
        <f t="shared" si="10"/>
        <v>390.64200000000005</v>
      </c>
      <c r="D2147" s="182">
        <v>49700</v>
      </c>
      <c r="E2147" s="182">
        <v>1100</v>
      </c>
      <c r="F2147" s="182">
        <v>400</v>
      </c>
      <c r="G2147" s="182">
        <v>20</v>
      </c>
      <c r="H2147" s="182">
        <v>36</v>
      </c>
      <c r="I2147" s="182"/>
      <c r="J2147" s="182">
        <v>30</v>
      </c>
      <c r="K2147" s="182">
        <f t="shared" si="9"/>
        <v>5.5555555555555554</v>
      </c>
      <c r="L2147" s="182">
        <f t="shared" si="11"/>
        <v>48.4</v>
      </c>
      <c r="M2147" s="182">
        <v>10163000000</v>
      </c>
      <c r="N2147" s="182">
        <v>21000000</v>
      </c>
      <c r="O2147" s="182">
        <v>18480000</v>
      </c>
      <c r="P2147" s="182">
        <v>450.20000000000005</v>
      </c>
      <c r="Q2147" s="182">
        <v>384900000</v>
      </c>
      <c r="R2147" s="182">
        <v>2995000</v>
      </c>
      <c r="S2147" s="182">
        <v>1924000</v>
      </c>
      <c r="T2147" s="182">
        <v>87.6</v>
      </c>
      <c r="U2147" s="182">
        <v>16492331.664202411</v>
      </c>
      <c r="V2147" s="182">
        <v>108900000000000</v>
      </c>
    </row>
    <row r="2148" spans="1:22">
      <c r="A2148" s="174" t="s">
        <v>4101</v>
      </c>
      <c r="B2148" s="174" t="s">
        <v>4101</v>
      </c>
      <c r="C2148" s="182">
        <f t="shared" si="10"/>
        <v>433.24320000000012</v>
      </c>
      <c r="D2148" s="182">
        <v>55120.000000000007</v>
      </c>
      <c r="E2148" s="182">
        <v>1108</v>
      </c>
      <c r="F2148" s="182">
        <v>402</v>
      </c>
      <c r="G2148" s="182">
        <v>22</v>
      </c>
      <c r="H2148" s="182">
        <v>40</v>
      </c>
      <c r="I2148" s="182"/>
      <c r="J2148" s="182">
        <v>30</v>
      </c>
      <c r="K2148" s="182">
        <f t="shared" si="9"/>
        <v>5.0250000000000004</v>
      </c>
      <c r="L2148" s="182">
        <f t="shared" si="11"/>
        <v>44</v>
      </c>
      <c r="M2148" s="182">
        <v>11365000000</v>
      </c>
      <c r="N2148" s="182">
        <v>23380000</v>
      </c>
      <c r="O2148" s="182">
        <v>20510000</v>
      </c>
      <c r="P2148" s="182">
        <v>452.29999999999995</v>
      </c>
      <c r="Q2148" s="182">
        <v>434300000</v>
      </c>
      <c r="R2148" s="182">
        <v>3370000</v>
      </c>
      <c r="S2148" s="182">
        <v>2160000</v>
      </c>
      <c r="T2148" s="182">
        <v>88.5</v>
      </c>
      <c r="U2148" s="182">
        <v>22292683.383184314</v>
      </c>
      <c r="V2148" s="182">
        <v>123800000000000</v>
      </c>
    </row>
    <row r="2149" spans="1:22">
      <c r="A2149" s="174" t="s">
        <v>4102</v>
      </c>
      <c r="B2149" s="174" t="s">
        <v>4102</v>
      </c>
      <c r="C2149" s="182">
        <f t="shared" si="10"/>
        <v>499.26720000000012</v>
      </c>
      <c r="D2149" s="182">
        <v>63520.000000000007</v>
      </c>
      <c r="E2149" s="182">
        <v>1118</v>
      </c>
      <c r="F2149" s="182">
        <v>405</v>
      </c>
      <c r="G2149" s="182">
        <v>26</v>
      </c>
      <c r="H2149" s="182">
        <v>45</v>
      </c>
      <c r="I2149" s="182"/>
      <c r="J2149" s="182">
        <v>30</v>
      </c>
      <c r="K2149" s="182">
        <f t="shared" si="9"/>
        <v>4.5</v>
      </c>
      <c r="L2149" s="182">
        <f t="shared" si="11"/>
        <v>37.230769230769234</v>
      </c>
      <c r="M2149" s="182">
        <v>13050000000</v>
      </c>
      <c r="N2149" s="182">
        <v>26820000</v>
      </c>
      <c r="O2149" s="182">
        <v>23340000</v>
      </c>
      <c r="P2149" s="182">
        <v>451.70000000000005</v>
      </c>
      <c r="Q2149" s="182">
        <v>500100000</v>
      </c>
      <c r="R2149" s="182">
        <v>3879000</v>
      </c>
      <c r="S2149" s="182">
        <v>2469000</v>
      </c>
      <c r="T2149" s="182">
        <v>88.4</v>
      </c>
      <c r="U2149" s="182">
        <v>32535329.484226894</v>
      </c>
      <c r="V2149" s="182">
        <v>143900000000000</v>
      </c>
    </row>
    <row r="2150" spans="1:22">
      <c r="A2150" s="174" t="s">
        <v>4103</v>
      </c>
      <c r="B2150" s="174" t="s">
        <v>4103</v>
      </c>
      <c r="C2150" s="182">
        <f t="shared" si="10"/>
        <v>548.86380000000008</v>
      </c>
      <c r="D2150" s="182">
        <v>69830</v>
      </c>
      <c r="E2150" s="182">
        <v>1128</v>
      </c>
      <c r="F2150" s="182">
        <v>407</v>
      </c>
      <c r="G2150" s="182">
        <v>28</v>
      </c>
      <c r="H2150" s="182">
        <v>50</v>
      </c>
      <c r="I2150" s="182"/>
      <c r="J2150" s="182">
        <v>30</v>
      </c>
      <c r="K2150" s="182">
        <f t="shared" si="9"/>
        <v>4.07</v>
      </c>
      <c r="L2150" s="182">
        <f t="shared" si="11"/>
        <v>34.571428571428569</v>
      </c>
      <c r="M2150" s="182">
        <v>14566000000</v>
      </c>
      <c r="N2150" s="182">
        <v>29730000</v>
      </c>
      <c r="O2150" s="182">
        <v>25820000</v>
      </c>
      <c r="P2150" s="182">
        <v>455.3</v>
      </c>
      <c r="Q2150" s="182">
        <v>564100000</v>
      </c>
      <c r="R2150" s="182">
        <v>4358000</v>
      </c>
      <c r="S2150" s="182">
        <v>2771000</v>
      </c>
      <c r="T2150" s="182">
        <v>89.600000000000009</v>
      </c>
      <c r="U2150" s="182">
        <v>43446671.99553898</v>
      </c>
      <c r="V2150" s="182">
        <v>163800000000000</v>
      </c>
    </row>
    <row r="2151" spans="1:22">
      <c r="A2151" s="174" t="s">
        <v>4104</v>
      </c>
      <c r="B2151" s="174" t="s">
        <v>4104</v>
      </c>
      <c r="C2151" s="182">
        <f t="shared" si="10"/>
        <v>607.65660000000003</v>
      </c>
      <c r="D2151" s="182">
        <v>77310</v>
      </c>
      <c r="E2151" s="182">
        <v>1138</v>
      </c>
      <c r="F2151" s="182">
        <v>410</v>
      </c>
      <c r="G2151" s="182">
        <v>31</v>
      </c>
      <c r="H2151" s="182">
        <v>55</v>
      </c>
      <c r="I2151" s="182"/>
      <c r="J2151" s="182">
        <v>30</v>
      </c>
      <c r="K2151" s="182">
        <f t="shared" si="9"/>
        <v>3.7272727272727271</v>
      </c>
      <c r="L2151" s="182">
        <f t="shared" si="11"/>
        <v>31.225806451612904</v>
      </c>
      <c r="M2151" s="182">
        <v>16241000000</v>
      </c>
      <c r="N2151" s="182">
        <v>33000000</v>
      </c>
      <c r="O2151" s="182">
        <v>28540000</v>
      </c>
      <c r="P2151" s="182">
        <v>457</v>
      </c>
      <c r="Q2151" s="182">
        <v>634700000</v>
      </c>
      <c r="R2151" s="182">
        <v>4886000</v>
      </c>
      <c r="S2151" s="182">
        <v>3096000</v>
      </c>
      <c r="T2151" s="182">
        <v>90.3</v>
      </c>
      <c r="U2151" s="182">
        <v>57891006.396520697</v>
      </c>
      <c r="V2151" s="182">
        <v>186100000000000</v>
      </c>
    </row>
    <row r="2152" spans="1:22">
      <c r="A2152" s="174" t="s">
        <v>4105</v>
      </c>
      <c r="B2152" s="174" t="s">
        <v>4105</v>
      </c>
      <c r="C2152" s="182">
        <f t="shared" si="10"/>
        <v>393.62880000000001</v>
      </c>
      <c r="D2152" s="182">
        <v>50080</v>
      </c>
      <c r="E2152" s="182">
        <v>1075.4000000000001</v>
      </c>
      <c r="F2152" s="182">
        <v>458</v>
      </c>
      <c r="G2152" s="182">
        <v>20</v>
      </c>
      <c r="H2152" s="182">
        <v>31</v>
      </c>
      <c r="I2152" s="182"/>
      <c r="J2152" s="182">
        <v>35</v>
      </c>
      <c r="K2152" s="182">
        <f t="shared" si="9"/>
        <v>7.387096774193548</v>
      </c>
      <c r="L2152" s="182">
        <f t="shared" si="11"/>
        <v>47.17</v>
      </c>
      <c r="M2152" s="182">
        <v>9831000000</v>
      </c>
      <c r="N2152" s="182">
        <v>20670000</v>
      </c>
      <c r="O2152" s="182">
        <v>18280000</v>
      </c>
      <c r="P2152" s="182">
        <v>443</v>
      </c>
      <c r="Q2152" s="182">
        <v>479500000</v>
      </c>
      <c r="R2152" s="182">
        <v>3308000</v>
      </c>
      <c r="S2152" s="182">
        <v>2094000</v>
      </c>
      <c r="T2152" s="182">
        <v>97.8</v>
      </c>
      <c r="U2152" s="182">
        <v>15980000</v>
      </c>
      <c r="V2152" s="182">
        <v>122000000000000</v>
      </c>
    </row>
    <row r="2153" spans="1:22">
      <c r="A2153" s="174" t="s">
        <v>4106</v>
      </c>
      <c r="B2153" s="174" t="s">
        <v>4106</v>
      </c>
      <c r="C2153" s="182">
        <f t="shared" si="10"/>
        <v>408.01260000000002</v>
      </c>
      <c r="D2153" s="182">
        <v>51910</v>
      </c>
      <c r="E2153" s="182">
        <v>1079.4000000000001</v>
      </c>
      <c r="F2153" s="182">
        <v>458</v>
      </c>
      <c r="G2153" s="182">
        <v>20</v>
      </c>
      <c r="H2153" s="182">
        <v>33</v>
      </c>
      <c r="I2153" s="182"/>
      <c r="J2153" s="182">
        <v>35</v>
      </c>
      <c r="K2153" s="182">
        <f t="shared" si="9"/>
        <v>6.9393939393939394</v>
      </c>
      <c r="L2153" s="182">
        <f t="shared" si="11"/>
        <v>47.17</v>
      </c>
      <c r="M2153" s="182">
        <v>10360000000</v>
      </c>
      <c r="N2153" s="182">
        <v>21650000</v>
      </c>
      <c r="O2153" s="182">
        <v>19200000</v>
      </c>
      <c r="P2153" s="182">
        <v>446.8</v>
      </c>
      <c r="Q2153" s="182">
        <v>511500000</v>
      </c>
      <c r="R2153" s="182">
        <v>3517000</v>
      </c>
      <c r="S2153" s="182">
        <v>2234000</v>
      </c>
      <c r="T2153" s="182">
        <v>99.3</v>
      </c>
      <c r="U2153" s="182">
        <v>17500000</v>
      </c>
      <c r="V2153" s="182">
        <v>131200000000000</v>
      </c>
    </row>
    <row r="2154" spans="1:22">
      <c r="A2154" s="174" t="s">
        <v>4107</v>
      </c>
      <c r="B2154" s="174" t="s">
        <v>4107</v>
      </c>
      <c r="C2154" s="182">
        <f t="shared" si="10"/>
        <v>430.96379999999999</v>
      </c>
      <c r="D2154" s="182">
        <v>54829.999999999993</v>
      </c>
      <c r="E2154" s="182">
        <v>1083.4000000000001</v>
      </c>
      <c r="F2154" s="182">
        <v>459</v>
      </c>
      <c r="G2154" s="182">
        <v>21</v>
      </c>
      <c r="H2154" s="182">
        <v>35</v>
      </c>
      <c r="I2154" s="182"/>
      <c r="J2154" s="182">
        <v>35</v>
      </c>
      <c r="K2154" s="182">
        <f t="shared" si="9"/>
        <v>6.5571428571428569</v>
      </c>
      <c r="L2154" s="182">
        <f t="shared" si="11"/>
        <v>44.923809523809531</v>
      </c>
      <c r="M2154" s="182">
        <v>11000000000</v>
      </c>
      <c r="N2154" s="182">
        <v>22940000</v>
      </c>
      <c r="O2154" s="182">
        <v>20310000</v>
      </c>
      <c r="P2154" s="182">
        <v>448</v>
      </c>
      <c r="Q2154" s="182">
        <v>547300000</v>
      </c>
      <c r="R2154" s="182">
        <v>3784000</v>
      </c>
      <c r="S2154" s="182">
        <v>2385000</v>
      </c>
      <c r="T2154" s="182">
        <v>99.9</v>
      </c>
      <c r="U2154" s="182">
        <v>20510000</v>
      </c>
      <c r="V2154" s="182">
        <v>141300000000000</v>
      </c>
    </row>
    <row r="2155" spans="1:22">
      <c r="A2155" s="174" t="s">
        <v>4108</v>
      </c>
      <c r="B2155" s="174" t="s">
        <v>4108</v>
      </c>
      <c r="C2155" s="182">
        <f t="shared" si="10"/>
        <v>453.91500000000002</v>
      </c>
      <c r="D2155" s="182">
        <v>57750</v>
      </c>
      <c r="E2155" s="182">
        <v>1087.4000000000001</v>
      </c>
      <c r="F2155" s="182">
        <v>460</v>
      </c>
      <c r="G2155" s="182">
        <v>22</v>
      </c>
      <c r="H2155" s="182">
        <v>37</v>
      </c>
      <c r="I2155" s="182"/>
      <c r="J2155" s="182">
        <v>35</v>
      </c>
      <c r="K2155" s="182">
        <f t="shared" si="9"/>
        <v>6.2162162162162158</v>
      </c>
      <c r="L2155" s="182">
        <f t="shared" si="11"/>
        <v>42.881818181818183</v>
      </c>
      <c r="M2155" s="182">
        <v>11650000000</v>
      </c>
      <c r="N2155" s="182">
        <v>24230000</v>
      </c>
      <c r="O2155" s="182">
        <v>21430000</v>
      </c>
      <c r="P2155" s="182">
        <v>449.20000000000005</v>
      </c>
      <c r="Q2155" s="182">
        <v>583500000</v>
      </c>
      <c r="R2155" s="182">
        <v>3993000</v>
      </c>
      <c r="S2155" s="182">
        <v>2537000</v>
      </c>
      <c r="T2155" s="182">
        <v>100.5</v>
      </c>
      <c r="U2155" s="182">
        <v>23840000</v>
      </c>
      <c r="V2155" s="182">
        <v>151700000000000</v>
      </c>
    </row>
    <row r="2156" spans="1:22">
      <c r="A2156" s="174" t="s">
        <v>4109</v>
      </c>
      <c r="B2156" s="174" t="s">
        <v>4109</v>
      </c>
      <c r="C2156" s="182">
        <f t="shared" si="10"/>
        <v>54.234000000000002</v>
      </c>
      <c r="D2156" s="182">
        <v>6900</v>
      </c>
      <c r="E2156" s="182">
        <v>244</v>
      </c>
      <c r="F2156" s="182">
        <v>260</v>
      </c>
      <c r="G2156" s="182">
        <v>6.5</v>
      </c>
      <c r="H2156" s="182">
        <v>9.5</v>
      </c>
      <c r="I2156" s="182"/>
      <c r="J2156" s="182">
        <v>24</v>
      </c>
      <c r="K2156" s="182">
        <f t="shared" si="9"/>
        <v>13.684210526315789</v>
      </c>
      <c r="L2156" s="182">
        <f t="shared" si="11"/>
        <v>27.23076923076923</v>
      </c>
      <c r="M2156" s="182">
        <v>79810000</v>
      </c>
      <c r="N2156" s="182">
        <v>714500</v>
      </c>
      <c r="O2156" s="182">
        <v>654100</v>
      </c>
      <c r="P2156" s="182">
        <v>107.6</v>
      </c>
      <c r="Q2156" s="182">
        <v>27880000</v>
      </c>
      <c r="R2156" s="182">
        <v>327700</v>
      </c>
      <c r="S2156" s="182">
        <v>214500</v>
      </c>
      <c r="T2156" s="182">
        <v>63.6</v>
      </c>
      <c r="U2156" s="182">
        <v>300900.49004506471</v>
      </c>
      <c r="V2156" s="182">
        <v>382600000000</v>
      </c>
    </row>
    <row r="2157" spans="1:22">
      <c r="A2157" s="174" t="s">
        <v>4110</v>
      </c>
      <c r="B2157" s="174" t="s">
        <v>4110</v>
      </c>
      <c r="C2157" s="182">
        <f t="shared" si="10"/>
        <v>68.224800000000002</v>
      </c>
      <c r="D2157" s="182">
        <v>8680</v>
      </c>
      <c r="E2157" s="182">
        <v>250</v>
      </c>
      <c r="F2157" s="182">
        <v>260</v>
      </c>
      <c r="G2157" s="182">
        <v>7.5</v>
      </c>
      <c r="H2157" s="182">
        <v>12.5</v>
      </c>
      <c r="I2157" s="182"/>
      <c r="J2157" s="182">
        <v>24</v>
      </c>
      <c r="K2157" s="182">
        <f t="shared" si="9"/>
        <v>10.4</v>
      </c>
      <c r="L2157" s="182">
        <f t="shared" si="11"/>
        <v>23.6</v>
      </c>
      <c r="M2157" s="182">
        <v>104500000</v>
      </c>
      <c r="N2157" s="182">
        <v>919800</v>
      </c>
      <c r="O2157" s="182">
        <v>836400</v>
      </c>
      <c r="P2157" s="182">
        <v>109.7</v>
      </c>
      <c r="Q2157" s="182">
        <v>36680000</v>
      </c>
      <c r="R2157" s="182">
        <v>430200</v>
      </c>
      <c r="S2157" s="182">
        <v>282100</v>
      </c>
      <c r="T2157" s="182">
        <v>65</v>
      </c>
      <c r="U2157" s="182">
        <v>541937.28763577028</v>
      </c>
      <c r="V2157" s="182">
        <v>516400000000</v>
      </c>
    </row>
    <row r="2158" spans="1:22">
      <c r="A2158" s="174" t="s">
        <v>4111</v>
      </c>
      <c r="B2158" s="174" t="s">
        <v>4111</v>
      </c>
      <c r="C2158" s="182">
        <f t="shared" si="10"/>
        <v>93.062400000000011</v>
      </c>
      <c r="D2158" s="182">
        <v>11840</v>
      </c>
      <c r="E2158" s="182">
        <v>260</v>
      </c>
      <c r="F2158" s="182">
        <v>260</v>
      </c>
      <c r="G2158" s="182">
        <v>10</v>
      </c>
      <c r="H2158" s="182">
        <v>17.5</v>
      </c>
      <c r="I2158" s="182"/>
      <c r="J2158" s="182">
        <v>24</v>
      </c>
      <c r="K2158" s="182">
        <f t="shared" si="9"/>
        <v>7.4285714285714288</v>
      </c>
      <c r="L2158" s="182">
        <f t="shared" si="11"/>
        <v>17.7</v>
      </c>
      <c r="M2158" s="182">
        <v>149200000</v>
      </c>
      <c r="N2158" s="182">
        <v>1283000</v>
      </c>
      <c r="O2158" s="182">
        <v>1148000</v>
      </c>
      <c r="P2158" s="182">
        <v>112.2</v>
      </c>
      <c r="Q2158" s="182">
        <v>51350000</v>
      </c>
      <c r="R2158" s="182">
        <v>602200</v>
      </c>
      <c r="S2158" s="182">
        <v>395000</v>
      </c>
      <c r="T2158" s="182">
        <v>65.8</v>
      </c>
      <c r="U2158" s="182">
        <v>1266736.6980434614</v>
      </c>
      <c r="V2158" s="182">
        <v>753700000000</v>
      </c>
    </row>
    <row r="2159" spans="1:22">
      <c r="A2159" s="174" t="s">
        <v>4112</v>
      </c>
      <c r="B2159" s="174" t="s">
        <v>4112</v>
      </c>
      <c r="C2159" s="182">
        <f t="shared" si="10"/>
        <v>114.52019999999999</v>
      </c>
      <c r="D2159" s="182">
        <v>14569.999999999998</v>
      </c>
      <c r="E2159" s="182">
        <v>268</v>
      </c>
      <c r="F2159" s="182">
        <v>262</v>
      </c>
      <c r="G2159" s="182">
        <v>12.5</v>
      </c>
      <c r="H2159" s="182">
        <v>21.5</v>
      </c>
      <c r="I2159" s="182"/>
      <c r="J2159" s="182">
        <v>24</v>
      </c>
      <c r="K2159" s="182">
        <f t="shared" si="9"/>
        <v>6.0930232558139537</v>
      </c>
      <c r="L2159" s="182">
        <f t="shared" si="11"/>
        <v>14.16</v>
      </c>
      <c r="M2159" s="182">
        <v>189100000</v>
      </c>
      <c r="N2159" s="182">
        <v>1600000</v>
      </c>
      <c r="O2159" s="182">
        <v>1411000</v>
      </c>
      <c r="P2159" s="182">
        <v>113.9</v>
      </c>
      <c r="Q2159" s="182">
        <v>64560000</v>
      </c>
      <c r="R2159" s="182">
        <v>752500</v>
      </c>
      <c r="S2159" s="182">
        <v>492800</v>
      </c>
      <c r="T2159" s="182">
        <v>66.599999999999994</v>
      </c>
      <c r="U2159" s="182">
        <v>2245407.7841470623</v>
      </c>
      <c r="V2159" s="182">
        <v>979000000000</v>
      </c>
    </row>
    <row r="2160" spans="1:22">
      <c r="A2160" s="174" t="s">
        <v>4113</v>
      </c>
      <c r="B2160" s="174" t="s">
        <v>4113</v>
      </c>
      <c r="C2160" s="182">
        <f t="shared" si="10"/>
        <v>141.7158</v>
      </c>
      <c r="D2160" s="182">
        <v>18030</v>
      </c>
      <c r="E2160" s="182">
        <v>278</v>
      </c>
      <c r="F2160" s="182">
        <v>265</v>
      </c>
      <c r="G2160" s="182">
        <v>15.5</v>
      </c>
      <c r="H2160" s="182">
        <v>26.5</v>
      </c>
      <c r="I2160" s="182"/>
      <c r="J2160" s="182">
        <v>24</v>
      </c>
      <c r="K2160" s="182">
        <f t="shared" si="9"/>
        <v>5</v>
      </c>
      <c r="L2160" s="182">
        <f t="shared" si="11"/>
        <v>11.419354838709678</v>
      </c>
      <c r="M2160" s="182">
        <v>243300000</v>
      </c>
      <c r="N2160" s="182">
        <v>2015000</v>
      </c>
      <c r="O2160" s="182">
        <v>1750000</v>
      </c>
      <c r="P2160" s="182">
        <v>116.19999999999999</v>
      </c>
      <c r="Q2160" s="182">
        <v>82360000</v>
      </c>
      <c r="R2160" s="182">
        <v>950500</v>
      </c>
      <c r="S2160" s="182">
        <v>621600</v>
      </c>
      <c r="T2160" s="182">
        <v>67.599999999999994</v>
      </c>
      <c r="U2160" s="182">
        <v>4073786.2674765186</v>
      </c>
      <c r="V2160" s="182">
        <v>1300000000000</v>
      </c>
    </row>
    <row r="2161" spans="1:22">
      <c r="A2161" s="174" t="s">
        <v>4114</v>
      </c>
      <c r="B2161" s="174" t="s">
        <v>4114</v>
      </c>
      <c r="C2161" s="182">
        <f t="shared" si="10"/>
        <v>172.60560000000001</v>
      </c>
      <c r="D2161" s="182">
        <v>21960</v>
      </c>
      <c r="E2161" s="182">
        <v>290</v>
      </c>
      <c r="F2161" s="182">
        <v>268</v>
      </c>
      <c r="G2161" s="182">
        <v>18</v>
      </c>
      <c r="H2161" s="182">
        <v>32.5</v>
      </c>
      <c r="I2161" s="182"/>
      <c r="J2161" s="182">
        <v>24</v>
      </c>
      <c r="K2161" s="182">
        <f t="shared" si="9"/>
        <v>4.1230769230769226</v>
      </c>
      <c r="L2161" s="182">
        <f t="shared" si="11"/>
        <v>9.8333333333333339</v>
      </c>
      <c r="M2161" s="182">
        <v>313100000</v>
      </c>
      <c r="N2161" s="182">
        <v>2524000</v>
      </c>
      <c r="O2161" s="182">
        <v>2159000</v>
      </c>
      <c r="P2161" s="182">
        <v>119.39999999999999</v>
      </c>
      <c r="Q2161" s="182">
        <v>104500000</v>
      </c>
      <c r="R2161" s="182">
        <v>1192000</v>
      </c>
      <c r="S2161" s="182">
        <v>779700</v>
      </c>
      <c r="T2161" s="182">
        <v>69</v>
      </c>
      <c r="U2161" s="182">
        <v>7201867.4914876465</v>
      </c>
      <c r="V2161" s="182">
        <v>1728000000000</v>
      </c>
    </row>
    <row r="2162" spans="1:22">
      <c r="A2162" s="174" t="s">
        <v>4115</v>
      </c>
      <c r="B2162" s="174" t="s">
        <v>4115</v>
      </c>
      <c r="C2162" s="182">
        <f t="shared" si="10"/>
        <v>225.26760000000004</v>
      </c>
      <c r="D2162" s="182">
        <v>28660.000000000004</v>
      </c>
      <c r="E2162" s="182">
        <v>309</v>
      </c>
      <c r="F2162" s="182">
        <v>271</v>
      </c>
      <c r="G2162" s="182">
        <v>24</v>
      </c>
      <c r="H2162" s="182">
        <v>42</v>
      </c>
      <c r="I2162" s="182"/>
      <c r="J2162" s="182">
        <v>24</v>
      </c>
      <c r="K2162" s="182">
        <f t="shared" si="9"/>
        <v>3.2261904761904763</v>
      </c>
      <c r="L2162" s="182">
        <f t="shared" si="11"/>
        <v>7.375</v>
      </c>
      <c r="M2162" s="182">
        <v>437500000</v>
      </c>
      <c r="N2162" s="182">
        <v>3396000</v>
      </c>
      <c r="O2162" s="182">
        <v>2832000</v>
      </c>
      <c r="P2162" s="182">
        <v>123.6</v>
      </c>
      <c r="Q2162" s="182">
        <v>139700000</v>
      </c>
      <c r="R2162" s="182">
        <v>1583000</v>
      </c>
      <c r="S2162" s="182">
        <v>1031000</v>
      </c>
      <c r="T2162" s="182">
        <v>69.800000000000011</v>
      </c>
      <c r="U2162" s="182">
        <v>15330122.707618168</v>
      </c>
      <c r="V2162" s="182">
        <v>2483000000000</v>
      </c>
    </row>
    <row r="2163" spans="1:22">
      <c r="A2163" s="174" t="s">
        <v>4116</v>
      </c>
      <c r="B2163" s="174" t="s">
        <v>4116</v>
      </c>
      <c r="C2163" s="182">
        <f t="shared" si="10"/>
        <v>299.07300000000004</v>
      </c>
      <c r="D2163" s="182">
        <v>38050</v>
      </c>
      <c r="E2163" s="182">
        <v>335</v>
      </c>
      <c r="F2163" s="182">
        <v>278</v>
      </c>
      <c r="G2163" s="182">
        <v>31</v>
      </c>
      <c r="H2163" s="182">
        <v>55</v>
      </c>
      <c r="I2163" s="182"/>
      <c r="J2163" s="182">
        <v>24</v>
      </c>
      <c r="K2163" s="182">
        <f t="shared" si="9"/>
        <v>2.5272727272727273</v>
      </c>
      <c r="L2163" s="182">
        <f t="shared" si="11"/>
        <v>5.709677419354839</v>
      </c>
      <c r="M2163" s="182">
        <v>642200000</v>
      </c>
      <c r="N2163" s="182">
        <v>4727000</v>
      </c>
      <c r="O2163" s="182">
        <v>3834000</v>
      </c>
      <c r="P2163" s="182">
        <v>129.9</v>
      </c>
      <c r="Q2163" s="182">
        <v>197700000</v>
      </c>
      <c r="R2163" s="182">
        <v>2190000</v>
      </c>
      <c r="S2163" s="182">
        <v>1423000</v>
      </c>
      <c r="T2163" s="182">
        <v>72.099999999999994</v>
      </c>
      <c r="U2163" s="182">
        <v>33925586.670638621</v>
      </c>
      <c r="V2163" s="182">
        <v>3860000000000</v>
      </c>
    </row>
    <row r="2164" spans="1:22">
      <c r="A2164" s="174" t="s">
        <v>4117</v>
      </c>
      <c r="B2164" s="174" t="s">
        <v>4117</v>
      </c>
      <c r="C2164" s="182">
        <f t="shared" si="10"/>
        <v>74.35560000000001</v>
      </c>
      <c r="D2164" s="182">
        <v>9460</v>
      </c>
      <c r="E2164" s="182">
        <v>301</v>
      </c>
      <c r="F2164" s="182">
        <v>300</v>
      </c>
      <c r="G2164" s="182">
        <v>8</v>
      </c>
      <c r="H2164" s="182">
        <v>11</v>
      </c>
      <c r="I2164" s="182"/>
      <c r="J2164" s="182">
        <v>27</v>
      </c>
      <c r="K2164" s="182">
        <f t="shared" si="9"/>
        <v>13.636363636363637</v>
      </c>
      <c r="L2164" s="182">
        <f t="shared" si="11"/>
        <v>28.125</v>
      </c>
      <c r="M2164" s="182">
        <v>164500000</v>
      </c>
      <c r="N2164" s="182">
        <v>1196000</v>
      </c>
      <c r="O2164" s="182">
        <v>1093000</v>
      </c>
      <c r="P2164" s="182">
        <v>131.9</v>
      </c>
      <c r="Q2164" s="182">
        <v>49590000</v>
      </c>
      <c r="R2164" s="182">
        <v>505700</v>
      </c>
      <c r="S2164" s="182">
        <v>330600</v>
      </c>
      <c r="T2164" s="182">
        <v>72.400000000000006</v>
      </c>
      <c r="U2164" s="182">
        <v>535856.8731466413</v>
      </c>
      <c r="V2164" s="182">
        <v>1041000000000</v>
      </c>
    </row>
    <row r="2165" spans="1:22">
      <c r="A2165" s="174" t="s">
        <v>4118</v>
      </c>
      <c r="B2165" s="174" t="s">
        <v>4118</v>
      </c>
      <c r="C2165" s="182">
        <f t="shared" si="10"/>
        <v>97.778400000000005</v>
      </c>
      <c r="D2165" s="182">
        <v>12440</v>
      </c>
      <c r="E2165" s="182">
        <v>310</v>
      </c>
      <c r="F2165" s="182">
        <v>300</v>
      </c>
      <c r="G2165" s="182">
        <v>9</v>
      </c>
      <c r="H2165" s="182">
        <v>15.5</v>
      </c>
      <c r="I2165" s="182"/>
      <c r="J2165" s="182">
        <v>27</v>
      </c>
      <c r="K2165" s="182">
        <f t="shared" si="9"/>
        <v>9.67741935483871</v>
      </c>
      <c r="L2165" s="182">
        <f t="shared" si="11"/>
        <v>25</v>
      </c>
      <c r="M2165" s="182">
        <v>229300000</v>
      </c>
      <c r="N2165" s="182">
        <v>1628000</v>
      </c>
      <c r="O2165" s="182">
        <v>1479000</v>
      </c>
      <c r="P2165" s="182">
        <v>135.80000000000001</v>
      </c>
      <c r="Q2165" s="182">
        <v>69850000</v>
      </c>
      <c r="R2165" s="182">
        <v>709700</v>
      </c>
      <c r="S2165" s="182">
        <v>465700</v>
      </c>
      <c r="T2165" s="182">
        <v>74.900000000000006</v>
      </c>
      <c r="U2165" s="182">
        <v>1118640.4232401112</v>
      </c>
      <c r="V2165" s="182">
        <v>1512000000000</v>
      </c>
    </row>
    <row r="2166" spans="1:22">
      <c r="A2166" s="174" t="s">
        <v>4119</v>
      </c>
      <c r="B2166" s="174" t="s">
        <v>4119</v>
      </c>
      <c r="C2166" s="182">
        <f t="shared" si="10"/>
        <v>126.78180000000002</v>
      </c>
      <c r="D2166" s="182">
        <v>16130.000000000002</v>
      </c>
      <c r="E2166" s="182">
        <v>320</v>
      </c>
      <c r="F2166" s="182">
        <v>300</v>
      </c>
      <c r="G2166" s="182">
        <v>11.5</v>
      </c>
      <c r="H2166" s="182">
        <v>20.5</v>
      </c>
      <c r="I2166" s="182"/>
      <c r="J2166" s="182">
        <v>27</v>
      </c>
      <c r="K2166" s="182">
        <f t="shared" si="9"/>
        <v>7.3170731707317076</v>
      </c>
      <c r="L2166" s="182">
        <f t="shared" si="11"/>
        <v>19.565217391304348</v>
      </c>
      <c r="M2166" s="182">
        <v>308200000</v>
      </c>
      <c r="N2166" s="182">
        <v>2149000</v>
      </c>
      <c r="O2166" s="182">
        <v>1926000</v>
      </c>
      <c r="P2166" s="182">
        <v>138.19999999999999</v>
      </c>
      <c r="Q2166" s="182">
        <v>92390000</v>
      </c>
      <c r="R2166" s="182">
        <v>939100</v>
      </c>
      <c r="S2166" s="182">
        <v>615900</v>
      </c>
      <c r="T2166" s="182">
        <v>75.7</v>
      </c>
      <c r="U2166" s="182">
        <v>2304528.4774247166</v>
      </c>
      <c r="V2166" s="182">
        <v>2069000000000</v>
      </c>
    </row>
    <row r="2167" spans="1:22">
      <c r="A2167" s="174" t="s">
        <v>4120</v>
      </c>
      <c r="B2167" s="174" t="s">
        <v>4120</v>
      </c>
      <c r="C2167" s="182">
        <f t="shared" si="10"/>
        <v>158.14320000000001</v>
      </c>
      <c r="D2167" s="182">
        <v>20120</v>
      </c>
      <c r="E2167" s="182">
        <v>330</v>
      </c>
      <c r="F2167" s="182">
        <v>303</v>
      </c>
      <c r="G2167" s="182">
        <v>14.5</v>
      </c>
      <c r="H2167" s="182">
        <v>25.5</v>
      </c>
      <c r="I2167" s="182"/>
      <c r="J2167" s="182">
        <v>27</v>
      </c>
      <c r="K2167" s="182">
        <f t="shared" si="9"/>
        <v>5.9411764705882355</v>
      </c>
      <c r="L2167" s="182">
        <f t="shared" si="11"/>
        <v>15.517241379310345</v>
      </c>
      <c r="M2167" s="182">
        <v>396400000</v>
      </c>
      <c r="N2167" s="182">
        <v>2718000</v>
      </c>
      <c r="O2167" s="182">
        <v>2403000</v>
      </c>
      <c r="P2167" s="182">
        <v>140.39999999999998</v>
      </c>
      <c r="Q2167" s="182">
        <v>118400000</v>
      </c>
      <c r="R2167" s="182">
        <v>1194000</v>
      </c>
      <c r="S2167" s="182">
        <v>781700</v>
      </c>
      <c r="T2167" s="182">
        <v>76.7</v>
      </c>
      <c r="U2167" s="182">
        <v>4249878.828659365</v>
      </c>
      <c r="V2167" s="182">
        <v>2741000000000</v>
      </c>
    </row>
    <row r="2168" spans="1:22">
      <c r="A2168" s="174" t="s">
        <v>4121</v>
      </c>
      <c r="B2168" s="174" t="s">
        <v>4121</v>
      </c>
      <c r="C2168" s="182">
        <f t="shared" si="10"/>
        <v>198.30780000000001</v>
      </c>
      <c r="D2168" s="182">
        <v>25230</v>
      </c>
      <c r="E2168" s="182">
        <v>343</v>
      </c>
      <c r="F2168" s="182">
        <v>306</v>
      </c>
      <c r="G2168" s="182">
        <v>18</v>
      </c>
      <c r="H2168" s="182">
        <v>32</v>
      </c>
      <c r="I2168" s="182"/>
      <c r="J2168" s="182">
        <v>27</v>
      </c>
      <c r="K2168" s="182">
        <f t="shared" si="9"/>
        <v>4.78125</v>
      </c>
      <c r="L2168" s="182">
        <f t="shared" si="11"/>
        <v>12.5</v>
      </c>
      <c r="M2168" s="182">
        <v>519000000</v>
      </c>
      <c r="N2168" s="182">
        <v>3479000</v>
      </c>
      <c r="O2168" s="182">
        <v>3026000</v>
      </c>
      <c r="P2168" s="182">
        <v>143.4</v>
      </c>
      <c r="Q2168" s="182">
        <v>153100000</v>
      </c>
      <c r="R2168" s="182">
        <v>1530000</v>
      </c>
      <c r="S2168" s="182">
        <v>1001000</v>
      </c>
      <c r="T2168" s="182">
        <v>77.900000000000006</v>
      </c>
      <c r="U2168" s="182">
        <v>8085591.0342225283</v>
      </c>
      <c r="V2168" s="182">
        <v>3695000000000</v>
      </c>
    </row>
    <row r="2169" spans="1:22">
      <c r="A2169" s="174" t="s">
        <v>4122</v>
      </c>
      <c r="B2169" s="174" t="s">
        <v>4122</v>
      </c>
      <c r="C2169" s="182">
        <f t="shared" si="10"/>
        <v>245.23200000000003</v>
      </c>
      <c r="D2169" s="182">
        <v>31200</v>
      </c>
      <c r="E2169" s="182">
        <v>359</v>
      </c>
      <c r="F2169" s="182">
        <v>309</v>
      </c>
      <c r="G2169" s="182">
        <v>21</v>
      </c>
      <c r="H2169" s="182">
        <v>40</v>
      </c>
      <c r="I2169" s="182"/>
      <c r="J2169" s="182">
        <v>27</v>
      </c>
      <c r="K2169" s="182">
        <f t="shared" si="9"/>
        <v>3.8624999999999998</v>
      </c>
      <c r="L2169" s="182">
        <f t="shared" si="11"/>
        <v>10.714285714285714</v>
      </c>
      <c r="M2169" s="182">
        <v>681300000</v>
      </c>
      <c r="N2169" s="182">
        <v>4435000</v>
      </c>
      <c r="O2169" s="182">
        <v>3796000</v>
      </c>
      <c r="P2169" s="182">
        <v>147.79999999999998</v>
      </c>
      <c r="Q2169" s="182">
        <v>197100000</v>
      </c>
      <c r="R2169" s="182">
        <v>1951000</v>
      </c>
      <c r="S2169" s="182">
        <v>1276000</v>
      </c>
      <c r="T2169" s="182">
        <v>79.5</v>
      </c>
      <c r="U2169" s="182">
        <v>15060154.466937082</v>
      </c>
      <c r="V2169" s="182">
        <v>5004000000000</v>
      </c>
    </row>
    <row r="2170" spans="1:22">
      <c r="A2170" s="174" t="s">
        <v>4123</v>
      </c>
      <c r="B2170" s="174" t="s">
        <v>4123</v>
      </c>
      <c r="C2170" s="182">
        <f t="shared" si="10"/>
        <v>300.3306</v>
      </c>
      <c r="D2170" s="182">
        <v>38210</v>
      </c>
      <c r="E2170" s="182">
        <v>375</v>
      </c>
      <c r="F2170" s="182">
        <v>313</v>
      </c>
      <c r="G2170" s="182">
        <v>27</v>
      </c>
      <c r="H2170" s="182">
        <v>48</v>
      </c>
      <c r="I2170" s="182"/>
      <c r="J2170" s="182">
        <v>27</v>
      </c>
      <c r="K2170" s="182">
        <f t="shared" si="9"/>
        <v>3.2604166666666665</v>
      </c>
      <c r="L2170" s="182">
        <f t="shared" si="11"/>
        <v>8.3333333333333339</v>
      </c>
      <c r="M2170" s="182">
        <v>869000000</v>
      </c>
      <c r="N2170" s="182">
        <v>5522000</v>
      </c>
      <c r="O2170" s="182">
        <v>4635000</v>
      </c>
      <c r="P2170" s="182">
        <v>150.80000000000001</v>
      </c>
      <c r="Q2170" s="182">
        <v>246000000</v>
      </c>
      <c r="R2170" s="182">
        <v>2414000</v>
      </c>
      <c r="S2170" s="182">
        <v>1572000</v>
      </c>
      <c r="T2170" s="182">
        <v>80.199999999999989</v>
      </c>
      <c r="U2170" s="182">
        <v>26316207.898362771</v>
      </c>
      <c r="V2170" s="182">
        <v>6558000000000</v>
      </c>
    </row>
    <row r="2171" spans="1:22">
      <c r="A2171" s="174" t="s">
        <v>4124</v>
      </c>
      <c r="B2171" s="174" t="s">
        <v>4124</v>
      </c>
      <c r="C2171" s="182">
        <f t="shared" si="10"/>
        <v>134.0916</v>
      </c>
      <c r="D2171" s="182">
        <v>17060</v>
      </c>
      <c r="E2171" s="182">
        <v>356</v>
      </c>
      <c r="F2171" s="182">
        <v>369</v>
      </c>
      <c r="G2171" s="182">
        <v>11.2</v>
      </c>
      <c r="H2171" s="182">
        <v>18</v>
      </c>
      <c r="I2171" s="182"/>
      <c r="J2171" s="182">
        <v>15</v>
      </c>
      <c r="K2171" s="182">
        <f t="shared" si="9"/>
        <v>10.25</v>
      </c>
      <c r="L2171" s="182">
        <f t="shared" si="11"/>
        <v>25.892857142857146</v>
      </c>
      <c r="M2171" s="182">
        <v>415100000</v>
      </c>
      <c r="N2171" s="182">
        <v>2562000</v>
      </c>
      <c r="O2171" s="182">
        <v>2332000</v>
      </c>
      <c r="P2171" s="182">
        <v>156</v>
      </c>
      <c r="Q2171" s="182">
        <v>150800000</v>
      </c>
      <c r="R2171" s="182">
        <v>1237000</v>
      </c>
      <c r="S2171" s="182">
        <v>817300</v>
      </c>
      <c r="T2171" s="182">
        <v>94</v>
      </c>
      <c r="U2171" s="182">
        <v>1680714.9639879612</v>
      </c>
      <c r="V2171" s="182">
        <v>4305000000000</v>
      </c>
    </row>
    <row r="2172" spans="1:22">
      <c r="A2172" s="174" t="s">
        <v>4125</v>
      </c>
      <c r="B2172" s="174" t="s">
        <v>4125</v>
      </c>
      <c r="C2172" s="182">
        <f t="shared" si="10"/>
        <v>147.68940000000001</v>
      </c>
      <c r="D2172" s="182">
        <v>18790</v>
      </c>
      <c r="E2172" s="182">
        <v>360</v>
      </c>
      <c r="F2172" s="182">
        <v>370</v>
      </c>
      <c r="G2172" s="182">
        <v>12.3</v>
      </c>
      <c r="H2172" s="182">
        <v>19.8</v>
      </c>
      <c r="I2172" s="182"/>
      <c r="J2172" s="182">
        <v>15</v>
      </c>
      <c r="K2172" s="182">
        <f t="shared" si="9"/>
        <v>9.3434343434343425</v>
      </c>
      <c r="L2172" s="182">
        <f t="shared" si="11"/>
        <v>23.609756097560972</v>
      </c>
      <c r="M2172" s="182">
        <v>462900000</v>
      </c>
      <c r="N2172" s="182">
        <v>2838000</v>
      </c>
      <c r="O2172" s="182">
        <v>2572000</v>
      </c>
      <c r="P2172" s="182">
        <v>157</v>
      </c>
      <c r="Q2172" s="182">
        <v>167200000</v>
      </c>
      <c r="R2172" s="182">
        <v>1369000</v>
      </c>
      <c r="S2172" s="182">
        <v>903900</v>
      </c>
      <c r="T2172" s="182">
        <v>94.3</v>
      </c>
      <c r="U2172" s="182">
        <v>2225810.1624007924</v>
      </c>
      <c r="V2172" s="182">
        <v>4836000000000</v>
      </c>
    </row>
    <row r="2173" spans="1:22">
      <c r="A2173" s="174" t="s">
        <v>4126</v>
      </c>
      <c r="B2173" s="174" t="s">
        <v>4126</v>
      </c>
      <c r="C2173" s="182">
        <f t="shared" si="10"/>
        <v>162.15180000000001</v>
      </c>
      <c r="D2173" s="182">
        <v>20630</v>
      </c>
      <c r="E2173" s="182">
        <v>364</v>
      </c>
      <c r="F2173" s="182">
        <v>371</v>
      </c>
      <c r="G2173" s="182">
        <v>13.3</v>
      </c>
      <c r="H2173" s="182">
        <v>21.8</v>
      </c>
      <c r="I2173" s="182"/>
      <c r="J2173" s="182">
        <v>15</v>
      </c>
      <c r="K2173" s="182">
        <f t="shared" si="9"/>
        <v>8.5091743119266052</v>
      </c>
      <c r="L2173" s="182">
        <f t="shared" si="11"/>
        <v>21.834586466165412</v>
      </c>
      <c r="M2173" s="182">
        <v>515400000</v>
      </c>
      <c r="N2173" s="182">
        <v>3139000</v>
      </c>
      <c r="O2173" s="182">
        <v>2832000</v>
      </c>
      <c r="P2173" s="182">
        <v>158.1</v>
      </c>
      <c r="Q2173" s="182">
        <v>185600000</v>
      </c>
      <c r="R2173" s="182">
        <v>1516000</v>
      </c>
      <c r="S2173" s="182">
        <v>1001000</v>
      </c>
      <c r="T2173" s="182">
        <v>94.9</v>
      </c>
      <c r="U2173" s="182">
        <v>2940532.5733655836</v>
      </c>
      <c r="V2173" s="182">
        <v>5432000000000</v>
      </c>
    </row>
    <row r="2174" spans="1:22">
      <c r="A2174" s="174" t="s">
        <v>4127</v>
      </c>
      <c r="B2174" s="174" t="s">
        <v>4127</v>
      </c>
      <c r="C2174" s="182">
        <f t="shared" si="10"/>
        <v>179.44380000000001</v>
      </c>
      <c r="D2174" s="182">
        <v>22830</v>
      </c>
      <c r="E2174" s="182">
        <v>368</v>
      </c>
      <c r="F2174" s="182">
        <v>373</v>
      </c>
      <c r="G2174" s="182">
        <v>15</v>
      </c>
      <c r="H2174" s="182">
        <v>23.9</v>
      </c>
      <c r="I2174" s="182"/>
      <c r="J2174" s="182">
        <v>15</v>
      </c>
      <c r="K2174" s="182">
        <f t="shared" si="9"/>
        <v>7.8033472803347284</v>
      </c>
      <c r="L2174" s="182">
        <f t="shared" si="11"/>
        <v>19.346666666666668</v>
      </c>
      <c r="M2174" s="182">
        <v>574400000</v>
      </c>
      <c r="N2174" s="182">
        <v>3482000</v>
      </c>
      <c r="O2174" s="182">
        <v>3122000</v>
      </c>
      <c r="P2174" s="182">
        <v>158.6</v>
      </c>
      <c r="Q2174" s="182">
        <v>206800000</v>
      </c>
      <c r="R2174" s="182">
        <v>1683000</v>
      </c>
      <c r="S2174" s="182">
        <v>1109000</v>
      </c>
      <c r="T2174" s="182">
        <v>95.199999999999989</v>
      </c>
      <c r="U2174" s="182">
        <v>3909706.7775148442</v>
      </c>
      <c r="V2174" s="182">
        <v>6119000000000</v>
      </c>
    </row>
    <row r="2175" spans="1:22">
      <c r="A2175" s="174" t="s">
        <v>4128</v>
      </c>
      <c r="B2175" s="174" t="s">
        <v>4128</v>
      </c>
      <c r="C2175" s="182">
        <f t="shared" si="10"/>
        <v>196.73580000000001</v>
      </c>
      <c r="D2175" s="182">
        <v>25030</v>
      </c>
      <c r="E2175" s="182">
        <v>372</v>
      </c>
      <c r="F2175" s="182">
        <v>374</v>
      </c>
      <c r="G2175" s="182">
        <v>16.399999999999999</v>
      </c>
      <c r="H2175" s="182">
        <v>26.2</v>
      </c>
      <c r="I2175" s="182"/>
      <c r="J2175" s="182">
        <v>15</v>
      </c>
      <c r="K2175" s="182">
        <f t="shared" si="9"/>
        <v>7.1374045801526718</v>
      </c>
      <c r="L2175" s="182">
        <f t="shared" si="11"/>
        <v>17.658536585365855</v>
      </c>
      <c r="M2175" s="182">
        <v>636300000</v>
      </c>
      <c r="N2175" s="182">
        <v>3837000</v>
      </c>
      <c r="O2175" s="182">
        <v>3421000</v>
      </c>
      <c r="P2175" s="182">
        <v>159.4</v>
      </c>
      <c r="Q2175" s="182">
        <v>228600000</v>
      </c>
      <c r="R2175" s="182">
        <v>1856000</v>
      </c>
      <c r="S2175" s="182">
        <v>1222000</v>
      </c>
      <c r="T2175" s="182">
        <v>95.600000000000009</v>
      </c>
      <c r="U2175" s="182">
        <v>5130190.0578085398</v>
      </c>
      <c r="V2175" s="182">
        <v>6829000000000</v>
      </c>
    </row>
    <row r="2176" spans="1:22">
      <c r="A2176" s="174" t="s">
        <v>4129</v>
      </c>
      <c r="B2176" s="174" t="s">
        <v>4129</v>
      </c>
      <c r="C2176" s="182">
        <f t="shared" si="10"/>
        <v>186.75360000000001</v>
      </c>
      <c r="D2176" s="182">
        <v>23760</v>
      </c>
      <c r="E2176" s="182">
        <v>368</v>
      </c>
      <c r="F2176" s="182">
        <v>391</v>
      </c>
      <c r="G2176" s="182">
        <v>15</v>
      </c>
      <c r="H2176" s="182">
        <v>24</v>
      </c>
      <c r="I2176" s="182"/>
      <c r="J2176" s="182">
        <v>15</v>
      </c>
      <c r="K2176" s="182">
        <f t="shared" si="9"/>
        <v>8.1458333333333339</v>
      </c>
      <c r="L2176" s="182">
        <f t="shared" si="11"/>
        <v>19.333333333333332</v>
      </c>
      <c r="M2176" s="182">
        <v>601800000</v>
      </c>
      <c r="N2176" s="182">
        <v>3642000</v>
      </c>
      <c r="O2176" s="182">
        <v>3271000</v>
      </c>
      <c r="P2176" s="182">
        <v>159.1</v>
      </c>
      <c r="Q2176" s="182">
        <v>239200000</v>
      </c>
      <c r="R2176" s="182">
        <v>1855000</v>
      </c>
      <c r="S2176" s="182">
        <v>1224000</v>
      </c>
      <c r="T2176" s="182">
        <v>100.3</v>
      </c>
      <c r="U2176" s="182">
        <v>4117741.8722861712</v>
      </c>
      <c r="V2176" s="182">
        <v>7074000000000</v>
      </c>
    </row>
    <row r="2177" spans="1:22">
      <c r="A2177" s="174" t="s">
        <v>4130</v>
      </c>
      <c r="B2177" s="174" t="s">
        <v>4130</v>
      </c>
      <c r="C2177" s="182">
        <f t="shared" si="10"/>
        <v>216.54300000000001</v>
      </c>
      <c r="D2177" s="182">
        <v>27550</v>
      </c>
      <c r="E2177" s="182">
        <v>375</v>
      </c>
      <c r="F2177" s="182">
        <v>394</v>
      </c>
      <c r="G2177" s="182">
        <v>17.3</v>
      </c>
      <c r="H2177" s="182">
        <v>27.7</v>
      </c>
      <c r="I2177" s="182"/>
      <c r="J2177" s="182">
        <v>15</v>
      </c>
      <c r="K2177" s="182">
        <f t="shared" si="9"/>
        <v>7.1119133574007218</v>
      </c>
      <c r="L2177" s="182">
        <f t="shared" si="11"/>
        <v>16.739884393063583</v>
      </c>
      <c r="M2177" s="182">
        <v>711400000</v>
      </c>
      <c r="N2177" s="182">
        <v>4262000</v>
      </c>
      <c r="O2177" s="182">
        <v>3794000</v>
      </c>
      <c r="P2177" s="182">
        <v>160.69999999999999</v>
      </c>
      <c r="Q2177" s="182">
        <v>282500000</v>
      </c>
      <c r="R2177" s="182">
        <v>2176000</v>
      </c>
      <c r="S2177" s="182">
        <v>1434000</v>
      </c>
      <c r="T2177" s="182">
        <v>101.30000000000001</v>
      </c>
      <c r="U2177" s="182">
        <v>6323008.5102747725</v>
      </c>
      <c r="V2177" s="182">
        <v>8515000000000</v>
      </c>
    </row>
    <row r="2178" spans="1:22">
      <c r="A2178" s="174" t="s">
        <v>4131</v>
      </c>
      <c r="B2178" s="174" t="s">
        <v>4131</v>
      </c>
      <c r="C2178" s="182">
        <f t="shared" si="10"/>
        <v>236.50739999999999</v>
      </c>
      <c r="D2178" s="182">
        <v>30089.999999999996</v>
      </c>
      <c r="E2178" s="182">
        <v>380</v>
      </c>
      <c r="F2178" s="182">
        <v>395</v>
      </c>
      <c r="G2178" s="182">
        <v>18.899999999999999</v>
      </c>
      <c r="H2178" s="182">
        <v>30.2</v>
      </c>
      <c r="I2178" s="182"/>
      <c r="J2178" s="182">
        <v>15</v>
      </c>
      <c r="K2178" s="182">
        <f t="shared" si="9"/>
        <v>6.5397350993377481</v>
      </c>
      <c r="L2178" s="182">
        <f t="shared" si="11"/>
        <v>15.322751322751325</v>
      </c>
      <c r="M2178" s="182">
        <v>787800000</v>
      </c>
      <c r="N2178" s="182">
        <v>4686000</v>
      </c>
      <c r="O2178" s="182">
        <v>4146000</v>
      </c>
      <c r="P2178" s="182">
        <v>161.80000000000001</v>
      </c>
      <c r="Q2178" s="182">
        <v>310400000</v>
      </c>
      <c r="R2178" s="182">
        <v>2387000</v>
      </c>
      <c r="S2178" s="182">
        <v>1572000</v>
      </c>
      <c r="T2178" s="182">
        <v>101.6</v>
      </c>
      <c r="U2178" s="182">
        <v>8182964.791811917</v>
      </c>
      <c r="V2178" s="182">
        <v>9489000000000</v>
      </c>
    </row>
    <row r="2179" spans="1:22">
      <c r="A2179" s="174" t="s">
        <v>4132</v>
      </c>
      <c r="B2179" s="174" t="s">
        <v>4132</v>
      </c>
      <c r="C2179" s="182">
        <f t="shared" si="10"/>
        <v>262.99560000000002</v>
      </c>
      <c r="D2179" s="182">
        <v>33460</v>
      </c>
      <c r="E2179" s="182">
        <v>387</v>
      </c>
      <c r="F2179" s="182">
        <v>398</v>
      </c>
      <c r="G2179" s="182">
        <v>21.1</v>
      </c>
      <c r="H2179" s="182">
        <v>33.299999999999997</v>
      </c>
      <c r="I2179" s="182"/>
      <c r="J2179" s="182">
        <v>15</v>
      </c>
      <c r="K2179" s="182">
        <f t="shared" si="9"/>
        <v>5.9759759759759765</v>
      </c>
      <c r="L2179" s="182">
        <f t="shared" si="11"/>
        <v>13.763033175355448</v>
      </c>
      <c r="M2179" s="182">
        <v>894100000</v>
      </c>
      <c r="N2179" s="182">
        <v>5260000</v>
      </c>
      <c r="O2179" s="182">
        <v>4620000</v>
      </c>
      <c r="P2179" s="182">
        <v>163.5</v>
      </c>
      <c r="Q2179" s="182">
        <v>350200000</v>
      </c>
      <c r="R2179" s="182">
        <v>2676000</v>
      </c>
      <c r="S2179" s="182">
        <v>1760000</v>
      </c>
      <c r="T2179" s="182">
        <v>102.30000000000001</v>
      </c>
      <c r="U2179" s="182">
        <v>11043510.660872575</v>
      </c>
      <c r="V2179" s="182">
        <v>10940000000000</v>
      </c>
    </row>
    <row r="2180" spans="1:22">
      <c r="A2180" s="174" t="s">
        <v>4133</v>
      </c>
      <c r="B2180" s="174" t="s">
        <v>4133</v>
      </c>
      <c r="C2180" s="182">
        <f t="shared" si="10"/>
        <v>287.91180000000003</v>
      </c>
      <c r="D2180" s="182">
        <v>36630</v>
      </c>
      <c r="E2180" s="182">
        <v>393</v>
      </c>
      <c r="F2180" s="182">
        <v>399</v>
      </c>
      <c r="G2180" s="182">
        <v>22.6</v>
      </c>
      <c r="H2180" s="182">
        <v>36.6</v>
      </c>
      <c r="I2180" s="182"/>
      <c r="J2180" s="182">
        <v>15</v>
      </c>
      <c r="K2180" s="182">
        <f t="shared" si="9"/>
        <v>5.4508196721311473</v>
      </c>
      <c r="L2180" s="182">
        <f t="shared" si="11"/>
        <v>12.823008849557521</v>
      </c>
      <c r="M2180" s="182">
        <v>997100000</v>
      </c>
      <c r="N2180" s="182">
        <v>5813000</v>
      </c>
      <c r="O2180" s="182">
        <v>5074000</v>
      </c>
      <c r="P2180" s="182">
        <v>165</v>
      </c>
      <c r="Q2180" s="182">
        <v>387800000</v>
      </c>
      <c r="R2180" s="182">
        <v>2957000</v>
      </c>
      <c r="S2180" s="182">
        <v>1944000</v>
      </c>
      <c r="T2180" s="182">
        <v>102.89999999999999</v>
      </c>
      <c r="U2180" s="182">
        <v>14493923.588971449</v>
      </c>
      <c r="V2180" s="182">
        <v>12300000000000</v>
      </c>
    </row>
    <row r="2181" spans="1:22">
      <c r="A2181" s="174" t="s">
        <v>4134</v>
      </c>
      <c r="B2181" s="174" t="s">
        <v>4134</v>
      </c>
      <c r="C2181" s="182">
        <f t="shared" si="10"/>
        <v>313.77120000000002</v>
      </c>
      <c r="D2181" s="182">
        <v>39920</v>
      </c>
      <c r="E2181" s="182">
        <v>399</v>
      </c>
      <c r="F2181" s="182">
        <v>401</v>
      </c>
      <c r="G2181" s="182">
        <v>24.9</v>
      </c>
      <c r="H2181" s="182">
        <v>39.6</v>
      </c>
      <c r="I2181" s="182"/>
      <c r="J2181" s="182">
        <v>15</v>
      </c>
      <c r="K2181" s="182">
        <f t="shared" ref="K2181:K2244" si="12">F2181/2/H2181</f>
        <v>5.0631313131313131</v>
      </c>
      <c r="L2181" s="182">
        <f t="shared" si="11"/>
        <v>11.638554216867471</v>
      </c>
      <c r="M2181" s="182">
        <v>1102000000</v>
      </c>
      <c r="N2181" s="182">
        <v>6374000</v>
      </c>
      <c r="O2181" s="182">
        <v>5525000</v>
      </c>
      <c r="P2181" s="182">
        <v>166.20000000000002</v>
      </c>
      <c r="Q2181" s="182">
        <v>426000000</v>
      </c>
      <c r="R2181" s="182">
        <v>3236000</v>
      </c>
      <c r="S2181" s="182">
        <v>2125000</v>
      </c>
      <c r="T2181" s="182">
        <v>103.3</v>
      </c>
      <c r="U2181" s="182">
        <v>18489680.169657152</v>
      </c>
      <c r="V2181" s="182">
        <v>13740000000000</v>
      </c>
    </row>
    <row r="2182" spans="1:22">
      <c r="A2182" s="174" t="s">
        <v>4135</v>
      </c>
      <c r="B2182" s="174" t="s">
        <v>4135</v>
      </c>
      <c r="C2182" s="182">
        <f t="shared" ref="C2182:C2245" si="13">D2182*0.00786</f>
        <v>347.41200000000003</v>
      </c>
      <c r="D2182" s="182">
        <v>44200</v>
      </c>
      <c r="E2182" s="182">
        <v>407</v>
      </c>
      <c r="F2182" s="182">
        <v>404</v>
      </c>
      <c r="G2182" s="182">
        <v>27.2</v>
      </c>
      <c r="H2182" s="182">
        <v>43.7</v>
      </c>
      <c r="I2182" s="182"/>
      <c r="J2182" s="182">
        <v>15</v>
      </c>
      <c r="K2182" s="182">
        <f t="shared" si="12"/>
        <v>4.6224256292906176</v>
      </c>
      <c r="L2182" s="182">
        <f t="shared" ref="L2182:L2245" si="14">(E2182-2*H2182-2*J2182)/G2182</f>
        <v>10.647058823529413</v>
      </c>
      <c r="M2182" s="182">
        <v>1249000000</v>
      </c>
      <c r="N2182" s="182">
        <v>7139000</v>
      </c>
      <c r="O2182" s="182">
        <v>6140000</v>
      </c>
      <c r="P2182" s="182">
        <v>168.1</v>
      </c>
      <c r="Q2182" s="182">
        <v>480900000</v>
      </c>
      <c r="R2182" s="182">
        <v>3629000</v>
      </c>
      <c r="S2182" s="182">
        <v>2380000</v>
      </c>
      <c r="T2182" s="182">
        <v>104.3</v>
      </c>
      <c r="U2182" s="182">
        <v>24804465.028988071</v>
      </c>
      <c r="V2182" s="182">
        <v>15850000000000</v>
      </c>
    </row>
    <row r="2183" spans="1:22">
      <c r="A2183" s="174" t="s">
        <v>4136</v>
      </c>
      <c r="B2183" s="174" t="s">
        <v>4136</v>
      </c>
      <c r="C2183" s="182">
        <f t="shared" si="13"/>
        <v>382.86060000000003</v>
      </c>
      <c r="D2183" s="182">
        <v>48710</v>
      </c>
      <c r="E2183" s="182">
        <v>416</v>
      </c>
      <c r="F2183" s="182">
        <v>406</v>
      </c>
      <c r="G2183" s="182">
        <v>29.8</v>
      </c>
      <c r="H2183" s="182">
        <v>48</v>
      </c>
      <c r="I2183" s="182"/>
      <c r="J2183" s="182">
        <v>15</v>
      </c>
      <c r="K2183" s="182">
        <f t="shared" si="12"/>
        <v>4.229166666666667</v>
      </c>
      <c r="L2183" s="182">
        <f t="shared" si="14"/>
        <v>9.7315436241610733</v>
      </c>
      <c r="M2183" s="182">
        <v>1413000000</v>
      </c>
      <c r="N2183" s="182">
        <v>7965000</v>
      </c>
      <c r="O2183" s="182">
        <v>6794000</v>
      </c>
      <c r="P2183" s="182">
        <v>170.3</v>
      </c>
      <c r="Q2183" s="182">
        <v>536200000</v>
      </c>
      <c r="R2183" s="182">
        <v>4031000</v>
      </c>
      <c r="S2183" s="182">
        <v>2641000</v>
      </c>
      <c r="T2183" s="182">
        <v>104.9</v>
      </c>
      <c r="U2183" s="182">
        <v>32838258.971282445</v>
      </c>
      <c r="V2183" s="182">
        <v>18130000000000</v>
      </c>
    </row>
    <row r="2184" spans="1:22">
      <c r="A2184" s="174" t="s">
        <v>4137</v>
      </c>
      <c r="B2184" s="174" t="s">
        <v>4137</v>
      </c>
      <c r="C2184" s="182">
        <f t="shared" si="13"/>
        <v>422.16060000000004</v>
      </c>
      <c r="D2184" s="182">
        <v>53710</v>
      </c>
      <c r="E2184" s="182">
        <v>425</v>
      </c>
      <c r="F2184" s="182">
        <v>409</v>
      </c>
      <c r="G2184" s="182">
        <v>32.799999999999997</v>
      </c>
      <c r="H2184" s="182">
        <v>52.6</v>
      </c>
      <c r="I2184" s="182"/>
      <c r="J2184" s="182">
        <v>15</v>
      </c>
      <c r="K2184" s="182">
        <f t="shared" si="12"/>
        <v>3.8878326996197718</v>
      </c>
      <c r="L2184" s="182">
        <f t="shared" si="14"/>
        <v>8.8353658536585371</v>
      </c>
      <c r="M2184" s="182">
        <v>1596000000</v>
      </c>
      <c r="N2184" s="182">
        <v>8880000</v>
      </c>
      <c r="O2184" s="182">
        <v>7510000</v>
      </c>
      <c r="P2184" s="182">
        <v>172.39999999999998</v>
      </c>
      <c r="Q2184" s="182">
        <v>600800000</v>
      </c>
      <c r="R2184" s="182">
        <v>4489000</v>
      </c>
      <c r="S2184" s="182">
        <v>2938000</v>
      </c>
      <c r="T2184" s="182">
        <v>105.8</v>
      </c>
      <c r="U2184" s="182">
        <v>43368092.627988063</v>
      </c>
      <c r="V2184" s="182">
        <v>20800000000000</v>
      </c>
    </row>
    <row r="2185" spans="1:22">
      <c r="A2185" s="174" t="s">
        <v>4138</v>
      </c>
      <c r="B2185" s="174" t="s">
        <v>4138</v>
      </c>
      <c r="C2185" s="182">
        <f t="shared" si="13"/>
        <v>463.34700000000004</v>
      </c>
      <c r="D2185" s="182">
        <v>58950</v>
      </c>
      <c r="E2185" s="182">
        <v>435</v>
      </c>
      <c r="F2185" s="182">
        <v>412</v>
      </c>
      <c r="G2185" s="182">
        <v>35.799999999999997</v>
      </c>
      <c r="H2185" s="182">
        <v>57.4</v>
      </c>
      <c r="I2185" s="182"/>
      <c r="J2185" s="182">
        <v>15</v>
      </c>
      <c r="K2185" s="182">
        <f t="shared" si="12"/>
        <v>3.5888501742160281</v>
      </c>
      <c r="L2185" s="182">
        <f t="shared" si="14"/>
        <v>8.106145251396649</v>
      </c>
      <c r="M2185" s="182">
        <v>1802000000</v>
      </c>
      <c r="N2185" s="182">
        <v>9878000</v>
      </c>
      <c r="O2185" s="182">
        <v>8283000</v>
      </c>
      <c r="P2185" s="182">
        <v>174.8</v>
      </c>
      <c r="Q2185" s="182">
        <v>670400000</v>
      </c>
      <c r="R2185" s="182">
        <v>4978000</v>
      </c>
      <c r="S2185" s="182">
        <v>3254000</v>
      </c>
      <c r="T2185" s="182">
        <v>106.6</v>
      </c>
      <c r="U2185" s="182">
        <v>56483739.450109169</v>
      </c>
      <c r="V2185" s="182">
        <v>23850000000000</v>
      </c>
    </row>
    <row r="2186" spans="1:22">
      <c r="A2186" s="174" t="s">
        <v>4139</v>
      </c>
      <c r="B2186" s="174" t="s">
        <v>4139</v>
      </c>
      <c r="C2186" s="182">
        <f t="shared" si="13"/>
        <v>510.11400000000003</v>
      </c>
      <c r="D2186" s="182">
        <v>64900</v>
      </c>
      <c r="E2186" s="182">
        <v>446</v>
      </c>
      <c r="F2186" s="182">
        <v>416</v>
      </c>
      <c r="G2186" s="182">
        <v>39.1</v>
      </c>
      <c r="H2186" s="182">
        <v>62.7</v>
      </c>
      <c r="I2186" s="182"/>
      <c r="J2186" s="182">
        <v>15</v>
      </c>
      <c r="K2186" s="182">
        <f t="shared" si="12"/>
        <v>3.3173843700159487</v>
      </c>
      <c r="L2186" s="182">
        <f t="shared" si="14"/>
        <v>7.4322250639386196</v>
      </c>
      <c r="M2186" s="182">
        <v>2045000000</v>
      </c>
      <c r="N2186" s="182">
        <v>11030000</v>
      </c>
      <c r="O2186" s="182">
        <v>9172000</v>
      </c>
      <c r="P2186" s="182">
        <v>177.5</v>
      </c>
      <c r="Q2186" s="182">
        <v>754000000</v>
      </c>
      <c r="R2186" s="182">
        <v>5552000</v>
      </c>
      <c r="S2186" s="182">
        <v>3625000</v>
      </c>
      <c r="T2186" s="182">
        <v>107.8</v>
      </c>
      <c r="U2186" s="182">
        <v>73918619.013751209</v>
      </c>
      <c r="V2186" s="182">
        <v>27630000000000</v>
      </c>
    </row>
    <row r="2187" spans="1:22">
      <c r="A2187" s="174" t="s">
        <v>4140</v>
      </c>
      <c r="B2187" s="174" t="s">
        <v>4140</v>
      </c>
      <c r="C2187" s="182">
        <f t="shared" si="13"/>
        <v>551.30040000000008</v>
      </c>
      <c r="D2187" s="182">
        <v>70140</v>
      </c>
      <c r="E2187" s="182">
        <v>455</v>
      </c>
      <c r="F2187" s="182">
        <v>418</v>
      </c>
      <c r="G2187" s="182">
        <v>42</v>
      </c>
      <c r="H2187" s="182">
        <v>67.599999999999994</v>
      </c>
      <c r="I2187" s="182"/>
      <c r="J2187" s="182">
        <v>15</v>
      </c>
      <c r="K2187" s="182">
        <f t="shared" si="12"/>
        <v>3.0917159763313613</v>
      </c>
      <c r="L2187" s="182">
        <f t="shared" si="14"/>
        <v>6.9</v>
      </c>
      <c r="M2187" s="182">
        <v>2261000000</v>
      </c>
      <c r="N2187" s="182">
        <v>12050000</v>
      </c>
      <c r="O2187" s="182">
        <v>9939000</v>
      </c>
      <c r="P2187" s="182">
        <v>179.5</v>
      </c>
      <c r="Q2187" s="182">
        <v>824900000</v>
      </c>
      <c r="R2187" s="182">
        <v>6051000</v>
      </c>
      <c r="S2187" s="182">
        <v>3947000</v>
      </c>
      <c r="T2187" s="182">
        <v>108.5</v>
      </c>
      <c r="U2187" s="182">
        <v>92493493.703172728</v>
      </c>
      <c r="V2187" s="182">
        <v>30870000000000</v>
      </c>
    </row>
    <row r="2188" spans="1:22">
      <c r="A2188" s="174" t="s">
        <v>4141</v>
      </c>
      <c r="B2188" s="174" t="s">
        <v>4141</v>
      </c>
      <c r="C2188" s="182">
        <f t="shared" si="13"/>
        <v>593.35140000000001</v>
      </c>
      <c r="D2188" s="182">
        <v>75490</v>
      </c>
      <c r="E2188" s="182">
        <v>465</v>
      </c>
      <c r="F2188" s="182">
        <v>421</v>
      </c>
      <c r="G2188" s="182">
        <v>45</v>
      </c>
      <c r="H2188" s="182">
        <v>72.3</v>
      </c>
      <c r="I2188" s="182"/>
      <c r="J2188" s="182">
        <v>15</v>
      </c>
      <c r="K2188" s="182">
        <f t="shared" si="12"/>
        <v>2.9114799446749657</v>
      </c>
      <c r="L2188" s="182">
        <f t="shared" si="14"/>
        <v>6.4533333333333331</v>
      </c>
      <c r="M2188" s="182">
        <v>2502000000</v>
      </c>
      <c r="N2188" s="182">
        <v>13140000</v>
      </c>
      <c r="O2188" s="182">
        <v>10760000</v>
      </c>
      <c r="P2188" s="182">
        <v>182</v>
      </c>
      <c r="Q2188" s="182">
        <v>901700000</v>
      </c>
      <c r="R2188" s="182">
        <v>6574000</v>
      </c>
      <c r="S2188" s="182">
        <v>4284000</v>
      </c>
      <c r="T2188" s="182">
        <v>109.3</v>
      </c>
      <c r="U2188" s="182">
        <v>113542436.45845619</v>
      </c>
      <c r="V2188" s="182">
        <v>34670000000000</v>
      </c>
    </row>
    <row r="2189" spans="1:22">
      <c r="A2189" s="174" t="s">
        <v>4142</v>
      </c>
      <c r="B2189" s="174" t="s">
        <v>4142</v>
      </c>
      <c r="C2189" s="182">
        <f t="shared" si="13"/>
        <v>635.08800000000008</v>
      </c>
      <c r="D2189" s="182">
        <v>80800</v>
      </c>
      <c r="E2189" s="182">
        <v>474</v>
      </c>
      <c r="F2189" s="182">
        <v>424</v>
      </c>
      <c r="G2189" s="182">
        <v>47.6</v>
      </c>
      <c r="H2189" s="182">
        <v>77.099999999999994</v>
      </c>
      <c r="I2189" s="182"/>
      <c r="J2189" s="182">
        <v>15</v>
      </c>
      <c r="K2189" s="182">
        <f t="shared" si="12"/>
        <v>2.7496757457846952</v>
      </c>
      <c r="L2189" s="182">
        <f t="shared" si="14"/>
        <v>6.0882352941176467</v>
      </c>
      <c r="M2189" s="182">
        <v>2742000000</v>
      </c>
      <c r="N2189" s="182">
        <v>14220000</v>
      </c>
      <c r="O2189" s="182">
        <v>11570000</v>
      </c>
      <c r="P2189" s="182">
        <v>184.20000000000002</v>
      </c>
      <c r="Q2189" s="182">
        <v>982500000</v>
      </c>
      <c r="R2189" s="182">
        <v>7117000</v>
      </c>
      <c r="S2189" s="182">
        <v>4634000</v>
      </c>
      <c r="T2189" s="182">
        <v>110.3</v>
      </c>
      <c r="U2189" s="182">
        <v>137586044.34799197</v>
      </c>
      <c r="V2189" s="182">
        <v>38570000000000</v>
      </c>
    </row>
    <row r="2190" spans="1:22">
      <c r="A2190" s="174" t="s">
        <v>4143</v>
      </c>
      <c r="B2190" s="174" t="s">
        <v>4143</v>
      </c>
      <c r="C2190" s="182">
        <f t="shared" si="13"/>
        <v>678.63240000000008</v>
      </c>
      <c r="D2190" s="182">
        <v>86340</v>
      </c>
      <c r="E2190" s="182">
        <v>483</v>
      </c>
      <c r="F2190" s="182">
        <v>428</v>
      </c>
      <c r="G2190" s="182">
        <v>51.2</v>
      </c>
      <c r="H2190" s="182">
        <v>81.5</v>
      </c>
      <c r="I2190" s="182"/>
      <c r="J2190" s="182">
        <v>15</v>
      </c>
      <c r="K2190" s="182">
        <f t="shared" si="12"/>
        <v>2.6257668711656441</v>
      </c>
      <c r="L2190" s="182">
        <f t="shared" si="14"/>
        <v>5.6640625</v>
      </c>
      <c r="M2190" s="182">
        <v>2995000000</v>
      </c>
      <c r="N2190" s="182">
        <v>15350000</v>
      </c>
      <c r="O2190" s="182">
        <v>12400000</v>
      </c>
      <c r="P2190" s="182">
        <v>186.20000000000002</v>
      </c>
      <c r="Q2190" s="182">
        <v>1069000000</v>
      </c>
      <c r="R2190" s="182">
        <v>7680000</v>
      </c>
      <c r="S2190" s="182">
        <v>4994000</v>
      </c>
      <c r="T2190" s="182">
        <v>111.30000000000001</v>
      </c>
      <c r="U2190" s="182">
        <v>164479017.97269261</v>
      </c>
      <c r="V2190" s="182">
        <v>42920000000000</v>
      </c>
    </row>
    <row r="2191" spans="1:22">
      <c r="A2191" s="174" t="s">
        <v>4144</v>
      </c>
      <c r="B2191" s="174" t="s">
        <v>4144</v>
      </c>
      <c r="C2191" s="182">
        <f t="shared" si="13"/>
        <v>745.20660000000009</v>
      </c>
      <c r="D2191" s="182">
        <v>94810</v>
      </c>
      <c r="E2191" s="182">
        <v>498</v>
      </c>
      <c r="F2191" s="182">
        <v>432</v>
      </c>
      <c r="G2191" s="182">
        <v>55.6</v>
      </c>
      <c r="H2191" s="182">
        <v>88.9</v>
      </c>
      <c r="I2191" s="182"/>
      <c r="J2191" s="182">
        <v>15</v>
      </c>
      <c r="K2191" s="182">
        <f t="shared" si="12"/>
        <v>2.4296962879640045</v>
      </c>
      <c r="L2191" s="182">
        <f t="shared" si="14"/>
        <v>5.2194244604316546</v>
      </c>
      <c r="M2191" s="182">
        <v>3421000000</v>
      </c>
      <c r="N2191" s="182">
        <v>17170000</v>
      </c>
      <c r="O2191" s="182">
        <v>13740000</v>
      </c>
      <c r="P2191" s="182">
        <v>190</v>
      </c>
      <c r="Q2191" s="182">
        <v>1199000000</v>
      </c>
      <c r="R2191" s="182">
        <v>8549000</v>
      </c>
      <c r="S2191" s="182">
        <v>5552000</v>
      </c>
      <c r="T2191" s="182">
        <v>112.5</v>
      </c>
      <c r="U2191" s="182">
        <v>213687273.87144309</v>
      </c>
      <c r="V2191" s="182">
        <v>49980000000000</v>
      </c>
    </row>
    <row r="2192" spans="1:22">
      <c r="A2192" s="174" t="s">
        <v>4145</v>
      </c>
      <c r="B2192" s="174" t="s">
        <v>4145</v>
      </c>
      <c r="C2192" s="182">
        <f t="shared" si="13"/>
        <v>820.03380000000004</v>
      </c>
      <c r="D2192" s="182">
        <v>104330</v>
      </c>
      <c r="E2192" s="182">
        <v>514</v>
      </c>
      <c r="F2192" s="182">
        <v>437</v>
      </c>
      <c r="G2192" s="182">
        <v>60.5</v>
      </c>
      <c r="H2192" s="182">
        <v>97</v>
      </c>
      <c r="I2192" s="182"/>
      <c r="J2192" s="182">
        <v>15</v>
      </c>
      <c r="K2192" s="182">
        <f t="shared" si="12"/>
        <v>2.2525773195876289</v>
      </c>
      <c r="L2192" s="182">
        <f t="shared" si="14"/>
        <v>4.7933884297520661</v>
      </c>
      <c r="M2192" s="182">
        <v>3922000000</v>
      </c>
      <c r="N2192" s="182">
        <v>19260000</v>
      </c>
      <c r="O2192" s="182">
        <v>15260000</v>
      </c>
      <c r="P2192" s="182">
        <v>193.9</v>
      </c>
      <c r="Q2192" s="182">
        <v>1355000000</v>
      </c>
      <c r="R2192" s="182">
        <v>9561000</v>
      </c>
      <c r="S2192" s="182">
        <v>6203000</v>
      </c>
      <c r="T2192" s="182">
        <v>114</v>
      </c>
      <c r="U2192" s="182">
        <v>278489909.01284921</v>
      </c>
      <c r="V2192" s="182">
        <v>58650000000000</v>
      </c>
    </row>
    <row r="2193" spans="1:22">
      <c r="A2193" s="174" t="s">
        <v>4146</v>
      </c>
      <c r="B2193" s="174" t="s">
        <v>4146</v>
      </c>
      <c r="C2193" s="182">
        <f t="shared" si="13"/>
        <v>903.27120000000002</v>
      </c>
      <c r="D2193" s="182">
        <v>114920</v>
      </c>
      <c r="E2193" s="182">
        <v>531</v>
      </c>
      <c r="F2193" s="182">
        <v>442</v>
      </c>
      <c r="G2193" s="182">
        <v>65.900000000000006</v>
      </c>
      <c r="H2193" s="182">
        <v>106</v>
      </c>
      <c r="I2193" s="182"/>
      <c r="J2193" s="182">
        <v>15</v>
      </c>
      <c r="K2193" s="182">
        <f t="shared" si="12"/>
        <v>2.0849056603773586</v>
      </c>
      <c r="L2193" s="182">
        <f t="shared" si="14"/>
        <v>4.3854324734446131</v>
      </c>
      <c r="M2193" s="182">
        <v>4502000000</v>
      </c>
      <c r="N2193" s="182">
        <v>21620000</v>
      </c>
      <c r="O2193" s="182">
        <v>16960000</v>
      </c>
      <c r="P2193" s="182">
        <v>197.89999999999998</v>
      </c>
      <c r="Q2193" s="182">
        <v>1533000000</v>
      </c>
      <c r="R2193" s="182">
        <v>10710000</v>
      </c>
      <c r="S2193" s="182">
        <v>6938000</v>
      </c>
      <c r="T2193" s="182">
        <v>115.5</v>
      </c>
      <c r="U2193" s="182">
        <v>364215364.45846772</v>
      </c>
      <c r="V2193" s="182">
        <v>68890000000000</v>
      </c>
    </row>
    <row r="2194" spans="1:22">
      <c r="A2194" s="174" t="s">
        <v>4147</v>
      </c>
      <c r="B2194" s="174" t="s">
        <v>4147</v>
      </c>
      <c r="C2194" s="182">
        <f t="shared" si="13"/>
        <v>992.24640000000022</v>
      </c>
      <c r="D2194" s="182">
        <v>126240.00000000001</v>
      </c>
      <c r="E2194" s="182">
        <v>550</v>
      </c>
      <c r="F2194" s="182">
        <v>448</v>
      </c>
      <c r="G2194" s="182">
        <v>71.900000000000006</v>
      </c>
      <c r="H2194" s="182">
        <v>115</v>
      </c>
      <c r="I2194" s="182"/>
      <c r="J2194" s="182">
        <v>15</v>
      </c>
      <c r="K2194" s="182">
        <f t="shared" si="12"/>
        <v>1.9478260869565218</v>
      </c>
      <c r="L2194" s="182">
        <f t="shared" si="14"/>
        <v>4.0333796940194713</v>
      </c>
      <c r="M2194" s="182">
        <v>5189000000</v>
      </c>
      <c r="N2194" s="182">
        <v>24280000</v>
      </c>
      <c r="O2194" s="182">
        <v>18870000</v>
      </c>
      <c r="P2194" s="182">
        <v>202.7</v>
      </c>
      <c r="Q2194" s="182">
        <v>1734000000</v>
      </c>
      <c r="R2194" s="182">
        <v>11960000</v>
      </c>
      <c r="S2194" s="182">
        <v>7739000</v>
      </c>
      <c r="T2194" s="182">
        <v>117.2</v>
      </c>
      <c r="U2194" s="182">
        <v>469142304.81440109</v>
      </c>
      <c r="V2194" s="182">
        <v>81530000000000</v>
      </c>
    </row>
    <row r="2195" spans="1:22">
      <c r="A2195" s="174" t="s">
        <v>4148</v>
      </c>
      <c r="B2195" s="174" t="s">
        <v>4148</v>
      </c>
      <c r="C2195" s="182">
        <f t="shared" si="13"/>
        <v>1089.2388000000001</v>
      </c>
      <c r="D2195" s="182">
        <v>138580</v>
      </c>
      <c r="E2195" s="182">
        <v>569</v>
      </c>
      <c r="F2195" s="182">
        <v>454</v>
      </c>
      <c r="G2195" s="182">
        <v>78</v>
      </c>
      <c r="H2195" s="182">
        <v>125</v>
      </c>
      <c r="I2195" s="182"/>
      <c r="J2195" s="182">
        <v>15</v>
      </c>
      <c r="K2195" s="182">
        <f t="shared" si="12"/>
        <v>1.8160000000000001</v>
      </c>
      <c r="L2195" s="182">
        <f t="shared" si="14"/>
        <v>3.7051282051282053</v>
      </c>
      <c r="M2195" s="182">
        <v>5957000000</v>
      </c>
      <c r="N2195" s="182">
        <v>27210000</v>
      </c>
      <c r="O2195" s="182">
        <v>20940000</v>
      </c>
      <c r="P2195" s="182">
        <v>207.3</v>
      </c>
      <c r="Q2195" s="182">
        <v>1962000000</v>
      </c>
      <c r="R2195" s="182">
        <v>13380000</v>
      </c>
      <c r="S2195" s="182">
        <v>8645000</v>
      </c>
      <c r="T2195" s="182">
        <v>119</v>
      </c>
      <c r="U2195" s="182">
        <v>605011945.85396194</v>
      </c>
      <c r="V2195" s="182">
        <v>96080000000000</v>
      </c>
    </row>
    <row r="2196" spans="1:22">
      <c r="A2196" s="174" t="s">
        <v>4149</v>
      </c>
      <c r="B2196" s="174" t="s">
        <v>4149</v>
      </c>
      <c r="C2196" s="182">
        <f t="shared" si="13"/>
        <v>1202.9730000000002</v>
      </c>
      <c r="D2196" s="182">
        <v>153050</v>
      </c>
      <c r="E2196" s="182">
        <v>580</v>
      </c>
      <c r="F2196" s="182">
        <v>471</v>
      </c>
      <c r="G2196" s="182">
        <v>95</v>
      </c>
      <c r="H2196" s="182">
        <v>130</v>
      </c>
      <c r="I2196" s="182"/>
      <c r="J2196" s="182">
        <v>15</v>
      </c>
      <c r="K2196" s="182">
        <f t="shared" si="12"/>
        <v>1.8115384615384615</v>
      </c>
      <c r="L2196" s="182">
        <f t="shared" si="14"/>
        <v>3.0526315789473686</v>
      </c>
      <c r="M2196" s="182">
        <v>6636000000</v>
      </c>
      <c r="N2196" s="182">
        <v>30020000</v>
      </c>
      <c r="O2196" s="182">
        <v>22880000</v>
      </c>
      <c r="P2196" s="182">
        <v>208.2</v>
      </c>
      <c r="Q2196" s="182">
        <v>2287000000</v>
      </c>
      <c r="R2196" s="182">
        <v>15150000</v>
      </c>
      <c r="S2196" s="182">
        <v>9712000</v>
      </c>
      <c r="T2196" s="182">
        <v>122.2</v>
      </c>
      <c r="U2196" s="182">
        <v>762194816.84773874</v>
      </c>
      <c r="V2196" s="182">
        <v>114600000000000</v>
      </c>
    </row>
    <row r="2197" spans="1:22">
      <c r="A2197" s="174" t="s">
        <v>4150</v>
      </c>
      <c r="B2197" s="174" t="s">
        <v>4150</v>
      </c>
      <c r="C2197" s="182">
        <f t="shared" si="13"/>
        <v>1300.5942</v>
      </c>
      <c r="D2197" s="182">
        <v>165470</v>
      </c>
      <c r="E2197" s="182">
        <v>600</v>
      </c>
      <c r="F2197" s="182">
        <v>476</v>
      </c>
      <c r="G2197" s="182">
        <v>100</v>
      </c>
      <c r="H2197" s="182">
        <v>140</v>
      </c>
      <c r="I2197" s="182"/>
      <c r="J2197" s="182">
        <v>15</v>
      </c>
      <c r="K2197" s="182">
        <f t="shared" si="12"/>
        <v>1.7</v>
      </c>
      <c r="L2197" s="182">
        <f t="shared" si="14"/>
        <v>2.9</v>
      </c>
      <c r="M2197" s="182">
        <v>7546000000</v>
      </c>
      <c r="N2197" s="182">
        <v>33250000</v>
      </c>
      <c r="O2197" s="182">
        <v>25150000</v>
      </c>
      <c r="P2197" s="182">
        <v>213.5</v>
      </c>
      <c r="Q2197" s="182">
        <v>2544000000</v>
      </c>
      <c r="R2197" s="182">
        <v>16670000</v>
      </c>
      <c r="S2197" s="182">
        <v>10690000</v>
      </c>
      <c r="T2197" s="182">
        <v>124</v>
      </c>
      <c r="U2197" s="182">
        <v>943612149.45172977</v>
      </c>
      <c r="V2197" s="182">
        <v>133100000000000</v>
      </c>
    </row>
    <row r="2198" spans="1:22">
      <c r="A2198" s="174" t="s">
        <v>4151</v>
      </c>
      <c r="B2198" s="174" t="s">
        <v>4151</v>
      </c>
      <c r="C2198" s="182">
        <f t="shared" si="13"/>
        <v>42.522600000000004</v>
      </c>
      <c r="D2198" s="182">
        <v>5410</v>
      </c>
      <c r="E2198" s="182">
        <v>200</v>
      </c>
      <c r="F2198" s="182">
        <v>205</v>
      </c>
      <c r="G2198" s="182">
        <v>9</v>
      </c>
      <c r="H2198" s="182">
        <v>9</v>
      </c>
      <c r="I2198" s="182"/>
      <c r="J2198" s="182">
        <v>10</v>
      </c>
      <c r="K2198" s="182">
        <f t="shared" si="12"/>
        <v>11.388888888888889</v>
      </c>
      <c r="L2198" s="182">
        <f t="shared" si="14"/>
        <v>18</v>
      </c>
      <c r="M2198" s="182">
        <v>38880000</v>
      </c>
      <c r="N2198" s="182">
        <v>434500</v>
      </c>
      <c r="O2198" s="182">
        <v>388800</v>
      </c>
      <c r="P2198" s="182">
        <v>84.7</v>
      </c>
      <c r="Q2198" s="182">
        <v>12940000</v>
      </c>
      <c r="R2198" s="182">
        <v>193400</v>
      </c>
      <c r="S2198" s="182">
        <v>126200</v>
      </c>
      <c r="T2198" s="182">
        <v>48.9</v>
      </c>
      <c r="U2198" s="182">
        <v>163461.69678602432</v>
      </c>
      <c r="V2198" s="182">
        <v>117900000000</v>
      </c>
    </row>
    <row r="2199" spans="1:22">
      <c r="A2199" s="174" t="s">
        <v>4152</v>
      </c>
      <c r="B2199" s="174" t="s">
        <v>4152</v>
      </c>
      <c r="C2199" s="182">
        <f t="shared" si="13"/>
        <v>53.762400000000014</v>
      </c>
      <c r="D2199" s="182">
        <v>6840.0000000000009</v>
      </c>
      <c r="E2199" s="182">
        <v>204</v>
      </c>
      <c r="F2199" s="182">
        <v>207</v>
      </c>
      <c r="G2199" s="182">
        <v>11.3</v>
      </c>
      <c r="H2199" s="182">
        <v>11.3</v>
      </c>
      <c r="I2199" s="182"/>
      <c r="J2199" s="182">
        <v>10</v>
      </c>
      <c r="K2199" s="182">
        <f t="shared" si="12"/>
        <v>9.159292035398229</v>
      </c>
      <c r="L2199" s="182">
        <f t="shared" si="14"/>
        <v>14.283185840707965</v>
      </c>
      <c r="M2199" s="182">
        <v>49770000</v>
      </c>
      <c r="N2199" s="182">
        <v>551300</v>
      </c>
      <c r="O2199" s="182">
        <v>488000</v>
      </c>
      <c r="P2199" s="182">
        <v>85.5</v>
      </c>
      <c r="Q2199" s="182">
        <v>16730000</v>
      </c>
      <c r="R2199" s="182">
        <v>248600</v>
      </c>
      <c r="S2199" s="182">
        <v>161700</v>
      </c>
      <c r="T2199" s="182">
        <v>49.6</v>
      </c>
      <c r="U2199" s="182">
        <v>319457.07316950604</v>
      </c>
      <c r="V2199" s="182">
        <v>155100000000</v>
      </c>
    </row>
    <row r="2200" spans="1:22">
      <c r="A2200" s="174" t="s">
        <v>4153</v>
      </c>
      <c r="B2200" s="174" t="s">
        <v>4153</v>
      </c>
      <c r="C2200" s="182">
        <f t="shared" si="13"/>
        <v>57.299400000000013</v>
      </c>
      <c r="D2200" s="182">
        <v>7290.0000000000009</v>
      </c>
      <c r="E2200" s="182">
        <v>210</v>
      </c>
      <c r="F2200" s="182">
        <v>224.5</v>
      </c>
      <c r="G2200" s="182">
        <v>11</v>
      </c>
      <c r="H2200" s="182">
        <v>11</v>
      </c>
      <c r="I2200" s="182"/>
      <c r="J2200" s="182">
        <v>18</v>
      </c>
      <c r="K2200" s="182">
        <f t="shared" si="12"/>
        <v>10.204545454545455</v>
      </c>
      <c r="L2200" s="182">
        <f t="shared" si="14"/>
        <v>13.818181818181818</v>
      </c>
      <c r="M2200" s="182">
        <v>57290000</v>
      </c>
      <c r="N2200" s="182">
        <v>613700</v>
      </c>
      <c r="O2200" s="182">
        <v>545600</v>
      </c>
      <c r="P2200" s="182">
        <v>88.699999999999989</v>
      </c>
      <c r="Q2200" s="182">
        <v>20790000</v>
      </c>
      <c r="R2200" s="182">
        <v>285500</v>
      </c>
      <c r="S2200" s="182">
        <v>185200</v>
      </c>
      <c r="T2200" s="182">
        <v>53.4</v>
      </c>
      <c r="U2200" s="182">
        <v>376158.27029656729</v>
      </c>
      <c r="V2200" s="182">
        <v>205400000000</v>
      </c>
    </row>
    <row r="2201" spans="1:22">
      <c r="A2201" s="174" t="s">
        <v>4154</v>
      </c>
      <c r="B2201" s="174" t="s">
        <v>4154</v>
      </c>
      <c r="C2201" s="182">
        <f t="shared" si="13"/>
        <v>75.063000000000002</v>
      </c>
      <c r="D2201" s="182">
        <v>9550</v>
      </c>
      <c r="E2201" s="182">
        <v>249</v>
      </c>
      <c r="F2201" s="182">
        <v>265</v>
      </c>
      <c r="G2201" s="182">
        <v>12</v>
      </c>
      <c r="H2201" s="182">
        <v>12</v>
      </c>
      <c r="I2201" s="182"/>
      <c r="J2201" s="182">
        <v>24</v>
      </c>
      <c r="K2201" s="182">
        <f t="shared" si="12"/>
        <v>11.041666666666666</v>
      </c>
      <c r="L2201" s="182">
        <f t="shared" si="14"/>
        <v>14.75</v>
      </c>
      <c r="M2201" s="182">
        <v>106500000</v>
      </c>
      <c r="N2201" s="182">
        <v>958500</v>
      </c>
      <c r="O2201" s="182">
        <v>855100</v>
      </c>
      <c r="P2201" s="182">
        <v>105.60000000000001</v>
      </c>
      <c r="Q2201" s="182">
        <v>37330000</v>
      </c>
      <c r="R2201" s="182">
        <v>435100</v>
      </c>
      <c r="S2201" s="182">
        <v>281700</v>
      </c>
      <c r="T2201" s="182">
        <v>62.5</v>
      </c>
      <c r="U2201" s="182">
        <v>642892.51980000013</v>
      </c>
      <c r="V2201" s="182">
        <v>522600000000</v>
      </c>
    </row>
    <row r="2202" spans="1:22">
      <c r="A2202" s="174" t="s">
        <v>4155</v>
      </c>
      <c r="B2202" s="174" t="s">
        <v>4155</v>
      </c>
      <c r="C2202" s="182">
        <f t="shared" si="13"/>
        <v>87.246000000000009</v>
      </c>
      <c r="D2202" s="182">
        <v>11100</v>
      </c>
      <c r="E2202" s="182">
        <v>253</v>
      </c>
      <c r="F2202" s="182">
        <v>267</v>
      </c>
      <c r="G2202" s="182">
        <v>14</v>
      </c>
      <c r="H2202" s="182">
        <v>14</v>
      </c>
      <c r="I2202" s="182"/>
      <c r="J2202" s="182">
        <v>24</v>
      </c>
      <c r="K2202" s="182">
        <f t="shared" si="12"/>
        <v>9.5357142857142865</v>
      </c>
      <c r="L2202" s="182">
        <f t="shared" si="14"/>
        <v>12.642857142857142</v>
      </c>
      <c r="M2202" s="182">
        <v>125900000</v>
      </c>
      <c r="N2202" s="182">
        <v>1124000</v>
      </c>
      <c r="O2202" s="182">
        <v>994900</v>
      </c>
      <c r="P2202" s="182">
        <v>106.4</v>
      </c>
      <c r="Q2202" s="182">
        <v>44550000</v>
      </c>
      <c r="R2202" s="182">
        <v>516200.00000000006</v>
      </c>
      <c r="S2202" s="182">
        <v>333700</v>
      </c>
      <c r="T2202" s="182">
        <v>63.3</v>
      </c>
      <c r="U2202" s="182">
        <v>965733.13673750008</v>
      </c>
      <c r="V2202" s="182">
        <v>634200000000</v>
      </c>
    </row>
    <row r="2203" spans="1:22">
      <c r="A2203" s="174" t="s">
        <v>4156</v>
      </c>
      <c r="B2203" s="174" t="s">
        <v>4156</v>
      </c>
      <c r="C2203" s="182">
        <f t="shared" si="13"/>
        <v>78.993000000000009</v>
      </c>
      <c r="D2203" s="182">
        <v>10050</v>
      </c>
      <c r="E2203" s="182">
        <v>299.3</v>
      </c>
      <c r="F2203" s="182">
        <v>306.39999999999998</v>
      </c>
      <c r="G2203" s="182">
        <v>11</v>
      </c>
      <c r="H2203" s="182">
        <v>11.1</v>
      </c>
      <c r="I2203" s="182"/>
      <c r="J2203" s="182">
        <v>15</v>
      </c>
      <c r="K2203" s="182">
        <f t="shared" si="12"/>
        <v>13.801801801801801</v>
      </c>
      <c r="L2203" s="182">
        <f t="shared" si="14"/>
        <v>22.463636363636365</v>
      </c>
      <c r="M2203" s="182">
        <v>164400000</v>
      </c>
      <c r="N2203" s="182">
        <v>1218000</v>
      </c>
      <c r="O2203" s="182">
        <v>1099000</v>
      </c>
      <c r="P2203" s="182">
        <v>127.89999999999999</v>
      </c>
      <c r="Q2203" s="182">
        <v>53260000</v>
      </c>
      <c r="R2203" s="182">
        <v>531200</v>
      </c>
      <c r="S2203" s="182">
        <v>347700</v>
      </c>
      <c r="T2203" s="182">
        <v>72.8</v>
      </c>
      <c r="U2203" s="182">
        <v>467266.73848265508</v>
      </c>
      <c r="V2203" s="182">
        <v>1105000000000</v>
      </c>
    </row>
    <row r="2204" spans="1:22">
      <c r="A2204" s="174" t="s">
        <v>4157</v>
      </c>
      <c r="B2204" s="174" t="s">
        <v>4157</v>
      </c>
      <c r="C2204" s="182">
        <f t="shared" si="13"/>
        <v>88.110600000000005</v>
      </c>
      <c r="D2204" s="182">
        <v>11210</v>
      </c>
      <c r="E2204" s="182">
        <v>301.7</v>
      </c>
      <c r="F2204" s="182">
        <v>307.8</v>
      </c>
      <c r="G2204" s="182">
        <v>12.4</v>
      </c>
      <c r="H2204" s="182">
        <v>12.3</v>
      </c>
      <c r="I2204" s="182"/>
      <c r="J2204" s="182">
        <v>15</v>
      </c>
      <c r="K2204" s="182">
        <f t="shared" si="12"/>
        <v>12.512195121951219</v>
      </c>
      <c r="L2204" s="182">
        <f t="shared" si="14"/>
        <v>19.927419354838705</v>
      </c>
      <c r="M2204" s="182">
        <v>184200000</v>
      </c>
      <c r="N2204" s="182">
        <v>1360000</v>
      </c>
      <c r="O2204" s="182">
        <v>1221000</v>
      </c>
      <c r="P2204" s="182">
        <v>128.19999999999999</v>
      </c>
      <c r="Q2204" s="182">
        <v>59840000</v>
      </c>
      <c r="R2204" s="182">
        <v>595200</v>
      </c>
      <c r="S2204" s="182">
        <v>388900</v>
      </c>
      <c r="T2204" s="182">
        <v>73.099999999999994</v>
      </c>
      <c r="U2204" s="182">
        <v>639719.65331760934</v>
      </c>
      <c r="V2204" s="182">
        <v>1252000000000</v>
      </c>
    </row>
    <row r="2205" spans="1:22">
      <c r="A2205" s="174" t="s">
        <v>4158</v>
      </c>
      <c r="B2205" s="174" t="s">
        <v>4158</v>
      </c>
      <c r="C2205" s="182">
        <f t="shared" si="13"/>
        <v>95.106000000000009</v>
      </c>
      <c r="D2205" s="182">
        <v>12100</v>
      </c>
      <c r="E2205" s="182">
        <v>303.7</v>
      </c>
      <c r="F2205" s="182">
        <v>308.7</v>
      </c>
      <c r="G2205" s="182">
        <v>13.3</v>
      </c>
      <c r="H2205" s="182">
        <v>13.3</v>
      </c>
      <c r="I2205" s="182"/>
      <c r="J2205" s="182">
        <v>15</v>
      </c>
      <c r="K2205" s="182">
        <f t="shared" si="12"/>
        <v>11.605263157894736</v>
      </c>
      <c r="L2205" s="182">
        <f t="shared" si="14"/>
        <v>18.578947368421048</v>
      </c>
      <c r="M2205" s="182">
        <v>200400000</v>
      </c>
      <c r="N2205" s="182">
        <v>1474000</v>
      </c>
      <c r="O2205" s="182">
        <v>1320000</v>
      </c>
      <c r="P2205" s="182">
        <v>128.69999999999999</v>
      </c>
      <c r="Q2205" s="182">
        <v>65290000</v>
      </c>
      <c r="R2205" s="182">
        <v>648000</v>
      </c>
      <c r="S2205" s="182">
        <v>423000</v>
      </c>
      <c r="T2205" s="182">
        <v>73.5</v>
      </c>
      <c r="U2205" s="182">
        <v>797521.62326270191</v>
      </c>
      <c r="V2205" s="182">
        <v>1375000000000</v>
      </c>
    </row>
    <row r="2206" spans="1:22">
      <c r="A2206" s="174" t="s">
        <v>4159</v>
      </c>
      <c r="B2206" s="174" t="s">
        <v>4159</v>
      </c>
      <c r="C2206" s="182">
        <f t="shared" si="13"/>
        <v>110.11860000000001</v>
      </c>
      <c r="D2206" s="182">
        <v>14010</v>
      </c>
      <c r="E2206" s="182">
        <v>307.89999999999998</v>
      </c>
      <c r="F2206" s="182">
        <v>310.7</v>
      </c>
      <c r="G2206" s="182">
        <v>15.3</v>
      </c>
      <c r="H2206" s="182">
        <v>15.4</v>
      </c>
      <c r="I2206" s="182"/>
      <c r="J2206" s="182">
        <v>15</v>
      </c>
      <c r="K2206" s="182">
        <f t="shared" si="12"/>
        <v>10.087662337662337</v>
      </c>
      <c r="L2206" s="182">
        <f t="shared" si="14"/>
        <v>16.150326797385617</v>
      </c>
      <c r="M2206" s="182">
        <v>235600000</v>
      </c>
      <c r="N2206" s="182">
        <v>1720000</v>
      </c>
      <c r="O2206" s="182">
        <v>1531000</v>
      </c>
      <c r="P2206" s="182">
        <v>129.70000000000002</v>
      </c>
      <c r="Q2206" s="182">
        <v>77090000</v>
      </c>
      <c r="R2206" s="182">
        <v>761700</v>
      </c>
      <c r="S2206" s="182">
        <v>496200</v>
      </c>
      <c r="T2206" s="182">
        <v>74.2</v>
      </c>
      <c r="U2206" s="182">
        <v>1219908.209917424</v>
      </c>
      <c r="V2206" s="182">
        <v>1647000000000</v>
      </c>
    </row>
    <row r="2207" spans="1:22">
      <c r="A2207" s="174" t="s">
        <v>4160</v>
      </c>
      <c r="B2207" s="174" t="s">
        <v>4160</v>
      </c>
      <c r="C2207" s="182">
        <f t="shared" si="13"/>
        <v>126.23160000000001</v>
      </c>
      <c r="D2207" s="182">
        <v>16060</v>
      </c>
      <c r="E2207" s="182">
        <v>312.3</v>
      </c>
      <c r="F2207" s="182">
        <v>312.89999999999998</v>
      </c>
      <c r="G2207" s="182">
        <v>17.5</v>
      </c>
      <c r="H2207" s="182">
        <v>17.600000000000001</v>
      </c>
      <c r="I2207" s="182"/>
      <c r="J2207" s="182">
        <v>15</v>
      </c>
      <c r="K2207" s="182">
        <f t="shared" si="12"/>
        <v>8.889204545454545</v>
      </c>
      <c r="L2207" s="182">
        <f t="shared" si="14"/>
        <v>14.120000000000001</v>
      </c>
      <c r="M2207" s="182">
        <v>274100000</v>
      </c>
      <c r="N2207" s="182">
        <v>1986000</v>
      </c>
      <c r="O2207" s="182">
        <v>1755000</v>
      </c>
      <c r="P2207" s="182">
        <v>130.6</v>
      </c>
      <c r="Q2207" s="182">
        <v>90020000</v>
      </c>
      <c r="R2207" s="182">
        <v>885200</v>
      </c>
      <c r="S2207" s="182">
        <v>575400</v>
      </c>
      <c r="T2207" s="182">
        <v>74.900000000000006</v>
      </c>
      <c r="U2207" s="182">
        <v>1814098.0458307625</v>
      </c>
      <c r="V2207" s="182">
        <v>1951000000000</v>
      </c>
    </row>
    <row r="2208" spans="1:22">
      <c r="A2208" s="174" t="s">
        <v>4161</v>
      </c>
      <c r="B2208" s="174" t="s">
        <v>4161</v>
      </c>
      <c r="C2208" s="182">
        <f t="shared" si="13"/>
        <v>149.26140000000001</v>
      </c>
      <c r="D2208" s="182">
        <v>18990</v>
      </c>
      <c r="E2208" s="182">
        <v>318.5</v>
      </c>
      <c r="F2208" s="182">
        <v>316</v>
      </c>
      <c r="G2208" s="182">
        <v>20.6</v>
      </c>
      <c r="H2208" s="182">
        <v>20.7</v>
      </c>
      <c r="I2208" s="182"/>
      <c r="J2208" s="182">
        <v>15</v>
      </c>
      <c r="K2208" s="182">
        <f t="shared" si="12"/>
        <v>7.6328502415458939</v>
      </c>
      <c r="L2208" s="182">
        <f t="shared" si="14"/>
        <v>11.995145631067961</v>
      </c>
      <c r="M2208" s="182">
        <v>330700000</v>
      </c>
      <c r="N2208" s="182">
        <v>2370000</v>
      </c>
      <c r="O2208" s="182">
        <v>2076000</v>
      </c>
      <c r="P2208" s="182">
        <v>132</v>
      </c>
      <c r="Q2208" s="182">
        <v>109100000</v>
      </c>
      <c r="R2208" s="182">
        <v>1066000</v>
      </c>
      <c r="S2208" s="182">
        <v>690500</v>
      </c>
      <c r="T2208" s="182">
        <v>75.8</v>
      </c>
      <c r="U2208" s="182">
        <v>2947549.0517044012</v>
      </c>
      <c r="V2208" s="182">
        <v>2414000000000</v>
      </c>
    </row>
    <row r="2209" spans="1:22">
      <c r="A2209" s="174" t="s">
        <v>4162</v>
      </c>
      <c r="B2209" s="174" t="s">
        <v>4162</v>
      </c>
      <c r="C2209" s="182">
        <f t="shared" si="13"/>
        <v>180.22980000000001</v>
      </c>
      <c r="D2209" s="182">
        <v>22930</v>
      </c>
      <c r="E2209" s="182">
        <v>326.7</v>
      </c>
      <c r="F2209" s="182">
        <v>319.7</v>
      </c>
      <c r="G2209" s="182">
        <v>24.8</v>
      </c>
      <c r="H2209" s="182">
        <v>24.8</v>
      </c>
      <c r="I2209" s="182"/>
      <c r="J2209" s="182">
        <v>15</v>
      </c>
      <c r="K2209" s="182">
        <f t="shared" si="12"/>
        <v>6.445564516129032</v>
      </c>
      <c r="L2209" s="182">
        <f t="shared" si="14"/>
        <v>9.9637096774193523</v>
      </c>
      <c r="M2209" s="182">
        <v>409700000</v>
      </c>
      <c r="N2209" s="182">
        <v>2897000</v>
      </c>
      <c r="O2209" s="182">
        <v>2508000</v>
      </c>
      <c r="P2209" s="182">
        <v>133.69999999999999</v>
      </c>
      <c r="Q2209" s="182">
        <v>135500000</v>
      </c>
      <c r="R2209" s="182">
        <v>1313000</v>
      </c>
      <c r="S2209" s="182">
        <v>847400</v>
      </c>
      <c r="T2209" s="182">
        <v>76.900000000000006</v>
      </c>
      <c r="U2209" s="182">
        <v>5096481.5313185258</v>
      </c>
      <c r="V2209" s="182">
        <v>3077000000000</v>
      </c>
    </row>
    <row r="2210" spans="1:22">
      <c r="A2210" s="174" t="s">
        <v>4163</v>
      </c>
      <c r="B2210" s="174" t="s">
        <v>4163</v>
      </c>
      <c r="C2210" s="182">
        <f t="shared" si="13"/>
        <v>186.20340000000002</v>
      </c>
      <c r="D2210" s="182">
        <v>23690</v>
      </c>
      <c r="E2210" s="182">
        <v>328.3</v>
      </c>
      <c r="F2210" s="182">
        <v>320.89999999999998</v>
      </c>
      <c r="G2210" s="182">
        <v>25.5</v>
      </c>
      <c r="H2210" s="182">
        <v>25.6</v>
      </c>
      <c r="I2210" s="182"/>
      <c r="J2210" s="182">
        <v>15</v>
      </c>
      <c r="K2210" s="182">
        <f t="shared" si="12"/>
        <v>6.2675781249999991</v>
      </c>
      <c r="L2210" s="182">
        <f t="shared" si="14"/>
        <v>9.6901960784313736</v>
      </c>
      <c r="M2210" s="182">
        <v>426100000</v>
      </c>
      <c r="N2210" s="182">
        <v>3003000</v>
      </c>
      <c r="O2210" s="182">
        <v>2596000</v>
      </c>
      <c r="P2210" s="182">
        <v>134.1</v>
      </c>
      <c r="Q2210" s="182">
        <v>141400000</v>
      </c>
      <c r="R2210" s="182">
        <v>1366000</v>
      </c>
      <c r="S2210" s="182">
        <v>881500</v>
      </c>
      <c r="T2210" s="182">
        <v>77.300000000000011</v>
      </c>
      <c r="U2210" s="182">
        <v>5591989.608383825</v>
      </c>
      <c r="V2210" s="182">
        <v>3230000000000</v>
      </c>
    </row>
    <row r="2211" spans="1:22">
      <c r="A2211" s="174" t="s">
        <v>4164</v>
      </c>
      <c r="B2211" s="174" t="s">
        <v>4164</v>
      </c>
      <c r="C2211" s="182">
        <f t="shared" si="13"/>
        <v>223.22400000000002</v>
      </c>
      <c r="D2211" s="182">
        <v>28400</v>
      </c>
      <c r="E2211" s="182">
        <v>337.9</v>
      </c>
      <c r="F2211" s="182">
        <v>325.7</v>
      </c>
      <c r="G2211" s="182">
        <v>30.3</v>
      </c>
      <c r="H2211" s="182">
        <v>30.4</v>
      </c>
      <c r="I2211" s="182"/>
      <c r="J2211" s="182">
        <v>15</v>
      </c>
      <c r="K2211" s="182">
        <f t="shared" si="12"/>
        <v>5.3569078947368425</v>
      </c>
      <c r="L2211" s="182">
        <f t="shared" si="14"/>
        <v>8.1551155115511538</v>
      </c>
      <c r="M2211" s="182">
        <v>527000000</v>
      </c>
      <c r="N2211" s="182">
        <v>3653000</v>
      </c>
      <c r="O2211" s="182">
        <v>3119000</v>
      </c>
      <c r="P2211" s="182">
        <v>136.19999999999999</v>
      </c>
      <c r="Q2211" s="182">
        <v>175800000</v>
      </c>
      <c r="R2211" s="182">
        <v>1680000</v>
      </c>
      <c r="S2211" s="182">
        <v>1079000</v>
      </c>
      <c r="T2211" s="182">
        <v>78.7</v>
      </c>
      <c r="U2211" s="182">
        <v>9420196.4805578738</v>
      </c>
      <c r="V2211" s="182">
        <v>4138000000000</v>
      </c>
    </row>
    <row r="2212" spans="1:22">
      <c r="A2212" s="174" t="s">
        <v>4165</v>
      </c>
      <c r="B2212" s="174" t="s">
        <v>4165</v>
      </c>
      <c r="C2212" s="182">
        <f t="shared" si="13"/>
        <v>88.582200000000014</v>
      </c>
      <c r="D2212" s="182">
        <v>11270</v>
      </c>
      <c r="E2212" s="182">
        <v>303</v>
      </c>
      <c r="F2212" s="182">
        <v>304</v>
      </c>
      <c r="G2212" s="182">
        <v>12</v>
      </c>
      <c r="H2212" s="182">
        <v>12</v>
      </c>
      <c r="I2212" s="182"/>
      <c r="J2212" s="182">
        <v>27</v>
      </c>
      <c r="K2212" s="182">
        <f t="shared" si="12"/>
        <v>12.666666666666666</v>
      </c>
      <c r="L2212" s="182">
        <f t="shared" si="14"/>
        <v>18.75</v>
      </c>
      <c r="M2212" s="182">
        <v>187400000</v>
      </c>
      <c r="N2212" s="182">
        <v>1379000</v>
      </c>
      <c r="O2212" s="182">
        <v>1237000</v>
      </c>
      <c r="P2212" s="182">
        <v>129</v>
      </c>
      <c r="Q2212" s="182">
        <v>56340000</v>
      </c>
      <c r="R2212" s="182">
        <v>572100</v>
      </c>
      <c r="S2212" s="182">
        <v>370600</v>
      </c>
      <c r="T2212" s="182">
        <v>70.7</v>
      </c>
      <c r="U2212" s="182">
        <v>787412.83201875002</v>
      </c>
      <c r="V2212" s="182">
        <v>1190000000000</v>
      </c>
    </row>
    <row r="2213" spans="1:22">
      <c r="A2213" s="174" t="s">
        <v>4166</v>
      </c>
      <c r="B2213" s="174" t="s">
        <v>4166</v>
      </c>
      <c r="C2213" s="182">
        <f t="shared" si="13"/>
        <v>102.96600000000001</v>
      </c>
      <c r="D2213" s="182">
        <v>13100</v>
      </c>
      <c r="E2213" s="182">
        <v>307</v>
      </c>
      <c r="F2213" s="182">
        <v>306</v>
      </c>
      <c r="G2213" s="182">
        <v>14</v>
      </c>
      <c r="H2213" s="182">
        <v>14</v>
      </c>
      <c r="I2213" s="182"/>
      <c r="J2213" s="182">
        <v>27</v>
      </c>
      <c r="K2213" s="182">
        <f t="shared" si="12"/>
        <v>10.928571428571429</v>
      </c>
      <c r="L2213" s="182">
        <f t="shared" si="14"/>
        <v>16.071428571428573</v>
      </c>
      <c r="M2213" s="182">
        <v>220500000</v>
      </c>
      <c r="N2213" s="182">
        <v>1611000</v>
      </c>
      <c r="O2213" s="182">
        <v>1437000</v>
      </c>
      <c r="P2213" s="182">
        <v>129.70000000000002</v>
      </c>
      <c r="Q2213" s="182">
        <v>67040000</v>
      </c>
      <c r="R2213" s="182">
        <v>677300</v>
      </c>
      <c r="S2213" s="182">
        <v>438200</v>
      </c>
      <c r="T2213" s="182">
        <v>71.5</v>
      </c>
      <c r="U2213" s="182">
        <v>1168980.4968000001</v>
      </c>
      <c r="V2213" s="182">
        <v>1435000000000</v>
      </c>
    </row>
    <row r="2214" spans="1:22">
      <c r="A2214" s="174" t="s">
        <v>4167</v>
      </c>
      <c r="B2214" s="174" t="s">
        <v>4167</v>
      </c>
      <c r="C2214" s="182">
        <f t="shared" si="13"/>
        <v>117.50700000000001</v>
      </c>
      <c r="D2214" s="182">
        <v>14950</v>
      </c>
      <c r="E2214" s="182">
        <v>311</v>
      </c>
      <c r="F2214" s="182">
        <v>308</v>
      </c>
      <c r="G2214" s="182">
        <v>16</v>
      </c>
      <c r="H2214" s="182">
        <v>16</v>
      </c>
      <c r="I2214" s="182"/>
      <c r="J2214" s="182">
        <v>27</v>
      </c>
      <c r="K2214" s="182">
        <f t="shared" si="12"/>
        <v>9.625</v>
      </c>
      <c r="L2214" s="182">
        <f t="shared" si="14"/>
        <v>14.0625</v>
      </c>
      <c r="M2214" s="182">
        <v>254800000</v>
      </c>
      <c r="N2214" s="182">
        <v>1849000</v>
      </c>
      <c r="O2214" s="182">
        <v>1638000</v>
      </c>
      <c r="P2214" s="182">
        <v>130.6</v>
      </c>
      <c r="Q2214" s="182">
        <v>78150000</v>
      </c>
      <c r="R2214" s="182">
        <v>785500</v>
      </c>
      <c r="S2214" s="182">
        <v>507500</v>
      </c>
      <c r="T2214" s="182">
        <v>72.300000000000011</v>
      </c>
      <c r="U2214" s="182">
        <v>1669479.4047817709</v>
      </c>
      <c r="V2214" s="182">
        <v>1695000000000</v>
      </c>
    </row>
    <row r="2215" spans="1:22">
      <c r="A2215" s="174" t="s">
        <v>4168</v>
      </c>
      <c r="B2215" s="174" t="s">
        <v>4168</v>
      </c>
      <c r="C2215" s="182">
        <f t="shared" si="13"/>
        <v>146.9034</v>
      </c>
      <c r="D2215" s="182">
        <v>18690</v>
      </c>
      <c r="E2215" s="182">
        <v>319</v>
      </c>
      <c r="F2215" s="182">
        <v>312</v>
      </c>
      <c r="G2215" s="182">
        <v>20</v>
      </c>
      <c r="H2215" s="182">
        <v>20</v>
      </c>
      <c r="I2215" s="182"/>
      <c r="J2215" s="182">
        <v>27</v>
      </c>
      <c r="K2215" s="182">
        <f t="shared" si="12"/>
        <v>7.8</v>
      </c>
      <c r="L2215" s="182">
        <f t="shared" si="14"/>
        <v>11.25</v>
      </c>
      <c r="M2215" s="182">
        <v>326700000</v>
      </c>
      <c r="N2215" s="182">
        <v>2338000</v>
      </c>
      <c r="O2215" s="182">
        <v>2048000</v>
      </c>
      <c r="P2215" s="182">
        <v>132.20000000000002</v>
      </c>
      <c r="Q2215" s="182">
        <v>101600000</v>
      </c>
      <c r="R2215" s="182">
        <v>1011000</v>
      </c>
      <c r="S2215" s="182">
        <v>651300</v>
      </c>
      <c r="T2215" s="182">
        <v>73.7</v>
      </c>
      <c r="U2215" s="182">
        <v>3096810.0880062496</v>
      </c>
      <c r="V2215" s="182">
        <v>2263000000000</v>
      </c>
    </row>
    <row r="2216" spans="1:22">
      <c r="A2216" s="174" t="s">
        <v>4169</v>
      </c>
      <c r="B2216" s="174" t="s">
        <v>4169</v>
      </c>
      <c r="C2216" s="182">
        <f t="shared" si="13"/>
        <v>184.31700000000001</v>
      </c>
      <c r="D2216" s="182">
        <v>23450</v>
      </c>
      <c r="E2216" s="182">
        <v>329</v>
      </c>
      <c r="F2216" s="182">
        <v>317</v>
      </c>
      <c r="G2216" s="182">
        <v>25</v>
      </c>
      <c r="H2216" s="182">
        <v>25</v>
      </c>
      <c r="I2216" s="182"/>
      <c r="J2216" s="182">
        <v>27</v>
      </c>
      <c r="K2216" s="182">
        <f t="shared" si="12"/>
        <v>6.34</v>
      </c>
      <c r="L2216" s="182">
        <f t="shared" si="14"/>
        <v>9</v>
      </c>
      <c r="M2216" s="182">
        <v>423400000</v>
      </c>
      <c r="N2216" s="182">
        <v>2979000</v>
      </c>
      <c r="O2216" s="182">
        <v>2574000</v>
      </c>
      <c r="P2216" s="182">
        <v>134.4</v>
      </c>
      <c r="Q2216" s="182">
        <v>133300000</v>
      </c>
      <c r="R2216" s="182">
        <v>1311000</v>
      </c>
      <c r="S2216" s="182">
        <v>841200</v>
      </c>
      <c r="T2216" s="182">
        <v>75.400000000000006</v>
      </c>
      <c r="U2216" s="182">
        <v>5864963.7290866151</v>
      </c>
      <c r="V2216" s="182">
        <v>3067000000000</v>
      </c>
    </row>
    <row r="2217" spans="1:22">
      <c r="A2217" s="174" t="s">
        <v>4170</v>
      </c>
      <c r="B2217" s="174" t="s">
        <v>4170</v>
      </c>
      <c r="C2217" s="182">
        <f t="shared" si="13"/>
        <v>109.01819999999999</v>
      </c>
      <c r="D2217" s="182">
        <v>13869.999999999998</v>
      </c>
      <c r="E2217" s="182">
        <v>346.4</v>
      </c>
      <c r="F2217" s="182">
        <v>371</v>
      </c>
      <c r="G2217" s="182">
        <v>12.8</v>
      </c>
      <c r="H2217" s="182">
        <v>12.9</v>
      </c>
      <c r="I2217" s="182"/>
      <c r="J2217" s="182">
        <v>15</v>
      </c>
      <c r="K2217" s="182">
        <f t="shared" si="12"/>
        <v>14.379844961240309</v>
      </c>
      <c r="L2217" s="182">
        <f t="shared" si="14"/>
        <v>22.703124999999996</v>
      </c>
      <c r="M2217" s="182">
        <v>306300000</v>
      </c>
      <c r="N2217" s="182">
        <v>1956000</v>
      </c>
      <c r="O2217" s="182">
        <v>1769000</v>
      </c>
      <c r="P2217" s="182">
        <v>148.6</v>
      </c>
      <c r="Q2217" s="182">
        <v>109900000</v>
      </c>
      <c r="R2217" s="182">
        <v>902900</v>
      </c>
      <c r="S2217" s="182">
        <v>592300</v>
      </c>
      <c r="T2217" s="182">
        <v>89</v>
      </c>
      <c r="U2217" s="182">
        <v>844174.20776355627</v>
      </c>
      <c r="V2217" s="182">
        <v>3053000000000</v>
      </c>
    </row>
    <row r="2218" spans="1:22">
      <c r="A2218" s="174" t="s">
        <v>4171</v>
      </c>
      <c r="B2218" s="174" t="s">
        <v>4171</v>
      </c>
      <c r="C2218" s="182">
        <f t="shared" si="13"/>
        <v>133.14840000000001</v>
      </c>
      <c r="D2218" s="182">
        <v>16940</v>
      </c>
      <c r="E2218" s="182">
        <v>352</v>
      </c>
      <c r="F2218" s="182">
        <v>373.8</v>
      </c>
      <c r="G2218" s="182">
        <v>15.6</v>
      </c>
      <c r="H2218" s="182">
        <v>15.7</v>
      </c>
      <c r="I2218" s="182"/>
      <c r="J2218" s="182">
        <v>15</v>
      </c>
      <c r="K2218" s="182">
        <f t="shared" si="12"/>
        <v>11.904458598726116</v>
      </c>
      <c r="L2218" s="182">
        <f t="shared" si="14"/>
        <v>18.628205128205131</v>
      </c>
      <c r="M2218" s="182">
        <v>379800000</v>
      </c>
      <c r="N2218" s="182">
        <v>2406000</v>
      </c>
      <c r="O2218" s="182">
        <v>2158000</v>
      </c>
      <c r="P2218" s="182">
        <v>149.80000000000001</v>
      </c>
      <c r="Q2218" s="182">
        <v>136800000</v>
      </c>
      <c r="R2218" s="182">
        <v>1119000</v>
      </c>
      <c r="S2218" s="182">
        <v>731900</v>
      </c>
      <c r="T2218" s="182">
        <v>89.9</v>
      </c>
      <c r="U2218" s="182">
        <v>1508746.7290039801</v>
      </c>
      <c r="V2218" s="182">
        <v>3864000000000</v>
      </c>
    </row>
    <row r="2219" spans="1:22">
      <c r="A2219" s="174" t="s">
        <v>4172</v>
      </c>
      <c r="B2219" s="174" t="s">
        <v>4172</v>
      </c>
      <c r="C2219" s="182">
        <f t="shared" si="13"/>
        <v>152.24820000000003</v>
      </c>
      <c r="D2219" s="182">
        <v>19370</v>
      </c>
      <c r="E2219" s="182">
        <v>356.4</v>
      </c>
      <c r="F2219" s="182">
        <v>376</v>
      </c>
      <c r="G2219" s="182">
        <v>17.8</v>
      </c>
      <c r="H2219" s="182">
        <v>17.899999999999999</v>
      </c>
      <c r="I2219" s="182"/>
      <c r="J2219" s="182">
        <v>15</v>
      </c>
      <c r="K2219" s="182">
        <f t="shared" si="12"/>
        <v>10.502793296089386</v>
      </c>
      <c r="L2219" s="182">
        <f t="shared" si="14"/>
        <v>16.325842696629209</v>
      </c>
      <c r="M2219" s="182">
        <v>439700000</v>
      </c>
      <c r="N2219" s="182">
        <v>2767000</v>
      </c>
      <c r="O2219" s="182">
        <v>2468000</v>
      </c>
      <c r="P2219" s="182">
        <v>150.69999999999999</v>
      </c>
      <c r="Q2219" s="182">
        <v>158800000</v>
      </c>
      <c r="R2219" s="182">
        <v>1293000</v>
      </c>
      <c r="S2219" s="182">
        <v>844500</v>
      </c>
      <c r="T2219" s="182">
        <v>90.5</v>
      </c>
      <c r="U2219" s="182">
        <v>2229784.6414018711</v>
      </c>
      <c r="V2219" s="182">
        <v>4543000000000</v>
      </c>
    </row>
    <row r="2220" spans="1:22">
      <c r="A2220" s="174" t="s">
        <v>4173</v>
      </c>
      <c r="B2220" s="174" t="s">
        <v>4173</v>
      </c>
      <c r="C2220" s="182">
        <f t="shared" si="13"/>
        <v>174.09900000000002</v>
      </c>
      <c r="D2220" s="182">
        <v>22150</v>
      </c>
      <c r="E2220" s="182">
        <v>361.4</v>
      </c>
      <c r="F2220" s="182">
        <v>378.5</v>
      </c>
      <c r="G2220" s="182">
        <v>20.3</v>
      </c>
      <c r="H2220" s="182">
        <v>20.399999999999999</v>
      </c>
      <c r="I2220" s="182"/>
      <c r="J2220" s="182">
        <v>15</v>
      </c>
      <c r="K2220" s="182">
        <f t="shared" si="12"/>
        <v>9.2769607843137258</v>
      </c>
      <c r="L2220" s="182">
        <f t="shared" si="14"/>
        <v>14.315270935960589</v>
      </c>
      <c r="M2220" s="182">
        <v>510100000</v>
      </c>
      <c r="N2220" s="182">
        <v>3186000</v>
      </c>
      <c r="O2220" s="182">
        <v>2823000</v>
      </c>
      <c r="P2220" s="182">
        <v>151.80000000000001</v>
      </c>
      <c r="Q2220" s="182">
        <v>184600000</v>
      </c>
      <c r="R2220" s="182">
        <v>1497000</v>
      </c>
      <c r="S2220" s="182">
        <v>975600</v>
      </c>
      <c r="T2220" s="182">
        <v>91.300000000000011</v>
      </c>
      <c r="U2220" s="182">
        <v>3297931.2144302391</v>
      </c>
      <c r="V2220" s="182">
        <v>5360000000000</v>
      </c>
    </row>
    <row r="2221" spans="1:22">
      <c r="A2221" s="174" t="s">
        <v>4174</v>
      </c>
      <c r="B2221" s="174" t="s">
        <v>4174</v>
      </c>
      <c r="C2221" s="182">
        <f t="shared" si="13"/>
        <v>180.38700000000003</v>
      </c>
      <c r="D2221" s="182">
        <v>22950</v>
      </c>
      <c r="E2221" s="182">
        <v>362.9</v>
      </c>
      <c r="F2221" s="182">
        <v>378.8</v>
      </c>
      <c r="G2221" s="182">
        <v>21.1</v>
      </c>
      <c r="H2221" s="182">
        <v>21.1</v>
      </c>
      <c r="I2221" s="182"/>
      <c r="J2221" s="182">
        <v>15</v>
      </c>
      <c r="K2221" s="182">
        <f t="shared" si="12"/>
        <v>8.9763033175355442</v>
      </c>
      <c r="L2221" s="182">
        <f t="shared" si="14"/>
        <v>13.777251184834121</v>
      </c>
      <c r="M2221" s="182">
        <v>530400000</v>
      </c>
      <c r="N2221" s="182">
        <v>3306000</v>
      </c>
      <c r="O2221" s="182">
        <v>2923000</v>
      </c>
      <c r="P2221" s="182">
        <v>152</v>
      </c>
      <c r="Q2221" s="182">
        <v>191400000</v>
      </c>
      <c r="R2221" s="182">
        <v>1552000</v>
      </c>
      <c r="S2221" s="182">
        <v>1011000</v>
      </c>
      <c r="T2221" s="182">
        <v>91.300000000000011</v>
      </c>
      <c r="U2221" s="182">
        <v>3663878.0819391008</v>
      </c>
      <c r="V2221" s="182">
        <v>5583000000000</v>
      </c>
    </row>
    <row r="2222" spans="1:22">
      <c r="A2222" s="174" t="s">
        <v>4175</v>
      </c>
      <c r="B2222" s="174" t="s">
        <v>4175</v>
      </c>
      <c r="C2222" s="182">
        <f t="shared" si="13"/>
        <v>122.53740000000001</v>
      </c>
      <c r="D2222" s="182">
        <v>15590</v>
      </c>
      <c r="E2222" s="182">
        <v>348</v>
      </c>
      <c r="F2222" s="182">
        <v>390</v>
      </c>
      <c r="G2222" s="182">
        <v>14</v>
      </c>
      <c r="H2222" s="182">
        <v>14</v>
      </c>
      <c r="I2222" s="182"/>
      <c r="J2222" s="182">
        <v>15</v>
      </c>
      <c r="K2222" s="182">
        <f t="shared" si="12"/>
        <v>13.928571428571429</v>
      </c>
      <c r="L2222" s="182">
        <f t="shared" si="14"/>
        <v>20.714285714285715</v>
      </c>
      <c r="M2222" s="182">
        <v>347700000</v>
      </c>
      <c r="N2222" s="182">
        <v>2212000</v>
      </c>
      <c r="O2222" s="182">
        <v>1998000</v>
      </c>
      <c r="P2222" s="182">
        <v>149.30000000000001</v>
      </c>
      <c r="Q2222" s="182">
        <v>138500000</v>
      </c>
      <c r="R2222" s="182">
        <v>1082000</v>
      </c>
      <c r="S2222" s="182">
        <v>710300</v>
      </c>
      <c r="T2222" s="182">
        <v>94.2</v>
      </c>
      <c r="U2222" s="182">
        <v>1113748.6133333333</v>
      </c>
      <c r="V2222" s="182">
        <v>3860000000000</v>
      </c>
    </row>
    <row r="2223" spans="1:22">
      <c r="A2223" s="174" t="s">
        <v>4176</v>
      </c>
      <c r="B2223" s="174" t="s">
        <v>4176</v>
      </c>
      <c r="C2223" s="182">
        <f t="shared" si="13"/>
        <v>140.37960000000001</v>
      </c>
      <c r="D2223" s="182">
        <v>17860</v>
      </c>
      <c r="E2223" s="182">
        <v>352</v>
      </c>
      <c r="F2223" s="182">
        <v>392</v>
      </c>
      <c r="G2223" s="182">
        <v>16</v>
      </c>
      <c r="H2223" s="182">
        <v>16</v>
      </c>
      <c r="I2223" s="182"/>
      <c r="J2223" s="182">
        <v>15</v>
      </c>
      <c r="K2223" s="182">
        <f t="shared" si="12"/>
        <v>12.25</v>
      </c>
      <c r="L2223" s="182">
        <f t="shared" si="14"/>
        <v>18.125</v>
      </c>
      <c r="M2223" s="182">
        <v>402700000</v>
      </c>
      <c r="N2223" s="182">
        <v>2547000</v>
      </c>
      <c r="O2223" s="182">
        <v>2288000</v>
      </c>
      <c r="P2223" s="182">
        <v>150.19999999999999</v>
      </c>
      <c r="Q2223" s="182">
        <v>160800000</v>
      </c>
      <c r="R2223" s="182">
        <v>1252000</v>
      </c>
      <c r="S2223" s="182">
        <v>820200</v>
      </c>
      <c r="T2223" s="182">
        <v>94.9</v>
      </c>
      <c r="U2223" s="182">
        <v>1653478.8829296879</v>
      </c>
      <c r="V2223" s="182">
        <v>4534000000000</v>
      </c>
    </row>
    <row r="2224" spans="1:22">
      <c r="A2224" s="174" t="s">
        <v>4177</v>
      </c>
      <c r="B2224" s="174" t="s">
        <v>4177</v>
      </c>
      <c r="C2224" s="182">
        <f t="shared" si="13"/>
        <v>158.30040000000002</v>
      </c>
      <c r="D2224" s="182">
        <v>20140</v>
      </c>
      <c r="E2224" s="182">
        <v>356</v>
      </c>
      <c r="F2224" s="182">
        <v>394</v>
      </c>
      <c r="G2224" s="182">
        <v>18</v>
      </c>
      <c r="H2224" s="182">
        <v>18</v>
      </c>
      <c r="I2224" s="182"/>
      <c r="J2224" s="182">
        <v>15</v>
      </c>
      <c r="K2224" s="182">
        <f t="shared" si="12"/>
        <v>10.944444444444445</v>
      </c>
      <c r="L2224" s="182">
        <f t="shared" si="14"/>
        <v>16.111111111111111</v>
      </c>
      <c r="M2224" s="182">
        <v>459400000</v>
      </c>
      <c r="N2224" s="182">
        <v>2888000</v>
      </c>
      <c r="O2224" s="182">
        <v>2581000</v>
      </c>
      <c r="P2224" s="182">
        <v>151</v>
      </c>
      <c r="Q2224" s="182">
        <v>183700000</v>
      </c>
      <c r="R2224" s="182">
        <v>1425000</v>
      </c>
      <c r="S2224" s="182">
        <v>932400</v>
      </c>
      <c r="T2224" s="182">
        <v>95.5</v>
      </c>
      <c r="U2224" s="182">
        <v>2347570.08</v>
      </c>
      <c r="V2224" s="182">
        <v>5241000000000</v>
      </c>
    </row>
    <row r="2225" spans="1:22">
      <c r="A2225" s="174" t="s">
        <v>4178</v>
      </c>
      <c r="B2225" s="174" t="s">
        <v>4178</v>
      </c>
      <c r="C2225" s="182">
        <f t="shared" si="13"/>
        <v>176.2998</v>
      </c>
      <c r="D2225" s="182">
        <v>22430</v>
      </c>
      <c r="E2225" s="182">
        <v>360</v>
      </c>
      <c r="F2225" s="182">
        <v>396</v>
      </c>
      <c r="G2225" s="182">
        <v>20</v>
      </c>
      <c r="H2225" s="182">
        <v>20</v>
      </c>
      <c r="I2225" s="182"/>
      <c r="J2225" s="182">
        <v>15</v>
      </c>
      <c r="K2225" s="182">
        <f t="shared" si="12"/>
        <v>9.9</v>
      </c>
      <c r="L2225" s="182">
        <f t="shared" si="14"/>
        <v>14.5</v>
      </c>
      <c r="M2225" s="182">
        <v>517700000</v>
      </c>
      <c r="N2225" s="182">
        <v>3235000</v>
      </c>
      <c r="O2225" s="182">
        <v>2876000</v>
      </c>
      <c r="P2225" s="182">
        <v>151.9</v>
      </c>
      <c r="Q2225" s="182">
        <v>207200000</v>
      </c>
      <c r="R2225" s="182">
        <v>1603000</v>
      </c>
      <c r="S2225" s="182">
        <v>1047000</v>
      </c>
      <c r="T2225" s="182">
        <v>96.1</v>
      </c>
      <c r="U2225" s="182">
        <v>3216432.2903645835</v>
      </c>
      <c r="V2225" s="182">
        <v>5982000000000</v>
      </c>
    </row>
    <row r="2226" spans="1:22">
      <c r="A2226" s="174" t="s">
        <v>4179</v>
      </c>
      <c r="B2226" s="174" t="s">
        <v>4179</v>
      </c>
      <c r="C2226" s="182">
        <f t="shared" si="13"/>
        <v>194.53500000000003</v>
      </c>
      <c r="D2226" s="182">
        <v>24750</v>
      </c>
      <c r="E2226" s="182">
        <v>364</v>
      </c>
      <c r="F2226" s="182">
        <v>398</v>
      </c>
      <c r="G2226" s="182">
        <v>22</v>
      </c>
      <c r="H2226" s="182">
        <v>22</v>
      </c>
      <c r="I2226" s="182"/>
      <c r="J2226" s="182">
        <v>15</v>
      </c>
      <c r="K2226" s="182">
        <f t="shared" si="12"/>
        <v>9.045454545454545</v>
      </c>
      <c r="L2226" s="182">
        <f t="shared" si="14"/>
        <v>13.181818181818182</v>
      </c>
      <c r="M2226" s="182">
        <v>577600000</v>
      </c>
      <c r="N2226" s="182">
        <v>3588000</v>
      </c>
      <c r="O2226" s="182">
        <v>3174000</v>
      </c>
      <c r="P2226" s="182">
        <v>152.79999999999998</v>
      </c>
      <c r="Q2226" s="182">
        <v>231500000</v>
      </c>
      <c r="R2226" s="182">
        <v>1784000</v>
      </c>
      <c r="S2226" s="182">
        <v>1163000</v>
      </c>
      <c r="T2226" s="182">
        <v>96.7</v>
      </c>
      <c r="U2226" s="182">
        <v>4280769.8890909087</v>
      </c>
      <c r="V2226" s="182">
        <v>6759000000000</v>
      </c>
    </row>
    <row r="2227" spans="1:22">
      <c r="A2227" s="174" t="s">
        <v>4180</v>
      </c>
      <c r="B2227" s="174" t="s">
        <v>4180</v>
      </c>
      <c r="C2227" s="182">
        <f t="shared" si="13"/>
        <v>212.77020000000002</v>
      </c>
      <c r="D2227" s="182">
        <v>27070</v>
      </c>
      <c r="E2227" s="182">
        <v>368</v>
      </c>
      <c r="F2227" s="182">
        <v>400</v>
      </c>
      <c r="G2227" s="182">
        <v>24</v>
      </c>
      <c r="H2227" s="182">
        <v>24</v>
      </c>
      <c r="I2227" s="182"/>
      <c r="J2227" s="182">
        <v>15</v>
      </c>
      <c r="K2227" s="182">
        <f t="shared" si="12"/>
        <v>8.3333333333333339</v>
      </c>
      <c r="L2227" s="182">
        <f t="shared" si="14"/>
        <v>12.083333333333334</v>
      </c>
      <c r="M2227" s="182">
        <v>639200000</v>
      </c>
      <c r="N2227" s="182">
        <v>3947000</v>
      </c>
      <c r="O2227" s="182">
        <v>3474000</v>
      </c>
      <c r="P2227" s="182">
        <v>153.69999999999999</v>
      </c>
      <c r="Q2227" s="182">
        <v>256400000</v>
      </c>
      <c r="R2227" s="182">
        <v>1969000</v>
      </c>
      <c r="S2227" s="182">
        <v>1282000</v>
      </c>
      <c r="T2227" s="182">
        <v>97.300000000000011</v>
      </c>
      <c r="U2227" s="182">
        <v>5561581.1210156251</v>
      </c>
      <c r="V2227" s="182">
        <v>7574000000000</v>
      </c>
    </row>
    <row r="2228" spans="1:22">
      <c r="A2228" s="174" t="s">
        <v>4181</v>
      </c>
      <c r="B2228" s="174" t="s">
        <v>4181</v>
      </c>
      <c r="C2228" s="182">
        <f t="shared" si="13"/>
        <v>231.24120000000002</v>
      </c>
      <c r="D2228" s="182">
        <v>29420</v>
      </c>
      <c r="E2228" s="182">
        <v>372</v>
      </c>
      <c r="F2228" s="182">
        <v>402</v>
      </c>
      <c r="G2228" s="182">
        <v>26</v>
      </c>
      <c r="H2228" s="182">
        <v>26</v>
      </c>
      <c r="I2228" s="182"/>
      <c r="J2228" s="182">
        <v>15</v>
      </c>
      <c r="K2228" s="182">
        <f t="shared" si="12"/>
        <v>7.7307692307692308</v>
      </c>
      <c r="L2228" s="182">
        <f t="shared" si="14"/>
        <v>11.153846153846153</v>
      </c>
      <c r="M2228" s="182">
        <v>702600000</v>
      </c>
      <c r="N2228" s="182">
        <v>4312000</v>
      </c>
      <c r="O2228" s="182">
        <v>3777000</v>
      </c>
      <c r="P2228" s="182">
        <v>154.5</v>
      </c>
      <c r="Q2228" s="182">
        <v>282000000</v>
      </c>
      <c r="R2228" s="182">
        <v>2158000</v>
      </c>
      <c r="S2228" s="182">
        <v>1403000</v>
      </c>
      <c r="T2228" s="182">
        <v>97.899999999999991</v>
      </c>
      <c r="U2228" s="182">
        <v>7080157.874871796</v>
      </c>
      <c r="V2228" s="182">
        <v>8425000000000</v>
      </c>
    </row>
    <row r="2229" spans="1:22">
      <c r="A2229" s="174" t="s">
        <v>4182</v>
      </c>
      <c r="B2229" s="174" t="s">
        <v>4182</v>
      </c>
      <c r="C2229" s="182">
        <f t="shared" si="13"/>
        <v>44.959200000000003</v>
      </c>
      <c r="D2229" s="182">
        <v>5720</v>
      </c>
      <c r="E2229" s="182">
        <v>200.2</v>
      </c>
      <c r="F2229" s="182">
        <v>205.9</v>
      </c>
      <c r="G2229" s="182">
        <v>9.5</v>
      </c>
      <c r="H2229" s="182">
        <v>9.5</v>
      </c>
      <c r="I2229" s="182"/>
      <c r="J2229" s="182">
        <v>10</v>
      </c>
      <c r="K2229" s="182">
        <f t="shared" si="12"/>
        <v>10.836842105263159</v>
      </c>
      <c r="L2229" s="182">
        <f t="shared" si="14"/>
        <v>16.968421052631577</v>
      </c>
      <c r="M2229" s="182">
        <v>41000000</v>
      </c>
      <c r="N2229" s="182">
        <v>458900</v>
      </c>
      <c r="O2229" s="182">
        <v>409600</v>
      </c>
      <c r="P2229" s="182">
        <v>84.600000000000009</v>
      </c>
      <c r="Q2229" s="182">
        <v>13840000</v>
      </c>
      <c r="R2229" s="182">
        <v>206100</v>
      </c>
      <c r="S2229" s="182">
        <v>134400</v>
      </c>
      <c r="T2229" s="182">
        <v>49.2</v>
      </c>
      <c r="U2229" s="182">
        <v>191593.92797823725</v>
      </c>
      <c r="V2229" s="182">
        <v>125700000000</v>
      </c>
    </row>
    <row r="2230" spans="1:22">
      <c r="A2230" s="174" t="s">
        <v>4183</v>
      </c>
      <c r="B2230" s="174" t="s">
        <v>4183</v>
      </c>
      <c r="C2230" s="182">
        <f t="shared" si="13"/>
        <v>53.998200000000004</v>
      </c>
      <c r="D2230" s="182">
        <v>6870</v>
      </c>
      <c r="E2230" s="182">
        <v>204</v>
      </c>
      <c r="F2230" s="182">
        <v>207.7</v>
      </c>
      <c r="G2230" s="182">
        <v>11.3</v>
      </c>
      <c r="H2230" s="182">
        <v>11.4</v>
      </c>
      <c r="I2230" s="182"/>
      <c r="J2230" s="182">
        <v>10</v>
      </c>
      <c r="K2230" s="182">
        <f t="shared" si="12"/>
        <v>9.1096491228070171</v>
      </c>
      <c r="L2230" s="182">
        <f t="shared" si="14"/>
        <v>14.265486725663715</v>
      </c>
      <c r="M2230" s="182">
        <v>50270000</v>
      </c>
      <c r="N2230" s="182">
        <v>556700</v>
      </c>
      <c r="O2230" s="182">
        <v>492800</v>
      </c>
      <c r="P2230" s="182">
        <v>85.5</v>
      </c>
      <c r="Q2230" s="182">
        <v>17050000</v>
      </c>
      <c r="R2230" s="182">
        <v>252400</v>
      </c>
      <c r="S2230" s="182">
        <v>164200</v>
      </c>
      <c r="T2230" s="182">
        <v>49.800000000000004</v>
      </c>
      <c r="U2230" s="182">
        <v>325666.99461557181</v>
      </c>
      <c r="V2230" s="182">
        <v>157900000000</v>
      </c>
    </row>
    <row r="2231" spans="1:22">
      <c r="A2231" s="174" t="s">
        <v>4184</v>
      </c>
      <c r="B2231" s="174" t="s">
        <v>4184</v>
      </c>
      <c r="C2231" s="182">
        <f t="shared" si="13"/>
        <v>63.037200000000006</v>
      </c>
      <c r="D2231" s="182">
        <v>8020</v>
      </c>
      <c r="E2231" s="182">
        <v>247.1</v>
      </c>
      <c r="F2231" s="182">
        <v>256.60000000000002</v>
      </c>
      <c r="G2231" s="182">
        <v>10.6</v>
      </c>
      <c r="H2231" s="182">
        <v>10.7</v>
      </c>
      <c r="I2231" s="182"/>
      <c r="J2231" s="182">
        <v>13</v>
      </c>
      <c r="K2231" s="182">
        <f t="shared" si="12"/>
        <v>11.990654205607479</v>
      </c>
      <c r="L2231" s="182">
        <f t="shared" si="14"/>
        <v>18.839622641509433</v>
      </c>
      <c r="M2231" s="182">
        <v>88600000</v>
      </c>
      <c r="N2231" s="182">
        <v>799300</v>
      </c>
      <c r="O2231" s="182">
        <v>717200</v>
      </c>
      <c r="P2231" s="182">
        <v>105.1</v>
      </c>
      <c r="Q2231" s="182">
        <v>30160000</v>
      </c>
      <c r="R2231" s="182">
        <v>359700</v>
      </c>
      <c r="S2231" s="182">
        <v>235100</v>
      </c>
      <c r="T2231" s="182">
        <v>61.3</v>
      </c>
      <c r="U2231" s="182">
        <v>344857.06358078064</v>
      </c>
      <c r="V2231" s="182">
        <v>421000000000</v>
      </c>
    </row>
    <row r="2232" spans="1:22">
      <c r="A2232" s="174" t="s">
        <v>4185</v>
      </c>
      <c r="B2232" s="174" t="s">
        <v>4185</v>
      </c>
      <c r="C2232" s="182">
        <f t="shared" si="13"/>
        <v>71.054400000000001</v>
      </c>
      <c r="D2232" s="182">
        <v>9040</v>
      </c>
      <c r="E2232" s="182">
        <v>249.7</v>
      </c>
      <c r="F2232" s="182">
        <v>258</v>
      </c>
      <c r="G2232" s="182">
        <v>12</v>
      </c>
      <c r="H2232" s="182">
        <v>12</v>
      </c>
      <c r="I2232" s="182"/>
      <c r="J2232" s="182">
        <v>13</v>
      </c>
      <c r="K2232" s="182">
        <f t="shared" si="12"/>
        <v>10.75</v>
      </c>
      <c r="L2232" s="182">
        <f t="shared" si="14"/>
        <v>16.641666666666666</v>
      </c>
      <c r="M2232" s="182">
        <v>100700000</v>
      </c>
      <c r="N2232" s="182">
        <v>904000</v>
      </c>
      <c r="O2232" s="182">
        <v>806700</v>
      </c>
      <c r="P2232" s="182">
        <v>105.60000000000001</v>
      </c>
      <c r="Q2232" s="182">
        <v>34390000</v>
      </c>
      <c r="R2232" s="182">
        <v>408700</v>
      </c>
      <c r="S2232" s="182">
        <v>266600</v>
      </c>
      <c r="T2232" s="182">
        <v>61.7</v>
      </c>
      <c r="U2232" s="182">
        <v>486451.62737291673</v>
      </c>
      <c r="V2232" s="182">
        <v>485200000000</v>
      </c>
    </row>
    <row r="2233" spans="1:22">
      <c r="A2233" s="174" t="s">
        <v>4186</v>
      </c>
      <c r="B2233" s="174" t="s">
        <v>4186</v>
      </c>
      <c r="C2233" s="182">
        <f t="shared" si="13"/>
        <v>85.202400000000011</v>
      </c>
      <c r="D2233" s="182">
        <v>10840</v>
      </c>
      <c r="E2233" s="182">
        <v>254.3</v>
      </c>
      <c r="F2233" s="182">
        <v>260.39999999999998</v>
      </c>
      <c r="G2233" s="182">
        <v>14.4</v>
      </c>
      <c r="H2233" s="182">
        <v>14.3</v>
      </c>
      <c r="I2233" s="182"/>
      <c r="J2233" s="182">
        <v>13</v>
      </c>
      <c r="K2233" s="182">
        <f t="shared" si="12"/>
        <v>9.1048951048951032</v>
      </c>
      <c r="L2233" s="182">
        <f t="shared" si="14"/>
        <v>13.868055555555557</v>
      </c>
      <c r="M2233" s="182">
        <v>122800000</v>
      </c>
      <c r="N2233" s="182">
        <v>1092000</v>
      </c>
      <c r="O2233" s="182">
        <v>966100</v>
      </c>
      <c r="P2233" s="182">
        <v>106.5</v>
      </c>
      <c r="Q2233" s="182">
        <v>42150000</v>
      </c>
      <c r="R2233" s="182">
        <v>497900</v>
      </c>
      <c r="S2233" s="182">
        <v>323800</v>
      </c>
      <c r="T2233" s="182">
        <v>62.400000000000006</v>
      </c>
      <c r="U2233" s="182">
        <v>821797.14656629739</v>
      </c>
      <c r="V2233" s="182">
        <v>606000000000</v>
      </c>
    </row>
    <row r="2234" spans="1:22">
      <c r="A2234" s="174" t="s">
        <v>4187</v>
      </c>
      <c r="B2234" s="174" t="s">
        <v>4187</v>
      </c>
      <c r="C2234" s="182">
        <f t="shared" si="13"/>
        <v>78.993000000000009</v>
      </c>
      <c r="D2234" s="182">
        <v>10050</v>
      </c>
      <c r="E2234" s="182">
        <v>299.3</v>
      </c>
      <c r="F2234" s="182">
        <v>306.39999999999998</v>
      </c>
      <c r="G2234" s="182">
        <v>11</v>
      </c>
      <c r="H2234" s="182">
        <v>11.1</v>
      </c>
      <c r="I2234" s="182"/>
      <c r="J2234" s="182">
        <v>15</v>
      </c>
      <c r="K2234" s="182">
        <f t="shared" si="12"/>
        <v>13.801801801801801</v>
      </c>
      <c r="L2234" s="182">
        <f t="shared" si="14"/>
        <v>22.463636363636365</v>
      </c>
      <c r="M2234" s="182">
        <v>164400000</v>
      </c>
      <c r="N2234" s="182">
        <v>1218000</v>
      </c>
      <c r="O2234" s="182">
        <v>1099000</v>
      </c>
      <c r="P2234" s="182">
        <v>127.89999999999999</v>
      </c>
      <c r="Q2234" s="182">
        <v>53260000</v>
      </c>
      <c r="R2234" s="182">
        <v>531200</v>
      </c>
      <c r="S2234" s="182">
        <v>347700</v>
      </c>
      <c r="T2234" s="182">
        <v>72.8</v>
      </c>
      <c r="U2234" s="182">
        <v>467266.73848265508</v>
      </c>
      <c r="V2234" s="182">
        <v>1105000000000</v>
      </c>
    </row>
    <row r="2235" spans="1:22">
      <c r="A2235" s="174" t="s">
        <v>4188</v>
      </c>
      <c r="B2235" s="174" t="s">
        <v>4188</v>
      </c>
      <c r="C2235" s="182">
        <f t="shared" si="13"/>
        <v>88.110600000000005</v>
      </c>
      <c r="D2235" s="182">
        <v>11210</v>
      </c>
      <c r="E2235" s="182">
        <v>301.7</v>
      </c>
      <c r="F2235" s="182">
        <v>307.8</v>
      </c>
      <c r="G2235" s="182">
        <v>12.4</v>
      </c>
      <c r="H2235" s="182">
        <v>12.3</v>
      </c>
      <c r="I2235" s="182"/>
      <c r="J2235" s="182">
        <v>15</v>
      </c>
      <c r="K2235" s="182">
        <f t="shared" si="12"/>
        <v>12.512195121951219</v>
      </c>
      <c r="L2235" s="182">
        <f t="shared" si="14"/>
        <v>19.927419354838705</v>
      </c>
      <c r="M2235" s="182">
        <v>184200000</v>
      </c>
      <c r="N2235" s="182">
        <v>1360000</v>
      </c>
      <c r="O2235" s="182">
        <v>1221000</v>
      </c>
      <c r="P2235" s="182">
        <v>128.19999999999999</v>
      </c>
      <c r="Q2235" s="182">
        <v>59840000</v>
      </c>
      <c r="R2235" s="182">
        <v>595200</v>
      </c>
      <c r="S2235" s="182">
        <v>388900</v>
      </c>
      <c r="T2235" s="182">
        <v>73.099999999999994</v>
      </c>
      <c r="U2235" s="182">
        <v>639719.65331760934</v>
      </c>
      <c r="V2235" s="182">
        <v>1252000000000</v>
      </c>
    </row>
    <row r="2236" spans="1:22">
      <c r="A2236" s="174" t="s">
        <v>4189</v>
      </c>
      <c r="B2236" s="174" t="s">
        <v>4189</v>
      </c>
      <c r="C2236" s="182">
        <f t="shared" si="13"/>
        <v>95.027400000000014</v>
      </c>
      <c r="D2236" s="182">
        <v>12090</v>
      </c>
      <c r="E2236" s="182">
        <v>303.7</v>
      </c>
      <c r="F2236" s="182">
        <v>308.7</v>
      </c>
      <c r="G2236" s="182">
        <v>13.3</v>
      </c>
      <c r="H2236" s="182">
        <v>13.3</v>
      </c>
      <c r="I2236" s="182"/>
      <c r="J2236" s="182">
        <v>15</v>
      </c>
      <c r="K2236" s="182">
        <f t="shared" si="12"/>
        <v>11.605263157894736</v>
      </c>
      <c r="L2236" s="182">
        <f t="shared" si="14"/>
        <v>18.578947368421048</v>
      </c>
      <c r="M2236" s="182">
        <v>200400000</v>
      </c>
      <c r="N2236" s="182">
        <v>1474000</v>
      </c>
      <c r="O2236" s="182">
        <v>1320000</v>
      </c>
      <c r="P2236" s="182">
        <v>128.69999999999999</v>
      </c>
      <c r="Q2236" s="182">
        <v>65290000</v>
      </c>
      <c r="R2236" s="182">
        <v>648000</v>
      </c>
      <c r="S2236" s="182">
        <v>423000</v>
      </c>
      <c r="T2236" s="182">
        <v>73.5</v>
      </c>
      <c r="U2236" s="182">
        <v>797521.62326270191</v>
      </c>
      <c r="V2236" s="182">
        <v>1375000000000</v>
      </c>
    </row>
    <row r="2237" spans="1:22">
      <c r="A2237" s="174" t="s">
        <v>4190</v>
      </c>
      <c r="B2237" s="174" t="s">
        <v>4190</v>
      </c>
      <c r="C2237" s="182">
        <f t="shared" si="13"/>
        <v>110.11860000000001</v>
      </c>
      <c r="D2237" s="182">
        <v>14010</v>
      </c>
      <c r="E2237" s="182">
        <v>307.89999999999998</v>
      </c>
      <c r="F2237" s="182">
        <v>310.7</v>
      </c>
      <c r="G2237" s="182">
        <v>15.3</v>
      </c>
      <c r="H2237" s="182">
        <v>15.4</v>
      </c>
      <c r="I2237" s="182"/>
      <c r="J2237" s="182">
        <v>15</v>
      </c>
      <c r="K2237" s="182">
        <f t="shared" si="12"/>
        <v>10.087662337662337</v>
      </c>
      <c r="L2237" s="182">
        <f t="shared" si="14"/>
        <v>16.150326797385617</v>
      </c>
      <c r="M2237" s="182">
        <v>235600000</v>
      </c>
      <c r="N2237" s="182">
        <v>1720000</v>
      </c>
      <c r="O2237" s="182">
        <v>1531000</v>
      </c>
      <c r="P2237" s="182">
        <v>129.70000000000002</v>
      </c>
      <c r="Q2237" s="182">
        <v>77090000</v>
      </c>
      <c r="R2237" s="182">
        <v>761700</v>
      </c>
      <c r="S2237" s="182">
        <v>496200</v>
      </c>
      <c r="T2237" s="182">
        <v>74.2</v>
      </c>
      <c r="U2237" s="182">
        <v>1219908.209917424</v>
      </c>
      <c r="V2237" s="182">
        <v>1647000000000</v>
      </c>
    </row>
    <row r="2238" spans="1:22">
      <c r="A2238" s="174" t="s">
        <v>4191</v>
      </c>
      <c r="B2238" s="174" t="s">
        <v>4191</v>
      </c>
      <c r="C2238" s="182">
        <f t="shared" si="13"/>
        <v>126.23160000000001</v>
      </c>
      <c r="D2238" s="182">
        <v>16060</v>
      </c>
      <c r="E2238" s="182">
        <v>312.3</v>
      </c>
      <c r="F2238" s="182">
        <v>312.89999999999998</v>
      </c>
      <c r="G2238" s="182">
        <v>17.5</v>
      </c>
      <c r="H2238" s="182">
        <v>17.600000000000001</v>
      </c>
      <c r="I2238" s="182"/>
      <c r="J2238" s="182">
        <v>15</v>
      </c>
      <c r="K2238" s="182">
        <f t="shared" si="12"/>
        <v>8.889204545454545</v>
      </c>
      <c r="L2238" s="182">
        <f t="shared" si="14"/>
        <v>14.120000000000001</v>
      </c>
      <c r="M2238" s="182">
        <v>274100000</v>
      </c>
      <c r="N2238" s="182">
        <v>1986000</v>
      </c>
      <c r="O2238" s="182">
        <v>1755000</v>
      </c>
      <c r="P2238" s="182">
        <v>130.6</v>
      </c>
      <c r="Q2238" s="182">
        <v>90020000</v>
      </c>
      <c r="R2238" s="182">
        <v>885200</v>
      </c>
      <c r="S2238" s="182">
        <v>575400</v>
      </c>
      <c r="T2238" s="182">
        <v>74.900000000000006</v>
      </c>
      <c r="U2238" s="182">
        <v>1814098.0458307625</v>
      </c>
      <c r="V2238" s="182">
        <v>1951000000000</v>
      </c>
    </row>
    <row r="2239" spans="1:22">
      <c r="A2239" s="174" t="s">
        <v>4192</v>
      </c>
      <c r="B2239" s="174" t="s">
        <v>4192</v>
      </c>
      <c r="C2239" s="182">
        <f t="shared" si="13"/>
        <v>149.26140000000001</v>
      </c>
      <c r="D2239" s="182">
        <v>18990</v>
      </c>
      <c r="E2239" s="182">
        <v>318.5</v>
      </c>
      <c r="F2239" s="182">
        <v>316</v>
      </c>
      <c r="G2239" s="182">
        <v>20.6</v>
      </c>
      <c r="H2239" s="182">
        <v>20.7</v>
      </c>
      <c r="I2239" s="182"/>
      <c r="J2239" s="182">
        <v>15</v>
      </c>
      <c r="K2239" s="182">
        <f t="shared" si="12"/>
        <v>7.6328502415458939</v>
      </c>
      <c r="L2239" s="182">
        <f t="shared" si="14"/>
        <v>11.995145631067961</v>
      </c>
      <c r="M2239" s="182">
        <v>330700000</v>
      </c>
      <c r="N2239" s="182">
        <v>2370000</v>
      </c>
      <c r="O2239" s="182">
        <v>2076000</v>
      </c>
      <c r="P2239" s="182">
        <v>132</v>
      </c>
      <c r="Q2239" s="182">
        <v>109100000</v>
      </c>
      <c r="R2239" s="182">
        <v>1066000</v>
      </c>
      <c r="S2239" s="182">
        <v>690500</v>
      </c>
      <c r="T2239" s="182">
        <v>75.8</v>
      </c>
      <c r="U2239" s="182">
        <v>2947549.0517044012</v>
      </c>
      <c r="V2239" s="182">
        <v>2414000000000</v>
      </c>
    </row>
    <row r="2240" spans="1:22">
      <c r="A2240" s="174" t="s">
        <v>4193</v>
      </c>
      <c r="B2240" s="174" t="s">
        <v>4193</v>
      </c>
      <c r="C2240" s="182">
        <f t="shared" si="13"/>
        <v>186.20340000000002</v>
      </c>
      <c r="D2240" s="182">
        <v>23690</v>
      </c>
      <c r="E2240" s="182">
        <v>328.3</v>
      </c>
      <c r="F2240" s="182">
        <v>320.89999999999998</v>
      </c>
      <c r="G2240" s="182">
        <v>25.5</v>
      </c>
      <c r="H2240" s="182">
        <v>25.6</v>
      </c>
      <c r="I2240" s="182"/>
      <c r="J2240" s="182">
        <v>15</v>
      </c>
      <c r="K2240" s="182">
        <f t="shared" si="12"/>
        <v>6.2675781249999991</v>
      </c>
      <c r="L2240" s="182">
        <f t="shared" si="14"/>
        <v>9.6901960784313736</v>
      </c>
      <c r="M2240" s="182">
        <v>426100000</v>
      </c>
      <c r="N2240" s="182">
        <v>3003000</v>
      </c>
      <c r="O2240" s="182">
        <v>2596000</v>
      </c>
      <c r="P2240" s="182">
        <v>134.1</v>
      </c>
      <c r="Q2240" s="182">
        <v>141400000</v>
      </c>
      <c r="R2240" s="182">
        <v>1366000</v>
      </c>
      <c r="S2240" s="182">
        <v>881500</v>
      </c>
      <c r="T2240" s="182">
        <v>77.300000000000011</v>
      </c>
      <c r="U2240" s="182">
        <v>5591989.608383825</v>
      </c>
      <c r="V2240" s="182">
        <v>3230000000000</v>
      </c>
    </row>
    <row r="2241" spans="1:22">
      <c r="A2241" s="174" t="s">
        <v>4194</v>
      </c>
      <c r="B2241" s="174" t="s">
        <v>4194</v>
      </c>
      <c r="C2241" s="182">
        <f t="shared" si="13"/>
        <v>223.22400000000002</v>
      </c>
      <c r="D2241" s="182">
        <v>28400</v>
      </c>
      <c r="E2241" s="182">
        <v>337.9</v>
      </c>
      <c r="F2241" s="182">
        <v>325.7</v>
      </c>
      <c r="G2241" s="182">
        <v>30.3</v>
      </c>
      <c r="H2241" s="182">
        <v>30.4</v>
      </c>
      <c r="I2241" s="182"/>
      <c r="J2241" s="182">
        <v>15</v>
      </c>
      <c r="K2241" s="182">
        <f t="shared" si="12"/>
        <v>5.3569078947368425</v>
      </c>
      <c r="L2241" s="182">
        <f t="shared" si="14"/>
        <v>8.1551155115511538</v>
      </c>
      <c r="M2241" s="182">
        <v>527000000</v>
      </c>
      <c r="N2241" s="182">
        <v>3653000</v>
      </c>
      <c r="O2241" s="182">
        <v>3119000</v>
      </c>
      <c r="P2241" s="182">
        <v>136.19999999999999</v>
      </c>
      <c r="Q2241" s="182">
        <v>175800000</v>
      </c>
      <c r="R2241" s="182">
        <v>1680000</v>
      </c>
      <c r="S2241" s="182">
        <v>1079000</v>
      </c>
      <c r="T2241" s="182">
        <v>78.7</v>
      </c>
      <c r="U2241" s="182">
        <v>9420196.4805578738</v>
      </c>
      <c r="V2241" s="182">
        <v>4138000000000</v>
      </c>
    </row>
    <row r="2242" spans="1:22">
      <c r="A2242" s="174" t="s">
        <v>4195</v>
      </c>
      <c r="B2242" s="174" t="s">
        <v>4195</v>
      </c>
      <c r="C2242" s="182">
        <f t="shared" si="13"/>
        <v>109.01819999999999</v>
      </c>
      <c r="D2242" s="182">
        <v>13869.999999999998</v>
      </c>
      <c r="E2242" s="182">
        <v>346.4</v>
      </c>
      <c r="F2242" s="182">
        <v>371</v>
      </c>
      <c r="G2242" s="182">
        <v>12.8</v>
      </c>
      <c r="H2242" s="182">
        <v>12.9</v>
      </c>
      <c r="I2242" s="182"/>
      <c r="J2242" s="182">
        <v>15</v>
      </c>
      <c r="K2242" s="182">
        <f t="shared" si="12"/>
        <v>14.379844961240309</v>
      </c>
      <c r="L2242" s="182">
        <f t="shared" si="14"/>
        <v>22.703124999999996</v>
      </c>
      <c r="M2242" s="182">
        <v>306300000</v>
      </c>
      <c r="N2242" s="182">
        <v>1956000</v>
      </c>
      <c r="O2242" s="182">
        <v>1769000</v>
      </c>
      <c r="P2242" s="182">
        <v>148.6</v>
      </c>
      <c r="Q2242" s="182">
        <v>109900000</v>
      </c>
      <c r="R2242" s="182">
        <v>902900</v>
      </c>
      <c r="S2242" s="182">
        <v>592300</v>
      </c>
      <c r="T2242" s="182">
        <v>89</v>
      </c>
      <c r="U2242" s="182">
        <v>844174.20776355627</v>
      </c>
      <c r="V2242" s="182">
        <v>3053000000000</v>
      </c>
    </row>
    <row r="2243" spans="1:22">
      <c r="A2243" s="174" t="s">
        <v>4196</v>
      </c>
      <c r="B2243" s="174" t="s">
        <v>4196</v>
      </c>
      <c r="C2243" s="182">
        <f t="shared" si="13"/>
        <v>133.14840000000001</v>
      </c>
      <c r="D2243" s="182">
        <v>16940</v>
      </c>
      <c r="E2243" s="182">
        <v>352</v>
      </c>
      <c r="F2243" s="182">
        <v>373.8</v>
      </c>
      <c r="G2243" s="182">
        <v>15.6</v>
      </c>
      <c r="H2243" s="182">
        <v>15.7</v>
      </c>
      <c r="I2243" s="182"/>
      <c r="J2243" s="182">
        <v>15</v>
      </c>
      <c r="K2243" s="182">
        <f t="shared" si="12"/>
        <v>11.904458598726116</v>
      </c>
      <c r="L2243" s="182">
        <f t="shared" si="14"/>
        <v>18.628205128205131</v>
      </c>
      <c r="M2243" s="182">
        <v>379800000</v>
      </c>
      <c r="N2243" s="182">
        <v>2406000</v>
      </c>
      <c r="O2243" s="182">
        <v>2158000</v>
      </c>
      <c r="P2243" s="182">
        <v>149.80000000000001</v>
      </c>
      <c r="Q2243" s="182">
        <v>136800000</v>
      </c>
      <c r="R2243" s="182">
        <v>1119000</v>
      </c>
      <c r="S2243" s="182">
        <v>731900</v>
      </c>
      <c r="T2243" s="182">
        <v>89.9</v>
      </c>
      <c r="U2243" s="182">
        <v>1508746.7290039801</v>
      </c>
      <c r="V2243" s="182">
        <v>3864000000000</v>
      </c>
    </row>
    <row r="2244" spans="1:22">
      <c r="A2244" s="174" t="s">
        <v>4197</v>
      </c>
      <c r="B2244" s="174" t="s">
        <v>4197</v>
      </c>
      <c r="C2244" s="182">
        <f t="shared" si="13"/>
        <v>152.24820000000003</v>
      </c>
      <c r="D2244" s="182">
        <v>19370</v>
      </c>
      <c r="E2244" s="182">
        <v>356.4</v>
      </c>
      <c r="F2244" s="182">
        <v>376</v>
      </c>
      <c r="G2244" s="182">
        <v>17.8</v>
      </c>
      <c r="H2244" s="182">
        <v>17.899999999999999</v>
      </c>
      <c r="I2244" s="182"/>
      <c r="J2244" s="182">
        <v>15</v>
      </c>
      <c r="K2244" s="182">
        <f t="shared" si="12"/>
        <v>10.502793296089386</v>
      </c>
      <c r="L2244" s="182">
        <f t="shared" si="14"/>
        <v>16.325842696629209</v>
      </c>
      <c r="M2244" s="182">
        <v>439700000</v>
      </c>
      <c r="N2244" s="182">
        <v>2767000</v>
      </c>
      <c r="O2244" s="182">
        <v>2468000</v>
      </c>
      <c r="P2244" s="182">
        <v>150.69999999999999</v>
      </c>
      <c r="Q2244" s="182">
        <v>158800000</v>
      </c>
      <c r="R2244" s="182">
        <v>1293000</v>
      </c>
      <c r="S2244" s="182">
        <v>844500</v>
      </c>
      <c r="T2244" s="182">
        <v>90.5</v>
      </c>
      <c r="U2244" s="182">
        <v>2229784.6414018711</v>
      </c>
      <c r="V2244" s="182">
        <v>4543000000000</v>
      </c>
    </row>
    <row r="2245" spans="1:22">
      <c r="A2245" s="174" t="s">
        <v>4198</v>
      </c>
      <c r="B2245" s="174" t="s">
        <v>4198</v>
      </c>
      <c r="C2245" s="182">
        <f t="shared" si="13"/>
        <v>174.09900000000002</v>
      </c>
      <c r="D2245" s="182">
        <v>22150</v>
      </c>
      <c r="E2245" s="182">
        <v>361.4</v>
      </c>
      <c r="F2245" s="182">
        <v>378.5</v>
      </c>
      <c r="G2245" s="182">
        <v>20.3</v>
      </c>
      <c r="H2245" s="182">
        <v>20.399999999999999</v>
      </c>
      <c r="I2245" s="182"/>
      <c r="J2245" s="182">
        <v>15</v>
      </c>
      <c r="K2245" s="182">
        <f t="shared" ref="K2245:K2308" si="15">F2245/2/H2245</f>
        <v>9.2769607843137258</v>
      </c>
      <c r="L2245" s="182">
        <f t="shared" si="14"/>
        <v>14.315270935960589</v>
      </c>
      <c r="M2245" s="182">
        <v>510100000</v>
      </c>
      <c r="N2245" s="182">
        <v>3186000</v>
      </c>
      <c r="O2245" s="182">
        <v>2823000</v>
      </c>
      <c r="P2245" s="182">
        <v>151.80000000000001</v>
      </c>
      <c r="Q2245" s="182">
        <v>184600000</v>
      </c>
      <c r="R2245" s="182">
        <v>1497000</v>
      </c>
      <c r="S2245" s="182">
        <v>975600</v>
      </c>
      <c r="T2245" s="182">
        <v>91.300000000000011</v>
      </c>
      <c r="U2245" s="182">
        <v>3297931.2144302391</v>
      </c>
      <c r="V2245" s="182">
        <v>5360000000000</v>
      </c>
    </row>
    <row r="2246" spans="1:22">
      <c r="A2246" s="174" t="s">
        <v>4199</v>
      </c>
      <c r="B2246" s="174" t="s">
        <v>4199</v>
      </c>
      <c r="C2246" s="182">
        <f t="shared" ref="C2246:C2309" si="16">D2246*0.00786</f>
        <v>12.969000000000001</v>
      </c>
      <c r="D2246" s="182">
        <v>1650</v>
      </c>
      <c r="E2246" s="182">
        <v>127</v>
      </c>
      <c r="F2246" s="182">
        <v>76</v>
      </c>
      <c r="G2246" s="182">
        <v>4</v>
      </c>
      <c r="H2246" s="182">
        <v>7.6</v>
      </c>
      <c r="I2246" s="182"/>
      <c r="J2246" s="182">
        <v>8</v>
      </c>
      <c r="K2246" s="182">
        <f t="shared" si="15"/>
        <v>5</v>
      </c>
      <c r="L2246" s="182">
        <f t="shared" ref="L2246:L2309" si="17">(E2246-2*H2246-2*J2246)/G2246</f>
        <v>23.95</v>
      </c>
      <c r="M2246" s="182">
        <v>4734000</v>
      </c>
      <c r="N2246" s="182">
        <v>84150</v>
      </c>
      <c r="O2246" s="182">
        <v>74560</v>
      </c>
      <c r="P2246" s="182">
        <v>53.5</v>
      </c>
      <c r="Q2246" s="182">
        <v>557400</v>
      </c>
      <c r="R2246" s="182">
        <v>22580</v>
      </c>
      <c r="S2246" s="182">
        <v>14670</v>
      </c>
      <c r="T2246" s="182">
        <v>18.400000000000002</v>
      </c>
      <c r="U2246" s="182">
        <v>29061.554435779428</v>
      </c>
      <c r="V2246" s="182">
        <v>1980000000</v>
      </c>
    </row>
    <row r="2247" spans="1:22">
      <c r="A2247" s="174" t="s">
        <v>4200</v>
      </c>
      <c r="B2247" s="174" t="s">
        <v>4200</v>
      </c>
      <c r="C2247" s="182">
        <f t="shared" si="16"/>
        <v>15.955800000000002</v>
      </c>
      <c r="D2247" s="182">
        <v>2030</v>
      </c>
      <c r="E2247" s="182">
        <v>152.4</v>
      </c>
      <c r="F2247" s="182">
        <v>88.7</v>
      </c>
      <c r="G2247" s="182">
        <v>4.5</v>
      </c>
      <c r="H2247" s="182">
        <v>7.7</v>
      </c>
      <c r="I2247" s="182"/>
      <c r="J2247" s="182">
        <v>8</v>
      </c>
      <c r="K2247" s="182">
        <f t="shared" si="15"/>
        <v>5.7597402597402594</v>
      </c>
      <c r="L2247" s="182">
        <f t="shared" si="17"/>
        <v>26.888888888888889</v>
      </c>
      <c r="M2247" s="182">
        <v>8343000</v>
      </c>
      <c r="N2247" s="182">
        <v>123300</v>
      </c>
      <c r="O2247" s="182">
        <v>109500</v>
      </c>
      <c r="P2247" s="182">
        <v>64.099999999999994</v>
      </c>
      <c r="Q2247" s="182">
        <v>897500</v>
      </c>
      <c r="R2247" s="182">
        <v>31180</v>
      </c>
      <c r="S2247" s="182">
        <v>20240</v>
      </c>
      <c r="T2247" s="182">
        <v>21</v>
      </c>
      <c r="U2247" s="182">
        <v>36195.561476063594</v>
      </c>
      <c r="V2247" s="182">
        <v>4690000000</v>
      </c>
    </row>
    <row r="2248" spans="1:22">
      <c r="A2248" s="174" t="s">
        <v>4201</v>
      </c>
      <c r="B2248" s="174" t="s">
        <v>4201</v>
      </c>
      <c r="C2248" s="182">
        <f t="shared" si="16"/>
        <v>19.099800000000002</v>
      </c>
      <c r="D2248" s="182">
        <v>2430</v>
      </c>
      <c r="E2248" s="182">
        <v>177.8</v>
      </c>
      <c r="F2248" s="182">
        <v>101.2</v>
      </c>
      <c r="G2248" s="182">
        <v>4.8</v>
      </c>
      <c r="H2248" s="182">
        <v>7.9</v>
      </c>
      <c r="I2248" s="182"/>
      <c r="J2248" s="182">
        <v>8</v>
      </c>
      <c r="K2248" s="182">
        <f t="shared" si="15"/>
        <v>6.40506329113924</v>
      </c>
      <c r="L2248" s="182">
        <f t="shared" si="17"/>
        <v>30.416666666666668</v>
      </c>
      <c r="M2248" s="182">
        <v>13560000</v>
      </c>
      <c r="N2248" s="182">
        <v>171300</v>
      </c>
      <c r="O2248" s="182">
        <v>152500</v>
      </c>
      <c r="P2248" s="182">
        <v>74.800000000000011</v>
      </c>
      <c r="Q2248" s="182">
        <v>1367000</v>
      </c>
      <c r="R2248" s="182">
        <v>41590</v>
      </c>
      <c r="S2248" s="182">
        <v>27020</v>
      </c>
      <c r="T2248" s="182">
        <v>23.700000000000003</v>
      </c>
      <c r="U2248" s="182">
        <v>44710.07144566191</v>
      </c>
      <c r="V2248" s="182">
        <v>9850000000</v>
      </c>
    </row>
    <row r="2249" spans="1:22">
      <c r="A2249" s="174" t="s">
        <v>4202</v>
      </c>
      <c r="B2249" s="174" t="s">
        <v>4202</v>
      </c>
      <c r="C2249" s="182">
        <f t="shared" si="16"/>
        <v>23.108400000000003</v>
      </c>
      <c r="D2249" s="182">
        <v>2940</v>
      </c>
      <c r="E2249" s="182">
        <v>203.2</v>
      </c>
      <c r="F2249" s="182">
        <v>101.8</v>
      </c>
      <c r="G2249" s="182">
        <v>5.4</v>
      </c>
      <c r="H2249" s="182">
        <v>9.3000000000000007</v>
      </c>
      <c r="I2249" s="182"/>
      <c r="J2249" s="182">
        <v>8</v>
      </c>
      <c r="K2249" s="182">
        <f t="shared" si="15"/>
        <v>5.4731182795698921</v>
      </c>
      <c r="L2249" s="182">
        <f t="shared" si="17"/>
        <v>31.222222222222218</v>
      </c>
      <c r="M2249" s="182">
        <v>21050000</v>
      </c>
      <c r="N2249" s="182">
        <v>234100</v>
      </c>
      <c r="O2249" s="182">
        <v>207200</v>
      </c>
      <c r="P2249" s="182">
        <v>84.600000000000009</v>
      </c>
      <c r="Q2249" s="182">
        <v>1639000</v>
      </c>
      <c r="R2249" s="182">
        <v>49750</v>
      </c>
      <c r="S2249" s="182">
        <v>32189.999999999996</v>
      </c>
      <c r="T2249" s="182">
        <v>23.599999999999998</v>
      </c>
      <c r="U2249" s="182">
        <v>70992.288877981729</v>
      </c>
      <c r="V2249" s="182">
        <v>15370000000</v>
      </c>
    </row>
    <row r="2250" spans="1:22">
      <c r="A2250" s="174" t="s">
        <v>4203</v>
      </c>
      <c r="B2250" s="174" t="s">
        <v>4203</v>
      </c>
      <c r="C2250" s="182">
        <f t="shared" si="16"/>
        <v>25.152000000000001</v>
      </c>
      <c r="D2250" s="182">
        <v>3200</v>
      </c>
      <c r="E2250" s="182">
        <v>203.2</v>
      </c>
      <c r="F2250" s="182">
        <v>133.19999999999999</v>
      </c>
      <c r="G2250" s="182">
        <v>5.7</v>
      </c>
      <c r="H2250" s="182">
        <v>7.8</v>
      </c>
      <c r="I2250" s="182"/>
      <c r="J2250" s="182">
        <v>8</v>
      </c>
      <c r="K2250" s="182">
        <f t="shared" si="15"/>
        <v>8.5384615384615383</v>
      </c>
      <c r="L2250" s="182">
        <f t="shared" si="17"/>
        <v>30.105263157894736</v>
      </c>
      <c r="M2250" s="182">
        <v>23400000</v>
      </c>
      <c r="N2250" s="182">
        <v>257700</v>
      </c>
      <c r="O2250" s="182">
        <v>230300</v>
      </c>
      <c r="P2250" s="182">
        <v>85.600000000000009</v>
      </c>
      <c r="Q2250" s="182">
        <v>3076000</v>
      </c>
      <c r="R2250" s="182">
        <v>70940</v>
      </c>
      <c r="S2250" s="182">
        <v>46190</v>
      </c>
      <c r="T2250" s="182">
        <v>31</v>
      </c>
      <c r="U2250" s="182">
        <v>60322.020430421442</v>
      </c>
      <c r="V2250" s="182">
        <v>29330000000</v>
      </c>
    </row>
    <row r="2251" spans="1:22">
      <c r="A2251" s="174" t="s">
        <v>4204</v>
      </c>
      <c r="B2251" s="174" t="s">
        <v>4204</v>
      </c>
      <c r="C2251" s="182">
        <f t="shared" si="16"/>
        <v>30.025200000000005</v>
      </c>
      <c r="D2251" s="182">
        <v>3820.0000000000005</v>
      </c>
      <c r="E2251" s="182">
        <v>206.8</v>
      </c>
      <c r="F2251" s="182">
        <v>133.9</v>
      </c>
      <c r="G2251" s="182">
        <v>6.4</v>
      </c>
      <c r="H2251" s="182">
        <v>9.6</v>
      </c>
      <c r="I2251" s="182"/>
      <c r="J2251" s="182">
        <v>8</v>
      </c>
      <c r="K2251" s="182">
        <f t="shared" si="15"/>
        <v>6.9739583333333339</v>
      </c>
      <c r="L2251" s="182">
        <f t="shared" si="17"/>
        <v>26.812500000000004</v>
      </c>
      <c r="M2251" s="182">
        <v>28960000</v>
      </c>
      <c r="N2251" s="182">
        <v>314400</v>
      </c>
      <c r="O2251" s="182">
        <v>280000</v>
      </c>
      <c r="P2251" s="182">
        <v>87.100000000000009</v>
      </c>
      <c r="Q2251" s="182">
        <v>3847000</v>
      </c>
      <c r="R2251" s="182">
        <v>88220</v>
      </c>
      <c r="S2251" s="182">
        <v>57450</v>
      </c>
      <c r="T2251" s="182">
        <v>31.7</v>
      </c>
      <c r="U2251" s="182">
        <v>103965.69354452779</v>
      </c>
      <c r="V2251" s="182">
        <v>37340000000</v>
      </c>
    </row>
    <row r="2252" spans="1:22">
      <c r="A2252" s="174" t="s">
        <v>4205</v>
      </c>
      <c r="B2252" s="174" t="s">
        <v>4205</v>
      </c>
      <c r="C2252" s="182">
        <f t="shared" si="16"/>
        <v>22.008000000000003</v>
      </c>
      <c r="D2252" s="182">
        <v>2800</v>
      </c>
      <c r="E2252" s="182">
        <v>254</v>
      </c>
      <c r="F2252" s="182">
        <v>101.6</v>
      </c>
      <c r="G2252" s="182">
        <v>5.7</v>
      </c>
      <c r="H2252" s="182">
        <v>6.8</v>
      </c>
      <c r="I2252" s="182"/>
      <c r="J2252" s="182">
        <v>8</v>
      </c>
      <c r="K2252" s="182">
        <f t="shared" si="15"/>
        <v>7.4705882352941178</v>
      </c>
      <c r="L2252" s="182">
        <f t="shared" si="17"/>
        <v>39.368421052631575</v>
      </c>
      <c r="M2252" s="182">
        <v>28410000</v>
      </c>
      <c r="N2252" s="182">
        <v>259000</v>
      </c>
      <c r="O2252" s="182">
        <v>223700</v>
      </c>
      <c r="P2252" s="182">
        <v>100.7</v>
      </c>
      <c r="Q2252" s="182">
        <v>1193000</v>
      </c>
      <c r="R2252" s="182">
        <v>37270</v>
      </c>
      <c r="S2252" s="182">
        <v>23490</v>
      </c>
      <c r="T2252" s="182">
        <v>20.6</v>
      </c>
      <c r="U2252" s="182">
        <v>42036.595722384976</v>
      </c>
      <c r="V2252" s="182">
        <v>18160000000</v>
      </c>
    </row>
    <row r="2253" spans="1:22">
      <c r="A2253" s="174" t="s">
        <v>4206</v>
      </c>
      <c r="B2253" s="174" t="s">
        <v>4206</v>
      </c>
      <c r="C2253" s="182">
        <f t="shared" si="16"/>
        <v>25.152000000000001</v>
      </c>
      <c r="D2253" s="182">
        <v>3200</v>
      </c>
      <c r="E2253" s="182">
        <v>257.2</v>
      </c>
      <c r="F2253" s="182">
        <v>101.9</v>
      </c>
      <c r="G2253" s="182">
        <v>6</v>
      </c>
      <c r="H2253" s="182">
        <v>8.4</v>
      </c>
      <c r="I2253" s="182"/>
      <c r="J2253" s="182">
        <v>8</v>
      </c>
      <c r="K2253" s="182">
        <f t="shared" si="15"/>
        <v>6.0654761904761907</v>
      </c>
      <c r="L2253" s="182">
        <f t="shared" si="17"/>
        <v>37.4</v>
      </c>
      <c r="M2253" s="182">
        <v>34150000</v>
      </c>
      <c r="N2253" s="182">
        <v>305500</v>
      </c>
      <c r="O2253" s="182">
        <v>265500</v>
      </c>
      <c r="P2253" s="182">
        <v>103.2</v>
      </c>
      <c r="Q2253" s="182">
        <v>1487000</v>
      </c>
      <c r="R2253" s="182">
        <v>46010</v>
      </c>
      <c r="S2253" s="182">
        <v>29180</v>
      </c>
      <c r="T2253" s="182">
        <v>21.5</v>
      </c>
      <c r="U2253" s="182">
        <v>64950.39784681418</v>
      </c>
      <c r="V2253" s="182">
        <v>22920000000</v>
      </c>
    </row>
    <row r="2254" spans="1:22">
      <c r="A2254" s="174" t="s">
        <v>4207</v>
      </c>
      <c r="B2254" s="174" t="s">
        <v>4207</v>
      </c>
      <c r="C2254" s="182">
        <f t="shared" si="16"/>
        <v>28.374600000000001</v>
      </c>
      <c r="D2254" s="182">
        <v>3610</v>
      </c>
      <c r="E2254" s="182">
        <v>260.39999999999998</v>
      </c>
      <c r="F2254" s="182">
        <v>102.2</v>
      </c>
      <c r="G2254" s="182">
        <v>6.3</v>
      </c>
      <c r="H2254" s="182">
        <v>10</v>
      </c>
      <c r="I2254" s="182"/>
      <c r="J2254" s="182">
        <v>8</v>
      </c>
      <c r="K2254" s="182">
        <f t="shared" si="15"/>
        <v>5.1100000000000003</v>
      </c>
      <c r="L2254" s="182">
        <f t="shared" si="17"/>
        <v>35.619047619047613</v>
      </c>
      <c r="M2254" s="182">
        <v>40050000</v>
      </c>
      <c r="N2254" s="182">
        <v>352800</v>
      </c>
      <c r="O2254" s="182">
        <v>307600</v>
      </c>
      <c r="P2254" s="182">
        <v>105.39999999999999</v>
      </c>
      <c r="Q2254" s="182">
        <v>1785000</v>
      </c>
      <c r="R2254" s="182">
        <v>54850</v>
      </c>
      <c r="S2254" s="182">
        <v>34940</v>
      </c>
      <c r="T2254" s="182">
        <v>22.200000000000003</v>
      </c>
      <c r="U2254" s="182">
        <v>96658.104198640154</v>
      </c>
      <c r="V2254" s="182">
        <v>27890000000</v>
      </c>
    </row>
    <row r="2255" spans="1:22">
      <c r="A2255" s="174" t="s">
        <v>4208</v>
      </c>
      <c r="B2255" s="174" t="s">
        <v>4208</v>
      </c>
      <c r="C2255" s="182">
        <f t="shared" si="16"/>
        <v>31.204200000000007</v>
      </c>
      <c r="D2255" s="182">
        <v>3970.0000000000005</v>
      </c>
      <c r="E2255" s="182">
        <v>251.4</v>
      </c>
      <c r="F2255" s="182">
        <v>146.1</v>
      </c>
      <c r="G2255" s="182">
        <v>6</v>
      </c>
      <c r="H2255" s="182">
        <v>8.6</v>
      </c>
      <c r="I2255" s="182"/>
      <c r="J2255" s="182">
        <v>8</v>
      </c>
      <c r="K2255" s="182">
        <f t="shared" si="15"/>
        <v>8.4941860465116275</v>
      </c>
      <c r="L2255" s="182">
        <f t="shared" si="17"/>
        <v>36.366666666666667</v>
      </c>
      <c r="M2255" s="182">
        <v>44130000</v>
      </c>
      <c r="N2255" s="182">
        <v>393100</v>
      </c>
      <c r="O2255" s="182">
        <v>351100</v>
      </c>
      <c r="P2255" s="182">
        <v>105.5</v>
      </c>
      <c r="Q2255" s="182">
        <v>4475000</v>
      </c>
      <c r="R2255" s="182">
        <v>94130</v>
      </c>
      <c r="S2255" s="182">
        <v>61260</v>
      </c>
      <c r="T2255" s="182">
        <v>33.6</v>
      </c>
      <c r="U2255" s="182">
        <v>86295.261044077808</v>
      </c>
      <c r="V2255" s="182">
        <v>65879999999.999992</v>
      </c>
    </row>
    <row r="2256" spans="1:22">
      <c r="A2256" s="174" t="s">
        <v>4209</v>
      </c>
      <c r="B2256" s="174" t="s">
        <v>4209</v>
      </c>
      <c r="C2256" s="182">
        <f t="shared" si="16"/>
        <v>37.099200000000003</v>
      </c>
      <c r="D2256" s="182">
        <v>4720</v>
      </c>
      <c r="E2256" s="182">
        <v>256</v>
      </c>
      <c r="F2256" s="182">
        <v>146.4</v>
      </c>
      <c r="G2256" s="182">
        <v>6.3</v>
      </c>
      <c r="H2256" s="182">
        <v>10.9</v>
      </c>
      <c r="I2256" s="182"/>
      <c r="J2256" s="182">
        <v>8</v>
      </c>
      <c r="K2256" s="182">
        <f t="shared" si="15"/>
        <v>6.7155963302752291</v>
      </c>
      <c r="L2256" s="182">
        <f t="shared" si="17"/>
        <v>34.634920634920633</v>
      </c>
      <c r="M2256" s="182">
        <v>55370000</v>
      </c>
      <c r="N2256" s="182">
        <v>483200</v>
      </c>
      <c r="O2256" s="182">
        <v>432600</v>
      </c>
      <c r="P2256" s="182">
        <v>108.3</v>
      </c>
      <c r="Q2256" s="182">
        <v>5706000</v>
      </c>
      <c r="R2256" s="182">
        <v>119400</v>
      </c>
      <c r="S2256" s="182">
        <v>77960</v>
      </c>
      <c r="T2256" s="182">
        <v>34.799999999999997</v>
      </c>
      <c r="U2256" s="182">
        <v>154372.35142027246</v>
      </c>
      <c r="V2256" s="182">
        <v>85610000000</v>
      </c>
    </row>
    <row r="2257" spans="1:22">
      <c r="A2257" s="174" t="s">
        <v>4210</v>
      </c>
      <c r="B2257" s="174" t="s">
        <v>4210</v>
      </c>
      <c r="C2257" s="182">
        <f t="shared" si="16"/>
        <v>43.072800000000001</v>
      </c>
      <c r="D2257" s="182">
        <v>5480</v>
      </c>
      <c r="E2257" s="182">
        <v>259.60000000000002</v>
      </c>
      <c r="F2257" s="182">
        <v>147.30000000000001</v>
      </c>
      <c r="G2257" s="182">
        <v>7.2</v>
      </c>
      <c r="H2257" s="182">
        <v>12.7</v>
      </c>
      <c r="I2257" s="182"/>
      <c r="J2257" s="182">
        <v>8</v>
      </c>
      <c r="K2257" s="182">
        <f t="shared" si="15"/>
        <v>5.7992125984251972</v>
      </c>
      <c r="L2257" s="182">
        <f t="shared" si="17"/>
        <v>30.305555555555557</v>
      </c>
      <c r="M2257" s="182">
        <v>65440000</v>
      </c>
      <c r="N2257" s="182">
        <v>566300</v>
      </c>
      <c r="O2257" s="182">
        <v>504100</v>
      </c>
      <c r="P2257" s="182">
        <v>109.3</v>
      </c>
      <c r="Q2257" s="182">
        <v>6774000</v>
      </c>
      <c r="R2257" s="182">
        <v>141100</v>
      </c>
      <c r="S2257" s="182">
        <v>91970</v>
      </c>
      <c r="T2257" s="182">
        <v>35.200000000000003</v>
      </c>
      <c r="U2257" s="182">
        <v>240228.03926702304</v>
      </c>
      <c r="V2257" s="182">
        <v>103100000000</v>
      </c>
    </row>
    <row r="2258" spans="1:22">
      <c r="A2258" s="174" t="s">
        <v>4211</v>
      </c>
      <c r="B2258" s="174" t="s">
        <v>4211</v>
      </c>
      <c r="C2258" s="182">
        <f t="shared" si="16"/>
        <v>24.837600000000002</v>
      </c>
      <c r="D2258" s="182">
        <v>3160</v>
      </c>
      <c r="E2258" s="182">
        <v>305.10000000000002</v>
      </c>
      <c r="F2258" s="182">
        <v>101.6</v>
      </c>
      <c r="G2258" s="182">
        <v>5.8</v>
      </c>
      <c r="H2258" s="182">
        <v>7</v>
      </c>
      <c r="I2258" s="182"/>
      <c r="J2258" s="182">
        <v>8</v>
      </c>
      <c r="K2258" s="182">
        <f t="shared" si="15"/>
        <v>7.2571428571428571</v>
      </c>
      <c r="L2258" s="182">
        <f t="shared" si="17"/>
        <v>47.431034482758626</v>
      </c>
      <c r="M2258" s="182">
        <v>44550000</v>
      </c>
      <c r="N2258" s="182">
        <v>342000</v>
      </c>
      <c r="O2258" s="182">
        <v>292100</v>
      </c>
      <c r="P2258" s="182">
        <v>118.69999999999999</v>
      </c>
      <c r="Q2258" s="182">
        <v>1229000</v>
      </c>
      <c r="R2258" s="182">
        <v>38810</v>
      </c>
      <c r="S2258" s="182">
        <v>24200</v>
      </c>
      <c r="T2258" s="182">
        <v>19.7</v>
      </c>
      <c r="U2258" s="182">
        <v>48332.12010302813</v>
      </c>
      <c r="V2258" s="182">
        <v>27180000000</v>
      </c>
    </row>
    <row r="2259" spans="1:22">
      <c r="A2259" s="174" t="s">
        <v>4212</v>
      </c>
      <c r="B2259" s="174" t="s">
        <v>4212</v>
      </c>
      <c r="C2259" s="182">
        <f t="shared" si="16"/>
        <v>28.217400000000001</v>
      </c>
      <c r="D2259" s="182">
        <v>3590</v>
      </c>
      <c r="E2259" s="182">
        <v>308.7</v>
      </c>
      <c r="F2259" s="182">
        <v>101.8</v>
      </c>
      <c r="G2259" s="182">
        <v>6</v>
      </c>
      <c r="H2259" s="182">
        <v>8.8000000000000007</v>
      </c>
      <c r="I2259" s="182"/>
      <c r="J2259" s="182">
        <v>8</v>
      </c>
      <c r="K2259" s="182">
        <f t="shared" si="15"/>
        <v>5.7840909090909083</v>
      </c>
      <c r="L2259" s="182">
        <f t="shared" si="17"/>
        <v>45.849999999999994</v>
      </c>
      <c r="M2259" s="182">
        <v>53660000</v>
      </c>
      <c r="N2259" s="182">
        <v>402900</v>
      </c>
      <c r="O2259" s="182">
        <v>347600</v>
      </c>
      <c r="P2259" s="182">
        <v>122.30000000000001</v>
      </c>
      <c r="Q2259" s="182">
        <v>1554000</v>
      </c>
      <c r="R2259" s="182">
        <v>48450</v>
      </c>
      <c r="S2259" s="182">
        <v>30530</v>
      </c>
      <c r="T2259" s="182">
        <v>20.8</v>
      </c>
      <c r="U2259" s="182">
        <v>74782.751267026149</v>
      </c>
      <c r="V2259" s="182">
        <v>34790000000</v>
      </c>
    </row>
    <row r="2260" spans="1:22">
      <c r="A2260" s="174" t="s">
        <v>4213</v>
      </c>
      <c r="B2260" s="174" t="s">
        <v>4213</v>
      </c>
      <c r="C2260" s="182">
        <f t="shared" si="16"/>
        <v>32.854800000000004</v>
      </c>
      <c r="D2260" s="182">
        <v>4180</v>
      </c>
      <c r="E2260" s="182">
        <v>312.7</v>
      </c>
      <c r="F2260" s="182">
        <v>102.4</v>
      </c>
      <c r="G2260" s="182">
        <v>6.6</v>
      </c>
      <c r="H2260" s="182">
        <v>10.8</v>
      </c>
      <c r="I2260" s="182"/>
      <c r="J2260" s="182">
        <v>8</v>
      </c>
      <c r="K2260" s="182">
        <f t="shared" si="15"/>
        <v>4.7407407407407405</v>
      </c>
      <c r="L2260" s="182">
        <f t="shared" si="17"/>
        <v>41.68181818181818</v>
      </c>
      <c r="M2260" s="182">
        <v>65010000</v>
      </c>
      <c r="N2260" s="182">
        <v>480800</v>
      </c>
      <c r="O2260" s="182">
        <v>415800</v>
      </c>
      <c r="P2260" s="182">
        <v>124.7</v>
      </c>
      <c r="Q2260" s="182">
        <v>1941000</v>
      </c>
      <c r="R2260" s="182">
        <v>60040</v>
      </c>
      <c r="S2260" s="182">
        <v>37910</v>
      </c>
      <c r="T2260" s="182">
        <v>21.5</v>
      </c>
      <c r="U2260" s="182">
        <v>123065.36220548255</v>
      </c>
      <c r="V2260" s="182">
        <v>44040000000</v>
      </c>
    </row>
    <row r="2261" spans="1:22">
      <c r="A2261" s="174" t="s">
        <v>4214</v>
      </c>
      <c r="B2261" s="174" t="s">
        <v>4214</v>
      </c>
      <c r="C2261" s="182">
        <f t="shared" si="16"/>
        <v>37.099200000000003</v>
      </c>
      <c r="D2261" s="182">
        <v>4720</v>
      </c>
      <c r="E2261" s="182">
        <v>304.39999999999998</v>
      </c>
      <c r="F2261" s="182">
        <v>123.4</v>
      </c>
      <c r="G2261" s="182">
        <v>7.1</v>
      </c>
      <c r="H2261" s="182">
        <v>10.7</v>
      </c>
      <c r="I2261" s="182"/>
      <c r="J2261" s="182">
        <v>9</v>
      </c>
      <c r="K2261" s="182">
        <f t="shared" si="15"/>
        <v>5.7663551401869162</v>
      </c>
      <c r="L2261" s="182">
        <f t="shared" si="17"/>
        <v>37.323943661971832</v>
      </c>
      <c r="M2261" s="182">
        <v>71710000</v>
      </c>
      <c r="N2261" s="182">
        <v>539400</v>
      </c>
      <c r="O2261" s="182">
        <v>471100</v>
      </c>
      <c r="P2261" s="182">
        <v>123.3</v>
      </c>
      <c r="Q2261" s="182">
        <v>3362000</v>
      </c>
      <c r="R2261" s="182">
        <v>85410</v>
      </c>
      <c r="S2261" s="182">
        <v>54490</v>
      </c>
      <c r="T2261" s="182">
        <v>26.7</v>
      </c>
      <c r="U2261" s="182">
        <v>147993.05766567963</v>
      </c>
      <c r="V2261" s="182">
        <v>72260000000</v>
      </c>
    </row>
    <row r="2262" spans="1:22">
      <c r="A2262" s="174" t="s">
        <v>4215</v>
      </c>
      <c r="B2262" s="174" t="s">
        <v>4215</v>
      </c>
      <c r="C2262" s="182">
        <f t="shared" si="16"/>
        <v>41.9724</v>
      </c>
      <c r="D2262" s="182">
        <v>5340</v>
      </c>
      <c r="E2262" s="182">
        <v>307.2</v>
      </c>
      <c r="F2262" s="182">
        <v>124.3</v>
      </c>
      <c r="G2262" s="182">
        <v>8</v>
      </c>
      <c r="H2262" s="182">
        <v>12.1</v>
      </c>
      <c r="I2262" s="182"/>
      <c r="J2262" s="182">
        <v>9</v>
      </c>
      <c r="K2262" s="182">
        <f t="shared" si="15"/>
        <v>5.1363636363636367</v>
      </c>
      <c r="L2262" s="182">
        <f t="shared" si="17"/>
        <v>33.125</v>
      </c>
      <c r="M2262" s="182">
        <v>81960000</v>
      </c>
      <c r="N2262" s="182">
        <v>613500</v>
      </c>
      <c r="O2262" s="182">
        <v>533600</v>
      </c>
      <c r="P2262" s="182">
        <v>123.9</v>
      </c>
      <c r="Q2262" s="182">
        <v>3888000</v>
      </c>
      <c r="R2262" s="182">
        <v>98410</v>
      </c>
      <c r="S2262" s="182">
        <v>62550</v>
      </c>
      <c r="T2262" s="182">
        <v>27</v>
      </c>
      <c r="U2262" s="182">
        <v>211756.52729388158</v>
      </c>
      <c r="V2262" s="182">
        <v>84320000000</v>
      </c>
    </row>
    <row r="2263" spans="1:22">
      <c r="A2263" s="174" t="s">
        <v>4216</v>
      </c>
      <c r="B2263" s="174" t="s">
        <v>4216</v>
      </c>
      <c r="C2263" s="182">
        <f t="shared" si="16"/>
        <v>48.103200000000001</v>
      </c>
      <c r="D2263" s="182">
        <v>6120</v>
      </c>
      <c r="E2263" s="182">
        <v>311</v>
      </c>
      <c r="F2263" s="182">
        <v>125.3</v>
      </c>
      <c r="G2263" s="182">
        <v>9</v>
      </c>
      <c r="H2263" s="182">
        <v>14</v>
      </c>
      <c r="I2263" s="182"/>
      <c r="J2263" s="182">
        <v>9</v>
      </c>
      <c r="K2263" s="182">
        <f t="shared" si="15"/>
        <v>4.4749999999999996</v>
      </c>
      <c r="L2263" s="182">
        <f t="shared" si="17"/>
        <v>29.444444444444443</v>
      </c>
      <c r="M2263" s="182">
        <v>95750000</v>
      </c>
      <c r="N2263" s="182">
        <v>710700</v>
      </c>
      <c r="O2263" s="182">
        <v>615700</v>
      </c>
      <c r="P2263" s="182">
        <v>125</v>
      </c>
      <c r="Q2263" s="182">
        <v>4610000</v>
      </c>
      <c r="R2263" s="182">
        <v>116100</v>
      </c>
      <c r="S2263" s="182">
        <v>73590</v>
      </c>
      <c r="T2263" s="182">
        <v>27.400000000000002</v>
      </c>
      <c r="U2263" s="182">
        <v>318288.80019232316</v>
      </c>
      <c r="V2263" s="182">
        <v>101200000000</v>
      </c>
    </row>
    <row r="2264" spans="1:22">
      <c r="A2264" s="174" t="s">
        <v>4217</v>
      </c>
      <c r="B2264" s="174" t="s">
        <v>4217</v>
      </c>
      <c r="C2264" s="182">
        <f t="shared" si="16"/>
        <v>40.321800000000003</v>
      </c>
      <c r="D2264" s="182">
        <v>5130</v>
      </c>
      <c r="E2264" s="182">
        <v>303.39999999999998</v>
      </c>
      <c r="F2264" s="182">
        <v>165</v>
      </c>
      <c r="G2264" s="182">
        <v>6</v>
      </c>
      <c r="H2264" s="182">
        <v>10.199999999999999</v>
      </c>
      <c r="I2264" s="182"/>
      <c r="J2264" s="182">
        <v>9</v>
      </c>
      <c r="K2264" s="182">
        <f t="shared" si="15"/>
        <v>8.0882352941176467</v>
      </c>
      <c r="L2264" s="182">
        <f t="shared" si="17"/>
        <v>44.166666666666664</v>
      </c>
      <c r="M2264" s="182">
        <v>85030000</v>
      </c>
      <c r="N2264" s="182">
        <v>623100</v>
      </c>
      <c r="O2264" s="182">
        <v>560500</v>
      </c>
      <c r="P2264" s="182">
        <v>128.69999999999999</v>
      </c>
      <c r="Q2264" s="182">
        <v>7644000</v>
      </c>
      <c r="R2264" s="182">
        <v>141700</v>
      </c>
      <c r="S2264" s="182">
        <v>92650</v>
      </c>
      <c r="T2264" s="182">
        <v>38.6</v>
      </c>
      <c r="U2264" s="182">
        <v>147626.92441692727</v>
      </c>
      <c r="V2264" s="182">
        <v>164100000000</v>
      </c>
    </row>
    <row r="2265" spans="1:22">
      <c r="A2265" s="174" t="s">
        <v>4218</v>
      </c>
      <c r="B2265" s="174" t="s">
        <v>4218</v>
      </c>
      <c r="C2265" s="182">
        <f t="shared" si="16"/>
        <v>46.138200000000005</v>
      </c>
      <c r="D2265" s="182">
        <v>5870</v>
      </c>
      <c r="E2265" s="182">
        <v>306.60000000000002</v>
      </c>
      <c r="F2265" s="182">
        <v>165.7</v>
      </c>
      <c r="G2265" s="182">
        <v>6.7</v>
      </c>
      <c r="H2265" s="182">
        <v>11.8</v>
      </c>
      <c r="I2265" s="182"/>
      <c r="J2265" s="182">
        <v>9</v>
      </c>
      <c r="K2265" s="182">
        <f t="shared" si="15"/>
        <v>7.0211864406779654</v>
      </c>
      <c r="L2265" s="182">
        <f t="shared" si="17"/>
        <v>39.552238805970148</v>
      </c>
      <c r="M2265" s="182">
        <v>98990000</v>
      </c>
      <c r="N2265" s="182">
        <v>720000</v>
      </c>
      <c r="O2265" s="182">
        <v>645700</v>
      </c>
      <c r="P2265" s="182">
        <v>129.80000000000001</v>
      </c>
      <c r="Q2265" s="182">
        <v>8957000</v>
      </c>
      <c r="R2265" s="182">
        <v>165500</v>
      </c>
      <c r="S2265" s="182">
        <v>108100</v>
      </c>
      <c r="T2265" s="182">
        <v>39</v>
      </c>
      <c r="U2265" s="182">
        <v>222318.17690883335</v>
      </c>
      <c r="V2265" s="182">
        <v>194400000000</v>
      </c>
    </row>
    <row r="2266" spans="1:22">
      <c r="A2266" s="174" t="s">
        <v>4219</v>
      </c>
      <c r="B2266" s="174" t="s">
        <v>4219</v>
      </c>
      <c r="C2266" s="182">
        <f t="shared" si="16"/>
        <v>54.076800000000006</v>
      </c>
      <c r="D2266" s="182">
        <v>6880</v>
      </c>
      <c r="E2266" s="182">
        <v>310.39999999999998</v>
      </c>
      <c r="F2266" s="182">
        <v>166.9</v>
      </c>
      <c r="G2266" s="182">
        <v>7.9</v>
      </c>
      <c r="H2266" s="182">
        <v>13.7</v>
      </c>
      <c r="I2266" s="182"/>
      <c r="J2266" s="182">
        <v>9</v>
      </c>
      <c r="K2266" s="182">
        <f t="shared" si="15"/>
        <v>6.0912408759124093</v>
      </c>
      <c r="L2266" s="182">
        <f t="shared" si="17"/>
        <v>33.544303797468352</v>
      </c>
      <c r="M2266" s="182">
        <v>117000000</v>
      </c>
      <c r="N2266" s="182">
        <v>846100</v>
      </c>
      <c r="O2266" s="182">
        <v>753600</v>
      </c>
      <c r="P2266" s="182">
        <v>130.39999999999998</v>
      </c>
      <c r="Q2266" s="182">
        <v>10630000</v>
      </c>
      <c r="R2266" s="182">
        <v>195600</v>
      </c>
      <c r="S2266" s="182">
        <v>127400</v>
      </c>
      <c r="T2266" s="182">
        <v>39.300000000000004</v>
      </c>
      <c r="U2266" s="182">
        <v>348313.43459322525</v>
      </c>
      <c r="V2266" s="182">
        <v>233600000000</v>
      </c>
    </row>
    <row r="2267" spans="1:22">
      <c r="A2267" s="174" t="s">
        <v>4220</v>
      </c>
      <c r="B2267" s="174" t="s">
        <v>4220</v>
      </c>
      <c r="C2267" s="182">
        <f t="shared" si="16"/>
        <v>33.090600000000002</v>
      </c>
      <c r="D2267" s="182">
        <v>4210</v>
      </c>
      <c r="E2267" s="182">
        <v>349</v>
      </c>
      <c r="F2267" s="182">
        <v>125.4</v>
      </c>
      <c r="G2267" s="182">
        <v>6</v>
      </c>
      <c r="H2267" s="182">
        <v>8.5</v>
      </c>
      <c r="I2267" s="182"/>
      <c r="J2267" s="182">
        <v>10</v>
      </c>
      <c r="K2267" s="182">
        <f t="shared" si="15"/>
        <v>7.3764705882352946</v>
      </c>
      <c r="L2267" s="182">
        <f t="shared" si="17"/>
        <v>52</v>
      </c>
      <c r="M2267" s="182">
        <v>82490000</v>
      </c>
      <c r="N2267" s="182">
        <v>542900</v>
      </c>
      <c r="O2267" s="182">
        <v>472700</v>
      </c>
      <c r="P2267" s="182">
        <v>139.9</v>
      </c>
      <c r="Q2267" s="182">
        <v>2802000</v>
      </c>
      <c r="R2267" s="182">
        <v>70290</v>
      </c>
      <c r="S2267" s="182">
        <v>44690</v>
      </c>
      <c r="T2267" s="182">
        <v>25.8</v>
      </c>
      <c r="U2267" s="182">
        <v>87362.319231595699</v>
      </c>
      <c r="V2267" s="182">
        <v>80970000000</v>
      </c>
    </row>
    <row r="2268" spans="1:22">
      <c r="A2268" s="174" t="s">
        <v>4221</v>
      </c>
      <c r="B2268" s="174" t="s">
        <v>4221</v>
      </c>
      <c r="C2268" s="182">
        <f t="shared" si="16"/>
        <v>39.142800000000001</v>
      </c>
      <c r="D2268" s="182">
        <v>4980</v>
      </c>
      <c r="E2268" s="182">
        <v>353.4</v>
      </c>
      <c r="F2268" s="182">
        <v>126</v>
      </c>
      <c r="G2268" s="182">
        <v>6.6</v>
      </c>
      <c r="H2268" s="182">
        <v>10.7</v>
      </c>
      <c r="I2268" s="182"/>
      <c r="J2268" s="182">
        <v>10</v>
      </c>
      <c r="K2268" s="182">
        <f t="shared" si="15"/>
        <v>5.8878504672897201</v>
      </c>
      <c r="L2268" s="182">
        <f t="shared" si="17"/>
        <v>47.272727272727273</v>
      </c>
      <c r="M2268" s="182">
        <v>101700000</v>
      </c>
      <c r="N2268" s="182">
        <v>658500</v>
      </c>
      <c r="O2268" s="182">
        <v>575600</v>
      </c>
      <c r="P2268" s="182">
        <v>143</v>
      </c>
      <c r="Q2268" s="182">
        <v>3578000</v>
      </c>
      <c r="R2268" s="182">
        <v>89050</v>
      </c>
      <c r="S2268" s="182">
        <v>56800</v>
      </c>
      <c r="T2268" s="182">
        <v>26.8</v>
      </c>
      <c r="U2268" s="182">
        <v>150237.41090275126</v>
      </c>
      <c r="V2268" s="182">
        <v>104700000000</v>
      </c>
    </row>
    <row r="2269" spans="1:22">
      <c r="A2269" s="174" t="s">
        <v>4222</v>
      </c>
      <c r="B2269" s="174" t="s">
        <v>4222</v>
      </c>
      <c r="C2269" s="182">
        <f t="shared" si="16"/>
        <v>45.037800000000004</v>
      </c>
      <c r="D2269" s="182">
        <v>5730</v>
      </c>
      <c r="E2269" s="182">
        <v>351.4</v>
      </c>
      <c r="F2269" s="182">
        <v>171.1</v>
      </c>
      <c r="G2269" s="182">
        <v>7</v>
      </c>
      <c r="H2269" s="182">
        <v>9.6999999999999993</v>
      </c>
      <c r="I2269" s="182"/>
      <c r="J2269" s="182">
        <v>10</v>
      </c>
      <c r="K2269" s="182">
        <f t="shared" si="15"/>
        <v>8.81958762886598</v>
      </c>
      <c r="L2269" s="182">
        <f t="shared" si="17"/>
        <v>44.571428571428569</v>
      </c>
      <c r="M2269" s="182">
        <v>120700000</v>
      </c>
      <c r="N2269" s="182">
        <v>774600</v>
      </c>
      <c r="O2269" s="182">
        <v>686700</v>
      </c>
      <c r="P2269" s="182">
        <v>145.1</v>
      </c>
      <c r="Q2269" s="182">
        <v>8111000</v>
      </c>
      <c r="R2269" s="182">
        <v>146600</v>
      </c>
      <c r="S2269" s="182">
        <v>94810</v>
      </c>
      <c r="T2269" s="182">
        <v>37.599999999999994</v>
      </c>
      <c r="U2269" s="182">
        <v>157797.49381401949</v>
      </c>
      <c r="V2269" s="182">
        <v>236400000000</v>
      </c>
    </row>
    <row r="2270" spans="1:22">
      <c r="A2270" s="174" t="s">
        <v>4223</v>
      </c>
      <c r="B2270" s="174" t="s">
        <v>4223</v>
      </c>
      <c r="C2270" s="182">
        <f t="shared" si="16"/>
        <v>51.011400000000009</v>
      </c>
      <c r="D2270" s="182">
        <v>6490.0000000000009</v>
      </c>
      <c r="E2270" s="182">
        <v>355</v>
      </c>
      <c r="F2270" s="182">
        <v>171.5</v>
      </c>
      <c r="G2270" s="182">
        <v>7.4</v>
      </c>
      <c r="H2270" s="182">
        <v>11.5</v>
      </c>
      <c r="I2270" s="182"/>
      <c r="J2270" s="182">
        <v>10</v>
      </c>
      <c r="K2270" s="182">
        <f t="shared" si="15"/>
        <v>7.4565217391304346</v>
      </c>
      <c r="L2270" s="182">
        <f t="shared" si="17"/>
        <v>42.162162162162161</v>
      </c>
      <c r="M2270" s="182">
        <v>141400000</v>
      </c>
      <c r="N2270" s="182">
        <v>896000</v>
      </c>
      <c r="O2270" s="182">
        <v>796400</v>
      </c>
      <c r="P2270" s="182">
        <v>147.6</v>
      </c>
      <c r="Q2270" s="182">
        <v>9683000</v>
      </c>
      <c r="R2270" s="182">
        <v>174200</v>
      </c>
      <c r="S2270" s="182">
        <v>112900</v>
      </c>
      <c r="T2270" s="182">
        <v>38.6</v>
      </c>
      <c r="U2270" s="182">
        <v>237254.48284925014</v>
      </c>
      <c r="V2270" s="182">
        <v>285200000000</v>
      </c>
    </row>
    <row r="2271" spans="1:22">
      <c r="A2271" s="174" t="s">
        <v>4224</v>
      </c>
      <c r="B2271" s="174" t="s">
        <v>4224</v>
      </c>
      <c r="C2271" s="182">
        <f t="shared" si="16"/>
        <v>57.063600000000001</v>
      </c>
      <c r="D2271" s="182">
        <v>7259.9999999999991</v>
      </c>
      <c r="E2271" s="182">
        <v>358</v>
      </c>
      <c r="F2271" s="182">
        <v>172.2</v>
      </c>
      <c r="G2271" s="182">
        <v>8.1</v>
      </c>
      <c r="H2271" s="182">
        <v>13</v>
      </c>
      <c r="I2271" s="182"/>
      <c r="J2271" s="182">
        <v>10</v>
      </c>
      <c r="K2271" s="182">
        <f t="shared" si="15"/>
        <v>6.6230769230769226</v>
      </c>
      <c r="L2271" s="182">
        <f t="shared" si="17"/>
        <v>38.518518518518519</v>
      </c>
      <c r="M2271" s="182">
        <v>160400000</v>
      </c>
      <c r="N2271" s="182">
        <v>1010000</v>
      </c>
      <c r="O2271" s="182">
        <v>896000</v>
      </c>
      <c r="P2271" s="182">
        <v>148.69999999999999</v>
      </c>
      <c r="Q2271" s="182">
        <v>11080000</v>
      </c>
      <c r="R2271" s="182">
        <v>198800</v>
      </c>
      <c r="S2271" s="182">
        <v>128699.99999999999</v>
      </c>
      <c r="T2271" s="182">
        <v>39.1</v>
      </c>
      <c r="U2271" s="182">
        <v>332774.81901403773</v>
      </c>
      <c r="V2271" s="182">
        <v>329200000000</v>
      </c>
    </row>
    <row r="2272" spans="1:22">
      <c r="A2272" s="174" t="s">
        <v>4225</v>
      </c>
      <c r="B2272" s="174" t="s">
        <v>4225</v>
      </c>
      <c r="C2272" s="182">
        <f t="shared" si="16"/>
        <v>67.203000000000003</v>
      </c>
      <c r="D2272" s="182">
        <v>8550</v>
      </c>
      <c r="E2272" s="182">
        <v>363.4</v>
      </c>
      <c r="F2272" s="182">
        <v>173.2</v>
      </c>
      <c r="G2272" s="182">
        <v>9.1</v>
      </c>
      <c r="H2272" s="182">
        <v>15.7</v>
      </c>
      <c r="I2272" s="182"/>
      <c r="J2272" s="182">
        <v>10</v>
      </c>
      <c r="K2272" s="182">
        <f t="shared" si="15"/>
        <v>5.515923566878981</v>
      </c>
      <c r="L2272" s="182">
        <f t="shared" si="17"/>
        <v>34.285714285714285</v>
      </c>
      <c r="M2272" s="182">
        <v>194600000</v>
      </c>
      <c r="N2272" s="182">
        <v>1211000</v>
      </c>
      <c r="O2272" s="182">
        <v>1071000</v>
      </c>
      <c r="P2272" s="182">
        <v>150.9</v>
      </c>
      <c r="Q2272" s="182">
        <v>13620000</v>
      </c>
      <c r="R2272" s="182">
        <v>243000</v>
      </c>
      <c r="S2272" s="182">
        <v>157300</v>
      </c>
      <c r="T2272" s="182">
        <v>39.900000000000006</v>
      </c>
      <c r="U2272" s="182">
        <v>555399.58178783732</v>
      </c>
      <c r="V2272" s="182">
        <v>410900000000</v>
      </c>
    </row>
    <row r="2273" spans="1:22">
      <c r="A2273" s="174" t="s">
        <v>4226</v>
      </c>
      <c r="B2273" s="174" t="s">
        <v>4226</v>
      </c>
      <c r="C2273" s="182">
        <f t="shared" si="16"/>
        <v>39.064200000000007</v>
      </c>
      <c r="D2273" s="182">
        <v>4970</v>
      </c>
      <c r="E2273" s="182">
        <v>398</v>
      </c>
      <c r="F2273" s="182">
        <v>141.80000000000001</v>
      </c>
      <c r="G2273" s="182">
        <v>6.4</v>
      </c>
      <c r="H2273" s="182">
        <v>8.6</v>
      </c>
      <c r="I2273" s="182"/>
      <c r="J2273" s="182">
        <v>10</v>
      </c>
      <c r="K2273" s="182">
        <f t="shared" si="15"/>
        <v>8.2441860465116292</v>
      </c>
      <c r="L2273" s="182">
        <f t="shared" si="17"/>
        <v>56.375</v>
      </c>
      <c r="M2273" s="182">
        <v>125100000</v>
      </c>
      <c r="N2273" s="182">
        <v>723700</v>
      </c>
      <c r="O2273" s="182">
        <v>628600</v>
      </c>
      <c r="P2273" s="182">
        <v>158.69999999999999</v>
      </c>
      <c r="Q2273" s="182">
        <v>4098000</v>
      </c>
      <c r="R2273" s="182">
        <v>90850</v>
      </c>
      <c r="S2273" s="182">
        <v>57800</v>
      </c>
      <c r="T2273" s="182">
        <v>28.700000000000003</v>
      </c>
      <c r="U2273" s="182">
        <v>106443.25867694015</v>
      </c>
      <c r="V2273" s="182">
        <v>154900000000</v>
      </c>
    </row>
    <row r="2274" spans="1:22">
      <c r="A2274" s="174" t="s">
        <v>4227</v>
      </c>
      <c r="B2274" s="174" t="s">
        <v>4227</v>
      </c>
      <c r="C2274" s="182">
        <f t="shared" si="16"/>
        <v>46.059600000000003</v>
      </c>
      <c r="D2274" s="182">
        <v>5860</v>
      </c>
      <c r="E2274" s="182">
        <v>403.2</v>
      </c>
      <c r="F2274" s="182">
        <v>142.19999999999999</v>
      </c>
      <c r="G2274" s="182">
        <v>6.8</v>
      </c>
      <c r="H2274" s="182">
        <v>11.2</v>
      </c>
      <c r="I2274" s="182"/>
      <c r="J2274" s="182">
        <v>10</v>
      </c>
      <c r="K2274" s="182">
        <f t="shared" si="15"/>
        <v>6.3482142857142856</v>
      </c>
      <c r="L2274" s="182">
        <f t="shared" si="17"/>
        <v>53.058823529411768</v>
      </c>
      <c r="M2274" s="182">
        <v>156900000</v>
      </c>
      <c r="N2274" s="182">
        <v>887600</v>
      </c>
      <c r="O2274" s="182">
        <v>778000</v>
      </c>
      <c r="P2274" s="182">
        <v>163.5</v>
      </c>
      <c r="Q2274" s="182">
        <v>5381000</v>
      </c>
      <c r="R2274" s="182">
        <v>118100</v>
      </c>
      <c r="S2274" s="182">
        <v>75680</v>
      </c>
      <c r="T2274" s="182">
        <v>30.299999999999997</v>
      </c>
      <c r="U2274" s="182">
        <v>189494.76613614216</v>
      </c>
      <c r="V2274" s="182">
        <v>206200000000</v>
      </c>
    </row>
    <row r="2275" spans="1:22">
      <c r="A2275" s="174" t="s">
        <v>4228</v>
      </c>
      <c r="B2275" s="174" t="s">
        <v>4228</v>
      </c>
      <c r="C2275" s="182">
        <f t="shared" si="16"/>
        <v>53.448000000000008</v>
      </c>
      <c r="D2275" s="182">
        <v>6800</v>
      </c>
      <c r="E2275" s="182">
        <v>406.6</v>
      </c>
      <c r="F2275" s="182">
        <v>143.30000000000001</v>
      </c>
      <c r="G2275" s="182">
        <v>7.9</v>
      </c>
      <c r="H2275" s="182">
        <v>12.9</v>
      </c>
      <c r="I2275" s="182"/>
      <c r="J2275" s="182">
        <v>10</v>
      </c>
      <c r="K2275" s="182">
        <f t="shared" si="15"/>
        <v>5.554263565891473</v>
      </c>
      <c r="L2275" s="182">
        <f t="shared" si="17"/>
        <v>45.670886075949369</v>
      </c>
      <c r="M2275" s="182">
        <v>182800000</v>
      </c>
      <c r="N2275" s="182">
        <v>1031000</v>
      </c>
      <c r="O2275" s="182">
        <v>899300</v>
      </c>
      <c r="P2275" s="182">
        <v>164</v>
      </c>
      <c r="Q2275" s="182">
        <v>6346000</v>
      </c>
      <c r="R2275" s="182">
        <v>138900</v>
      </c>
      <c r="S2275" s="182">
        <v>88570</v>
      </c>
      <c r="T2275" s="182">
        <v>30.6</v>
      </c>
      <c r="U2275" s="182">
        <v>289500</v>
      </c>
      <c r="V2275" s="182">
        <v>245100000000</v>
      </c>
    </row>
    <row r="2276" spans="1:22">
      <c r="A2276" s="174" t="s">
        <v>4229</v>
      </c>
      <c r="B2276" s="174" t="s">
        <v>4229</v>
      </c>
      <c r="C2276" s="182">
        <f t="shared" si="16"/>
        <v>54.234000000000002</v>
      </c>
      <c r="D2276" s="182">
        <v>6900</v>
      </c>
      <c r="E2276" s="182">
        <v>402.6</v>
      </c>
      <c r="F2276" s="182">
        <v>177.7</v>
      </c>
      <c r="G2276" s="182">
        <v>7.7</v>
      </c>
      <c r="H2276" s="182">
        <v>10.9</v>
      </c>
      <c r="I2276" s="182"/>
      <c r="J2276" s="182">
        <v>10</v>
      </c>
      <c r="K2276" s="182">
        <f t="shared" si="15"/>
        <v>8.1513761467889907</v>
      </c>
      <c r="L2276" s="182">
        <f t="shared" si="17"/>
        <v>46.857142857142854</v>
      </c>
      <c r="M2276" s="182">
        <v>187200000</v>
      </c>
      <c r="N2276" s="182">
        <v>1055000</v>
      </c>
      <c r="O2276" s="182">
        <v>930000</v>
      </c>
      <c r="P2276" s="182">
        <v>164.8</v>
      </c>
      <c r="Q2276" s="182">
        <v>10210000</v>
      </c>
      <c r="R2276" s="182">
        <v>178300</v>
      </c>
      <c r="S2276" s="182">
        <v>114900</v>
      </c>
      <c r="T2276" s="182">
        <v>38.5</v>
      </c>
      <c r="U2276" s="182">
        <v>230411.45418025128</v>
      </c>
      <c r="V2276" s="182">
        <v>391000000000</v>
      </c>
    </row>
    <row r="2277" spans="1:22">
      <c r="A2277" s="174" t="s">
        <v>4230</v>
      </c>
      <c r="B2277" s="174" t="s">
        <v>4230</v>
      </c>
      <c r="C2277" s="182">
        <f t="shared" si="16"/>
        <v>60.129000000000005</v>
      </c>
      <c r="D2277" s="182">
        <v>7650</v>
      </c>
      <c r="E2277" s="182">
        <v>406.4</v>
      </c>
      <c r="F2277" s="182">
        <v>177.9</v>
      </c>
      <c r="G2277" s="182">
        <v>7.9</v>
      </c>
      <c r="H2277" s="182">
        <v>12.8</v>
      </c>
      <c r="I2277" s="182"/>
      <c r="J2277" s="182">
        <v>10</v>
      </c>
      <c r="K2277" s="182">
        <f t="shared" si="15"/>
        <v>6.94921875</v>
      </c>
      <c r="L2277" s="182">
        <f t="shared" si="17"/>
        <v>45.670886075949362</v>
      </c>
      <c r="M2277" s="182">
        <v>216000000</v>
      </c>
      <c r="N2277" s="182">
        <v>1199000</v>
      </c>
      <c r="O2277" s="182">
        <v>1063000</v>
      </c>
      <c r="P2277" s="182">
        <v>168</v>
      </c>
      <c r="Q2277" s="182">
        <v>12030000</v>
      </c>
      <c r="R2277" s="182">
        <v>209000</v>
      </c>
      <c r="S2277" s="182">
        <v>135300</v>
      </c>
      <c r="T2277" s="182">
        <v>39.700000000000003</v>
      </c>
      <c r="U2277" s="182">
        <v>332188.18448759976</v>
      </c>
      <c r="V2277" s="182">
        <v>465200000000</v>
      </c>
    </row>
    <row r="2278" spans="1:22">
      <c r="A2278" s="174" t="s">
        <v>4231</v>
      </c>
      <c r="B2278" s="174" t="s">
        <v>4231</v>
      </c>
      <c r="C2278" s="182">
        <f t="shared" si="16"/>
        <v>67.203000000000003</v>
      </c>
      <c r="D2278" s="182">
        <v>8550</v>
      </c>
      <c r="E2278" s="182">
        <v>409.4</v>
      </c>
      <c r="F2278" s="182">
        <v>178.8</v>
      </c>
      <c r="G2278" s="182">
        <v>8.8000000000000007</v>
      </c>
      <c r="H2278" s="182">
        <v>14.3</v>
      </c>
      <c r="I2278" s="182"/>
      <c r="J2278" s="182">
        <v>10</v>
      </c>
      <c r="K2278" s="182">
        <f t="shared" si="15"/>
        <v>6.2517482517482517</v>
      </c>
      <c r="L2278" s="182">
        <f t="shared" si="17"/>
        <v>40.999999999999993</v>
      </c>
      <c r="M2278" s="182">
        <v>243300000</v>
      </c>
      <c r="N2278" s="182">
        <v>1346000</v>
      </c>
      <c r="O2278" s="182">
        <v>1189000</v>
      </c>
      <c r="P2278" s="182">
        <v>168.70000000000002</v>
      </c>
      <c r="Q2278" s="182">
        <v>13650000</v>
      </c>
      <c r="R2278" s="182">
        <v>236600</v>
      </c>
      <c r="S2278" s="182">
        <v>152700</v>
      </c>
      <c r="T2278" s="182">
        <v>39.900000000000006</v>
      </c>
      <c r="U2278" s="182">
        <v>459897.07628519717</v>
      </c>
      <c r="V2278" s="182">
        <v>531700000000.00006</v>
      </c>
    </row>
    <row r="2279" spans="1:22">
      <c r="A2279" s="174" t="s">
        <v>4232</v>
      </c>
      <c r="B2279" s="174" t="s">
        <v>4232</v>
      </c>
      <c r="C2279" s="182">
        <f t="shared" si="16"/>
        <v>74.277000000000001</v>
      </c>
      <c r="D2279" s="182">
        <v>9450</v>
      </c>
      <c r="E2279" s="182">
        <v>412.8</v>
      </c>
      <c r="F2279" s="182">
        <v>179.5</v>
      </c>
      <c r="G2279" s="182">
        <v>9.5</v>
      </c>
      <c r="H2279" s="182">
        <v>16</v>
      </c>
      <c r="I2279" s="182"/>
      <c r="J2279" s="182">
        <v>10</v>
      </c>
      <c r="K2279" s="182">
        <f t="shared" si="15"/>
        <v>5.609375</v>
      </c>
      <c r="L2279" s="182">
        <f t="shared" si="17"/>
        <v>37.978947368421053</v>
      </c>
      <c r="M2279" s="182">
        <v>273100000</v>
      </c>
      <c r="N2279" s="182">
        <v>1501000</v>
      </c>
      <c r="O2279" s="182">
        <v>1323000</v>
      </c>
      <c r="P2279" s="182">
        <v>170</v>
      </c>
      <c r="Q2279" s="182">
        <v>15450000</v>
      </c>
      <c r="R2279" s="182">
        <v>267000</v>
      </c>
      <c r="S2279" s="182">
        <v>172200</v>
      </c>
      <c r="T2279" s="182">
        <v>40.4</v>
      </c>
      <c r="U2279" s="182">
        <v>626185.2276755739</v>
      </c>
      <c r="V2279" s="182">
        <v>607100000000</v>
      </c>
    </row>
    <row r="2280" spans="1:22">
      <c r="A2280" s="174" t="s">
        <v>4233</v>
      </c>
      <c r="B2280" s="174" t="s">
        <v>4233</v>
      </c>
      <c r="C2280" s="182">
        <f t="shared" si="16"/>
        <v>85.045200000000008</v>
      </c>
      <c r="D2280" s="182">
        <v>10820</v>
      </c>
      <c r="E2280" s="182">
        <v>417</v>
      </c>
      <c r="F2280" s="182">
        <v>181</v>
      </c>
      <c r="G2280" s="182">
        <v>10.9</v>
      </c>
      <c r="H2280" s="182">
        <v>18.2</v>
      </c>
      <c r="I2280" s="182"/>
      <c r="J2280" s="182">
        <v>10</v>
      </c>
      <c r="K2280" s="182">
        <f t="shared" si="15"/>
        <v>4.9725274725274726</v>
      </c>
      <c r="L2280" s="182">
        <f t="shared" si="17"/>
        <v>33.082568807339449</v>
      </c>
      <c r="M2280" s="182">
        <v>315300000</v>
      </c>
      <c r="N2280" s="182">
        <v>1725000</v>
      </c>
      <c r="O2280" s="182">
        <v>1512000</v>
      </c>
      <c r="P2280" s="182">
        <v>170.6</v>
      </c>
      <c r="Q2280" s="182">
        <v>18030000</v>
      </c>
      <c r="R2280" s="182">
        <v>310100</v>
      </c>
      <c r="S2280" s="182">
        <v>199300</v>
      </c>
      <c r="T2280" s="182">
        <v>40.799999999999997</v>
      </c>
      <c r="U2280" s="182">
        <v>924251.20551496453</v>
      </c>
      <c r="V2280" s="182">
        <v>715200000000</v>
      </c>
    </row>
    <row r="2281" spans="1:22">
      <c r="A2281" s="174" t="s">
        <v>4234</v>
      </c>
      <c r="B2281" s="174" t="s">
        <v>4234</v>
      </c>
      <c r="C2281" s="182">
        <f t="shared" si="16"/>
        <v>52.3476</v>
      </c>
      <c r="D2281" s="182">
        <v>6659.9999999999991</v>
      </c>
      <c r="E2281" s="182">
        <v>449.8</v>
      </c>
      <c r="F2281" s="182">
        <v>152.4</v>
      </c>
      <c r="G2281" s="182">
        <v>7.6</v>
      </c>
      <c r="H2281" s="182">
        <v>10.9</v>
      </c>
      <c r="I2281" s="182"/>
      <c r="J2281" s="182">
        <v>10</v>
      </c>
      <c r="K2281" s="182">
        <f t="shared" si="15"/>
        <v>6.9908256880733948</v>
      </c>
      <c r="L2281" s="182">
        <f t="shared" si="17"/>
        <v>53.684210526315795</v>
      </c>
      <c r="M2281" s="182">
        <v>213700000</v>
      </c>
      <c r="N2281" s="182">
        <v>1096000</v>
      </c>
      <c r="O2281" s="182">
        <v>950000</v>
      </c>
      <c r="P2281" s="182">
        <v>179.1</v>
      </c>
      <c r="Q2281" s="182">
        <v>6450000</v>
      </c>
      <c r="R2281" s="182">
        <v>133300</v>
      </c>
      <c r="S2281" s="182">
        <v>84640</v>
      </c>
      <c r="T2281" s="182">
        <v>31.099999999999998</v>
      </c>
      <c r="U2281" s="182">
        <v>212925.31054038982</v>
      </c>
      <c r="V2281" s="182">
        <v>309700000000</v>
      </c>
    </row>
    <row r="2282" spans="1:22">
      <c r="A2282" s="174" t="s">
        <v>4235</v>
      </c>
      <c r="B2282" s="174" t="s">
        <v>4235</v>
      </c>
      <c r="C2282" s="182">
        <f t="shared" si="16"/>
        <v>59.893200000000007</v>
      </c>
      <c r="D2282" s="182">
        <v>7620</v>
      </c>
      <c r="E2282" s="182">
        <v>454.6</v>
      </c>
      <c r="F2282" s="182">
        <v>152.9</v>
      </c>
      <c r="G2282" s="182">
        <v>8.1</v>
      </c>
      <c r="H2282" s="182">
        <v>13.3</v>
      </c>
      <c r="I2282" s="182"/>
      <c r="J2282" s="182">
        <v>10</v>
      </c>
      <c r="K2282" s="182">
        <f t="shared" si="15"/>
        <v>5.7481203007518795</v>
      </c>
      <c r="L2282" s="182">
        <f t="shared" si="17"/>
        <v>50.370370370370374</v>
      </c>
      <c r="M2282" s="182">
        <v>255000000</v>
      </c>
      <c r="N2282" s="182">
        <v>1287000</v>
      </c>
      <c r="O2282" s="182">
        <v>1122000</v>
      </c>
      <c r="P2282" s="182">
        <v>182.89999999999998</v>
      </c>
      <c r="Q2282" s="182">
        <v>7946000</v>
      </c>
      <c r="R2282" s="182">
        <v>163100</v>
      </c>
      <c r="S2282" s="182">
        <v>103900</v>
      </c>
      <c r="T2282" s="182">
        <v>32.299999999999997</v>
      </c>
      <c r="U2282" s="182">
        <v>337374.70299387648</v>
      </c>
      <c r="V2282" s="182">
        <v>385800000000</v>
      </c>
    </row>
    <row r="2283" spans="1:22">
      <c r="A2283" s="174" t="s">
        <v>4236</v>
      </c>
      <c r="B2283" s="174" t="s">
        <v>4236</v>
      </c>
      <c r="C2283" s="182">
        <f t="shared" si="16"/>
        <v>67.281600000000012</v>
      </c>
      <c r="D2283" s="182">
        <v>8560</v>
      </c>
      <c r="E2283" s="182">
        <v>458</v>
      </c>
      <c r="F2283" s="182">
        <v>153.80000000000001</v>
      </c>
      <c r="G2283" s="182">
        <v>9</v>
      </c>
      <c r="H2283" s="182">
        <v>15</v>
      </c>
      <c r="I2283" s="182"/>
      <c r="J2283" s="182">
        <v>10</v>
      </c>
      <c r="K2283" s="182">
        <f t="shared" si="15"/>
        <v>5.1266666666666669</v>
      </c>
      <c r="L2283" s="182">
        <f t="shared" si="17"/>
        <v>45.333333333333336</v>
      </c>
      <c r="M2283" s="182">
        <v>289300000</v>
      </c>
      <c r="N2283" s="182">
        <v>1453000</v>
      </c>
      <c r="O2283" s="182">
        <v>1263000</v>
      </c>
      <c r="P2283" s="182">
        <v>183.9</v>
      </c>
      <c r="Q2283" s="182">
        <v>9126000</v>
      </c>
      <c r="R2283" s="182">
        <v>186700</v>
      </c>
      <c r="S2283" s="182">
        <v>118700</v>
      </c>
      <c r="T2283" s="182">
        <v>32.700000000000003</v>
      </c>
      <c r="U2283" s="182">
        <v>475481.14082113985</v>
      </c>
      <c r="V2283" s="182">
        <v>446200000000</v>
      </c>
    </row>
    <row r="2284" spans="1:22">
      <c r="A2284" s="174" t="s">
        <v>4237</v>
      </c>
      <c r="B2284" s="174" t="s">
        <v>4237</v>
      </c>
      <c r="C2284" s="182">
        <f t="shared" si="16"/>
        <v>74.277000000000001</v>
      </c>
      <c r="D2284" s="182">
        <v>9450</v>
      </c>
      <c r="E2284" s="182">
        <v>462</v>
      </c>
      <c r="F2284" s="182">
        <v>154.4</v>
      </c>
      <c r="G2284" s="182">
        <v>9.6</v>
      </c>
      <c r="H2284" s="182">
        <v>17</v>
      </c>
      <c r="I2284" s="182"/>
      <c r="J2284" s="182">
        <v>10</v>
      </c>
      <c r="K2284" s="182">
        <f t="shared" si="15"/>
        <v>4.5411764705882351</v>
      </c>
      <c r="L2284" s="182">
        <f t="shared" si="17"/>
        <v>42.5</v>
      </c>
      <c r="M2284" s="182">
        <v>326700000</v>
      </c>
      <c r="N2284" s="182">
        <v>1627000</v>
      </c>
      <c r="O2284" s="182">
        <v>1414000</v>
      </c>
      <c r="P2284" s="182">
        <v>186</v>
      </c>
      <c r="Q2284" s="182">
        <v>10470000</v>
      </c>
      <c r="R2284" s="182">
        <v>213100</v>
      </c>
      <c r="S2284" s="182">
        <v>135600</v>
      </c>
      <c r="T2284" s="182">
        <v>33.299999999999997</v>
      </c>
      <c r="U2284" s="182">
        <v>657741.08625227457</v>
      </c>
      <c r="V2284" s="182">
        <v>516299999999.99994</v>
      </c>
    </row>
    <row r="2285" spans="1:22">
      <c r="A2285" s="174" t="s">
        <v>4238</v>
      </c>
      <c r="B2285" s="174" t="s">
        <v>4238</v>
      </c>
      <c r="C2285" s="182">
        <f t="shared" si="16"/>
        <v>82.137</v>
      </c>
      <c r="D2285" s="182">
        <v>10450</v>
      </c>
      <c r="E2285" s="182">
        <v>465.8</v>
      </c>
      <c r="F2285" s="182">
        <v>155.30000000000001</v>
      </c>
      <c r="G2285" s="182">
        <v>10.5</v>
      </c>
      <c r="H2285" s="182">
        <v>18.899999999999999</v>
      </c>
      <c r="I2285" s="182"/>
      <c r="J2285" s="182">
        <v>10</v>
      </c>
      <c r="K2285" s="182">
        <f t="shared" si="15"/>
        <v>4.1084656084656093</v>
      </c>
      <c r="L2285" s="182">
        <f t="shared" si="17"/>
        <v>38.857142857142854</v>
      </c>
      <c r="M2285" s="182">
        <v>365900000</v>
      </c>
      <c r="N2285" s="182">
        <v>1811000</v>
      </c>
      <c r="O2285" s="182">
        <v>1571000</v>
      </c>
      <c r="P2285" s="182">
        <v>187.10000000000002</v>
      </c>
      <c r="Q2285" s="182">
        <v>11850000</v>
      </c>
      <c r="R2285" s="182">
        <v>240400</v>
      </c>
      <c r="S2285" s="182">
        <v>152500</v>
      </c>
      <c r="T2285" s="182">
        <v>33.700000000000003</v>
      </c>
      <c r="U2285" s="182">
        <v>890482.42482525448</v>
      </c>
      <c r="V2285" s="182">
        <v>589100000000</v>
      </c>
    </row>
    <row r="2286" spans="1:22">
      <c r="A2286" s="174" t="s">
        <v>4239</v>
      </c>
      <c r="B2286" s="174" t="s">
        <v>4239</v>
      </c>
      <c r="C2286" s="182">
        <f t="shared" si="16"/>
        <v>67.203000000000003</v>
      </c>
      <c r="D2286" s="182">
        <v>8550</v>
      </c>
      <c r="E2286" s="182">
        <v>453.4</v>
      </c>
      <c r="F2286" s="182">
        <v>189.9</v>
      </c>
      <c r="G2286" s="182">
        <v>8.5</v>
      </c>
      <c r="H2286" s="182">
        <v>12.7</v>
      </c>
      <c r="I2286" s="182"/>
      <c r="J2286" s="182">
        <v>10</v>
      </c>
      <c r="K2286" s="182">
        <f t="shared" si="15"/>
        <v>7.4763779527559064</v>
      </c>
      <c r="L2286" s="182">
        <f t="shared" si="17"/>
        <v>48</v>
      </c>
      <c r="M2286" s="182">
        <v>293800000</v>
      </c>
      <c r="N2286" s="182">
        <v>1471000</v>
      </c>
      <c r="O2286" s="182">
        <v>1296000</v>
      </c>
      <c r="P2286" s="182">
        <v>185.39999999999998</v>
      </c>
      <c r="Q2286" s="182">
        <v>14520000</v>
      </c>
      <c r="R2286" s="182">
        <v>237300</v>
      </c>
      <c r="S2286" s="182">
        <v>152900</v>
      </c>
      <c r="T2286" s="182">
        <v>41.2</v>
      </c>
      <c r="U2286" s="182">
        <v>370318.83191320824</v>
      </c>
      <c r="V2286" s="182">
        <v>703800000000</v>
      </c>
    </row>
    <row r="2287" spans="1:22">
      <c r="A2287" s="174" t="s">
        <v>4240</v>
      </c>
      <c r="B2287" s="174" t="s">
        <v>4240</v>
      </c>
      <c r="C2287" s="182">
        <f t="shared" si="16"/>
        <v>74.35560000000001</v>
      </c>
      <c r="D2287" s="182">
        <v>9460</v>
      </c>
      <c r="E2287" s="182">
        <v>457</v>
      </c>
      <c r="F2287" s="182">
        <v>190.4</v>
      </c>
      <c r="G2287" s="182">
        <v>9</v>
      </c>
      <c r="H2287" s="182">
        <v>14.5</v>
      </c>
      <c r="I2287" s="182"/>
      <c r="J2287" s="182">
        <v>10</v>
      </c>
      <c r="K2287" s="182">
        <f t="shared" si="15"/>
        <v>6.5655172413793101</v>
      </c>
      <c r="L2287" s="182">
        <f t="shared" si="17"/>
        <v>45.333333333333336</v>
      </c>
      <c r="M2287" s="182">
        <v>333200000</v>
      </c>
      <c r="N2287" s="182">
        <v>1653000</v>
      </c>
      <c r="O2287" s="182">
        <v>1458000</v>
      </c>
      <c r="P2287" s="182">
        <v>187.60000000000002</v>
      </c>
      <c r="Q2287" s="182">
        <v>16710000</v>
      </c>
      <c r="R2287" s="182">
        <v>272100</v>
      </c>
      <c r="S2287" s="182">
        <v>175500</v>
      </c>
      <c r="T2287" s="182">
        <v>42</v>
      </c>
      <c r="U2287" s="182">
        <v>516764.47972790425</v>
      </c>
      <c r="V2287" s="182">
        <v>816600000000</v>
      </c>
    </row>
    <row r="2288" spans="1:22">
      <c r="A2288" s="174" t="s">
        <v>4241</v>
      </c>
      <c r="B2288" s="174" t="s">
        <v>4241</v>
      </c>
      <c r="C2288" s="182">
        <f t="shared" si="16"/>
        <v>82.137</v>
      </c>
      <c r="D2288" s="182">
        <v>10450</v>
      </c>
      <c r="E2288" s="182">
        <v>460</v>
      </c>
      <c r="F2288" s="182">
        <v>191.3</v>
      </c>
      <c r="G2288" s="182">
        <v>9.9</v>
      </c>
      <c r="H2288" s="182">
        <v>16</v>
      </c>
      <c r="I2288" s="182"/>
      <c r="J2288" s="182">
        <v>10</v>
      </c>
      <c r="K2288" s="182">
        <f t="shared" si="15"/>
        <v>5.9781250000000004</v>
      </c>
      <c r="L2288" s="182">
        <f t="shared" si="17"/>
        <v>41.212121212121211</v>
      </c>
      <c r="M2288" s="182">
        <v>370500000</v>
      </c>
      <c r="N2288" s="182">
        <v>1831000</v>
      </c>
      <c r="O2288" s="182">
        <v>1611000</v>
      </c>
      <c r="P2288" s="182">
        <v>188.29999999999998</v>
      </c>
      <c r="Q2288" s="182">
        <v>18710000</v>
      </c>
      <c r="R2288" s="182">
        <v>303900</v>
      </c>
      <c r="S2288" s="182">
        <v>195600</v>
      </c>
      <c r="T2288" s="182">
        <v>42.300000000000004</v>
      </c>
      <c r="U2288" s="182">
        <v>690617.9511080588</v>
      </c>
      <c r="V2288" s="182">
        <v>920100000000</v>
      </c>
    </row>
    <row r="2289" spans="1:22">
      <c r="A2289" s="174" t="s">
        <v>4242</v>
      </c>
      <c r="B2289" s="174" t="s">
        <v>4242</v>
      </c>
      <c r="C2289" s="182">
        <f t="shared" si="16"/>
        <v>89.44680000000001</v>
      </c>
      <c r="D2289" s="182">
        <v>11380</v>
      </c>
      <c r="E2289" s="182">
        <v>463.4</v>
      </c>
      <c r="F2289" s="182">
        <v>191.9</v>
      </c>
      <c r="G2289" s="182">
        <v>10.5</v>
      </c>
      <c r="H2289" s="182">
        <v>17.7</v>
      </c>
      <c r="I2289" s="182"/>
      <c r="J2289" s="182">
        <v>10</v>
      </c>
      <c r="K2289" s="182">
        <f t="shared" si="15"/>
        <v>5.4209039548022604</v>
      </c>
      <c r="L2289" s="182">
        <f t="shared" si="17"/>
        <v>38.857142857142854</v>
      </c>
      <c r="M2289" s="182">
        <v>410200000</v>
      </c>
      <c r="N2289" s="182">
        <v>2014000</v>
      </c>
      <c r="O2289" s="182">
        <v>1770000</v>
      </c>
      <c r="P2289" s="182">
        <v>189.89999999999998</v>
      </c>
      <c r="Q2289" s="182">
        <v>20890000</v>
      </c>
      <c r="R2289" s="182">
        <v>338400</v>
      </c>
      <c r="S2289" s="182">
        <v>217800</v>
      </c>
      <c r="T2289" s="182">
        <v>42.9</v>
      </c>
      <c r="U2289" s="182">
        <v>905274.89998786966</v>
      </c>
      <c r="V2289" s="182">
        <v>1035000000000</v>
      </c>
    </row>
    <row r="2290" spans="1:22">
      <c r="A2290" s="174" t="s">
        <v>4243</v>
      </c>
      <c r="B2290" s="174" t="s">
        <v>4243</v>
      </c>
      <c r="C2290" s="182">
        <f t="shared" si="16"/>
        <v>98.485800000000012</v>
      </c>
      <c r="D2290" s="182">
        <v>12530</v>
      </c>
      <c r="E2290" s="182">
        <v>467.2</v>
      </c>
      <c r="F2290" s="182">
        <v>192.8</v>
      </c>
      <c r="G2290" s="182">
        <v>11.4</v>
      </c>
      <c r="H2290" s="182">
        <v>19.600000000000001</v>
      </c>
      <c r="I2290" s="182"/>
      <c r="J2290" s="182">
        <v>10</v>
      </c>
      <c r="K2290" s="182">
        <f t="shared" si="15"/>
        <v>4.9183673469387754</v>
      </c>
      <c r="L2290" s="182">
        <f t="shared" si="17"/>
        <v>35.789473684210527</v>
      </c>
      <c r="M2290" s="182">
        <v>457300000</v>
      </c>
      <c r="N2290" s="182">
        <v>2232000</v>
      </c>
      <c r="O2290" s="182">
        <v>1957000</v>
      </c>
      <c r="P2290" s="182">
        <v>191.1</v>
      </c>
      <c r="Q2290" s="182">
        <v>23470000</v>
      </c>
      <c r="R2290" s="182">
        <v>378900</v>
      </c>
      <c r="S2290" s="182">
        <v>243500</v>
      </c>
      <c r="T2290" s="182">
        <v>43.3</v>
      </c>
      <c r="U2290" s="182">
        <v>1210694.860789102</v>
      </c>
      <c r="V2290" s="182">
        <v>1173000000000</v>
      </c>
    </row>
    <row r="2291" spans="1:22">
      <c r="A2291" s="174" t="s">
        <v>4244</v>
      </c>
      <c r="B2291" s="174" t="s">
        <v>4244</v>
      </c>
      <c r="C2291" s="182">
        <f t="shared" si="16"/>
        <v>105.87419999999999</v>
      </c>
      <c r="D2291" s="182">
        <v>13469.999999999998</v>
      </c>
      <c r="E2291" s="182">
        <v>469</v>
      </c>
      <c r="F2291" s="182">
        <v>194</v>
      </c>
      <c r="G2291" s="182">
        <v>12.6</v>
      </c>
      <c r="H2291" s="182">
        <v>20.6</v>
      </c>
      <c r="I2291" s="182"/>
      <c r="J2291" s="182">
        <v>10</v>
      </c>
      <c r="K2291" s="182">
        <f t="shared" si="15"/>
        <v>4.7087378640776691</v>
      </c>
      <c r="L2291" s="182">
        <f t="shared" si="17"/>
        <v>32.365079365079367</v>
      </c>
      <c r="M2291" s="182">
        <v>487900000</v>
      </c>
      <c r="N2291" s="182">
        <v>2385000</v>
      </c>
      <c r="O2291" s="182">
        <v>2081000</v>
      </c>
      <c r="P2291" s="182">
        <v>190.39999999999998</v>
      </c>
      <c r="Q2291" s="182">
        <v>25150000</v>
      </c>
      <c r="R2291" s="182">
        <v>405300</v>
      </c>
      <c r="S2291" s="182">
        <v>259200</v>
      </c>
      <c r="T2291" s="182">
        <v>43.2</v>
      </c>
      <c r="U2291" s="182">
        <v>1455076.0352043775</v>
      </c>
      <c r="V2291" s="182">
        <v>1260000000000</v>
      </c>
    </row>
    <row r="2292" spans="1:22">
      <c r="A2292" s="174" t="s">
        <v>4245</v>
      </c>
      <c r="B2292" s="174" t="s">
        <v>4245</v>
      </c>
      <c r="C2292" s="182">
        <f t="shared" si="16"/>
        <v>65.866800000000012</v>
      </c>
      <c r="D2292" s="182">
        <v>8380</v>
      </c>
      <c r="E2292" s="182">
        <v>525</v>
      </c>
      <c r="F2292" s="182">
        <v>165</v>
      </c>
      <c r="G2292" s="182">
        <v>8.9</v>
      </c>
      <c r="H2292" s="182">
        <v>11.4</v>
      </c>
      <c r="I2292" s="182"/>
      <c r="J2292" s="182">
        <v>13</v>
      </c>
      <c r="K2292" s="182">
        <f t="shared" si="15"/>
        <v>7.2368421052631575</v>
      </c>
      <c r="L2292" s="182">
        <f t="shared" si="17"/>
        <v>53.50561797752809</v>
      </c>
      <c r="M2292" s="182">
        <v>351000000</v>
      </c>
      <c r="N2292" s="182">
        <v>1563000</v>
      </c>
      <c r="O2292" s="182">
        <v>1337000</v>
      </c>
      <c r="P2292" s="182">
        <v>204.7</v>
      </c>
      <c r="Q2292" s="182">
        <v>8573000</v>
      </c>
      <c r="R2292" s="182">
        <v>166200</v>
      </c>
      <c r="S2292" s="182">
        <v>103900</v>
      </c>
      <c r="T2292" s="182">
        <v>32</v>
      </c>
      <c r="U2292" s="182">
        <v>321542.53778728074</v>
      </c>
      <c r="V2292" s="182">
        <v>562900000000</v>
      </c>
    </row>
    <row r="2293" spans="1:22">
      <c r="A2293" s="174" t="s">
        <v>4246</v>
      </c>
      <c r="B2293" s="174" t="s">
        <v>4246</v>
      </c>
      <c r="C2293" s="182">
        <f t="shared" si="16"/>
        <v>74.905799999999999</v>
      </c>
      <c r="D2293" s="182">
        <v>9530</v>
      </c>
      <c r="E2293" s="182">
        <v>529</v>
      </c>
      <c r="F2293" s="182">
        <v>166</v>
      </c>
      <c r="G2293" s="182">
        <v>9.6999999999999993</v>
      </c>
      <c r="H2293" s="182">
        <v>13.6</v>
      </c>
      <c r="I2293" s="182"/>
      <c r="J2293" s="182">
        <v>13</v>
      </c>
      <c r="K2293" s="182">
        <f t="shared" si="15"/>
        <v>6.1029411764705888</v>
      </c>
      <c r="L2293" s="182">
        <f t="shared" si="17"/>
        <v>49.051546391752581</v>
      </c>
      <c r="M2293" s="182">
        <v>411000000</v>
      </c>
      <c r="N2293" s="182">
        <v>1810000</v>
      </c>
      <c r="O2293" s="182">
        <v>1554000</v>
      </c>
      <c r="P2293" s="182">
        <v>207.7</v>
      </c>
      <c r="Q2293" s="182">
        <v>10420000</v>
      </c>
      <c r="R2293" s="182">
        <v>200300</v>
      </c>
      <c r="S2293" s="182">
        <v>125500</v>
      </c>
      <c r="T2293" s="182">
        <v>33.1</v>
      </c>
      <c r="U2293" s="182">
        <v>482032.08329647139</v>
      </c>
      <c r="V2293" s="182">
        <v>688600000000</v>
      </c>
    </row>
    <row r="2294" spans="1:22">
      <c r="A2294" s="174" t="s">
        <v>4247</v>
      </c>
      <c r="B2294" s="174" t="s">
        <v>4247</v>
      </c>
      <c r="C2294" s="182">
        <f t="shared" si="16"/>
        <v>84.809400000000011</v>
      </c>
      <c r="D2294" s="182">
        <v>10790</v>
      </c>
      <c r="E2294" s="182">
        <v>535</v>
      </c>
      <c r="F2294" s="182">
        <v>166</v>
      </c>
      <c r="G2294" s="182">
        <v>10.3</v>
      </c>
      <c r="H2294" s="182">
        <v>16.5</v>
      </c>
      <c r="I2294" s="182"/>
      <c r="J2294" s="182">
        <v>13</v>
      </c>
      <c r="K2294" s="182">
        <f t="shared" si="15"/>
        <v>5.0303030303030303</v>
      </c>
      <c r="L2294" s="182">
        <f t="shared" si="17"/>
        <v>46.213592233009706</v>
      </c>
      <c r="M2294" s="182">
        <v>485800000</v>
      </c>
      <c r="N2294" s="182">
        <v>2105000</v>
      </c>
      <c r="O2294" s="182">
        <v>1816000</v>
      </c>
      <c r="P2294" s="182">
        <v>212.2</v>
      </c>
      <c r="Q2294" s="182">
        <v>12640000</v>
      </c>
      <c r="R2294" s="182">
        <v>241800</v>
      </c>
      <c r="S2294" s="182">
        <v>152200</v>
      </c>
      <c r="T2294" s="182">
        <v>34.200000000000003</v>
      </c>
      <c r="U2294" s="182">
        <v>739846.20732730511</v>
      </c>
      <c r="V2294" s="182">
        <v>845500000000</v>
      </c>
    </row>
    <row r="2295" spans="1:22">
      <c r="A2295" s="174" t="s">
        <v>4248</v>
      </c>
      <c r="B2295" s="174" t="s">
        <v>4248</v>
      </c>
      <c r="C2295" s="182">
        <f t="shared" si="16"/>
        <v>82.294200000000004</v>
      </c>
      <c r="D2295" s="182">
        <v>10470</v>
      </c>
      <c r="E2295" s="182">
        <v>528.29999999999995</v>
      </c>
      <c r="F2295" s="182">
        <v>208.8</v>
      </c>
      <c r="G2295" s="182">
        <v>9.6</v>
      </c>
      <c r="H2295" s="182">
        <v>13.2</v>
      </c>
      <c r="I2295" s="182"/>
      <c r="J2295" s="182">
        <v>13</v>
      </c>
      <c r="K2295" s="182">
        <f t="shared" si="15"/>
        <v>7.9090909090909101</v>
      </c>
      <c r="L2295" s="182">
        <f t="shared" si="17"/>
        <v>49.572916666666664</v>
      </c>
      <c r="M2295" s="182">
        <v>475400000</v>
      </c>
      <c r="N2295" s="182">
        <v>2059000</v>
      </c>
      <c r="O2295" s="182">
        <v>1800000</v>
      </c>
      <c r="P2295" s="182">
        <v>213.1</v>
      </c>
      <c r="Q2295" s="182">
        <v>20070000</v>
      </c>
      <c r="R2295" s="182">
        <v>300400</v>
      </c>
      <c r="S2295" s="182">
        <v>192300</v>
      </c>
      <c r="T2295" s="182">
        <v>43.8</v>
      </c>
      <c r="U2295" s="182">
        <v>517559.08674522233</v>
      </c>
      <c r="V2295" s="182">
        <v>1328000000000</v>
      </c>
    </row>
    <row r="2296" spans="1:22">
      <c r="A2296" s="174" t="s">
        <v>4249</v>
      </c>
      <c r="B2296" s="174" t="s">
        <v>4249</v>
      </c>
      <c r="C2296" s="182">
        <f t="shared" si="16"/>
        <v>92.27640000000001</v>
      </c>
      <c r="D2296" s="182">
        <v>11740</v>
      </c>
      <c r="E2296" s="182">
        <v>533.1</v>
      </c>
      <c r="F2296" s="182">
        <v>209.3</v>
      </c>
      <c r="G2296" s="182">
        <v>10.1</v>
      </c>
      <c r="H2296" s="182">
        <v>15.6</v>
      </c>
      <c r="I2296" s="182"/>
      <c r="J2296" s="182">
        <v>13</v>
      </c>
      <c r="K2296" s="182">
        <f t="shared" si="15"/>
        <v>6.7083333333333339</v>
      </c>
      <c r="L2296" s="182">
        <f t="shared" si="17"/>
        <v>47.118811881188122</v>
      </c>
      <c r="M2296" s="182">
        <v>552300000</v>
      </c>
      <c r="N2296" s="182">
        <v>2360000</v>
      </c>
      <c r="O2296" s="182">
        <v>2072000</v>
      </c>
      <c r="P2296" s="182">
        <v>216.9</v>
      </c>
      <c r="Q2296" s="182">
        <v>23890000</v>
      </c>
      <c r="R2296" s="182">
        <v>355600</v>
      </c>
      <c r="S2296" s="182">
        <v>228300</v>
      </c>
      <c r="T2296" s="182">
        <v>45.099999999999994</v>
      </c>
      <c r="U2296" s="182">
        <v>759550.36366201355</v>
      </c>
      <c r="V2296" s="182">
        <v>1596000000000</v>
      </c>
    </row>
    <row r="2297" spans="1:22">
      <c r="A2297" s="174" t="s">
        <v>4250</v>
      </c>
      <c r="B2297" s="174" t="s">
        <v>4250</v>
      </c>
      <c r="C2297" s="182">
        <f t="shared" si="16"/>
        <v>101.15819999999999</v>
      </c>
      <c r="D2297" s="182">
        <v>12869.999999999998</v>
      </c>
      <c r="E2297" s="182">
        <v>536.70000000000005</v>
      </c>
      <c r="F2297" s="182">
        <v>210</v>
      </c>
      <c r="G2297" s="182">
        <v>10.8</v>
      </c>
      <c r="H2297" s="182">
        <v>17.399999999999999</v>
      </c>
      <c r="I2297" s="182"/>
      <c r="J2297" s="182">
        <v>13</v>
      </c>
      <c r="K2297" s="182">
        <f t="shared" si="15"/>
        <v>6.0344827586206904</v>
      </c>
      <c r="L2297" s="182">
        <f t="shared" si="17"/>
        <v>44.064814814814817</v>
      </c>
      <c r="M2297" s="182">
        <v>615200000</v>
      </c>
      <c r="N2297" s="182">
        <v>2612000</v>
      </c>
      <c r="O2297" s="182">
        <v>2292000</v>
      </c>
      <c r="P2297" s="182">
        <v>218.70000000000002</v>
      </c>
      <c r="Q2297" s="182">
        <v>26920000</v>
      </c>
      <c r="R2297" s="182">
        <v>399400</v>
      </c>
      <c r="S2297" s="182">
        <v>256399.99999999997</v>
      </c>
      <c r="T2297" s="182">
        <v>45.7</v>
      </c>
      <c r="U2297" s="182">
        <v>1013021.4213197345</v>
      </c>
      <c r="V2297" s="182">
        <v>1811000000000</v>
      </c>
    </row>
    <row r="2298" spans="1:22">
      <c r="A2298" s="174" t="s">
        <v>4251</v>
      </c>
      <c r="B2298" s="174" t="s">
        <v>4251</v>
      </c>
      <c r="C2298" s="182">
        <f t="shared" si="16"/>
        <v>109.17540000000001</v>
      </c>
      <c r="D2298" s="182">
        <v>13890</v>
      </c>
      <c r="E2298" s="182">
        <v>539.5</v>
      </c>
      <c r="F2298" s="182">
        <v>210.8</v>
      </c>
      <c r="G2298" s="182">
        <v>11.6</v>
      </c>
      <c r="H2298" s="182">
        <v>18.8</v>
      </c>
      <c r="I2298" s="182"/>
      <c r="J2298" s="182">
        <v>13</v>
      </c>
      <c r="K2298" s="182">
        <f t="shared" si="15"/>
        <v>5.6063829787234045</v>
      </c>
      <c r="L2298" s="182">
        <f t="shared" si="17"/>
        <v>41.025862068965516</v>
      </c>
      <c r="M2298" s="182">
        <v>668200000</v>
      </c>
      <c r="N2298" s="182">
        <v>2828000</v>
      </c>
      <c r="O2298" s="182">
        <v>2477000</v>
      </c>
      <c r="P2298" s="182">
        <v>219.4</v>
      </c>
      <c r="Q2298" s="182">
        <v>29430000</v>
      </c>
      <c r="R2298" s="182">
        <v>435800</v>
      </c>
      <c r="S2298" s="182">
        <v>279200</v>
      </c>
      <c r="T2298" s="182">
        <v>46</v>
      </c>
      <c r="U2298" s="182">
        <v>1267471.811101601</v>
      </c>
      <c r="V2298" s="182">
        <v>1989000000000</v>
      </c>
    </row>
    <row r="2299" spans="1:22">
      <c r="A2299" s="174" t="s">
        <v>4252</v>
      </c>
      <c r="B2299" s="174" t="s">
        <v>4252</v>
      </c>
      <c r="C2299" s="182">
        <f t="shared" si="16"/>
        <v>122.1444</v>
      </c>
      <c r="D2299" s="182">
        <v>15540</v>
      </c>
      <c r="E2299" s="182">
        <v>544.5</v>
      </c>
      <c r="F2299" s="182">
        <v>211.9</v>
      </c>
      <c r="G2299" s="182">
        <v>12.7</v>
      </c>
      <c r="H2299" s="182">
        <v>21.3</v>
      </c>
      <c r="I2299" s="182"/>
      <c r="J2299" s="182">
        <v>13</v>
      </c>
      <c r="K2299" s="182">
        <f t="shared" si="15"/>
        <v>4.9741784037558689</v>
      </c>
      <c r="L2299" s="182">
        <f t="shared" si="17"/>
        <v>37.472440944881889</v>
      </c>
      <c r="M2299" s="182">
        <v>760400000</v>
      </c>
      <c r="N2299" s="182">
        <v>3196000</v>
      </c>
      <c r="O2299" s="182">
        <v>2793000</v>
      </c>
      <c r="P2299" s="182">
        <v>221.20000000000002</v>
      </c>
      <c r="Q2299" s="182">
        <v>33880000</v>
      </c>
      <c r="R2299" s="182">
        <v>499700</v>
      </c>
      <c r="S2299" s="182">
        <v>319700</v>
      </c>
      <c r="T2299" s="182">
        <v>46.7</v>
      </c>
      <c r="U2299" s="182">
        <v>1788757.1828542186</v>
      </c>
      <c r="V2299" s="182">
        <v>2312000000000</v>
      </c>
    </row>
    <row r="2300" spans="1:22">
      <c r="A2300" s="174" t="s">
        <v>4253</v>
      </c>
      <c r="B2300" s="174" t="s">
        <v>4253</v>
      </c>
      <c r="C2300" s="182">
        <f t="shared" si="16"/>
        <v>138.4932</v>
      </c>
      <c r="D2300" s="182">
        <v>17620</v>
      </c>
      <c r="E2300" s="182">
        <v>549</v>
      </c>
      <c r="F2300" s="182">
        <v>214</v>
      </c>
      <c r="G2300" s="182">
        <v>14.7</v>
      </c>
      <c r="H2300" s="182">
        <v>23.6</v>
      </c>
      <c r="I2300" s="182"/>
      <c r="J2300" s="182">
        <v>13</v>
      </c>
      <c r="K2300" s="182">
        <f t="shared" si="15"/>
        <v>4.5338983050847457</v>
      </c>
      <c r="L2300" s="182">
        <f t="shared" si="17"/>
        <v>32.367346938775512</v>
      </c>
      <c r="M2300" s="182">
        <v>861600000</v>
      </c>
      <c r="N2300" s="182">
        <v>3617000</v>
      </c>
      <c r="O2300" s="182">
        <v>3139000</v>
      </c>
      <c r="P2300" s="182">
        <v>221</v>
      </c>
      <c r="Q2300" s="182">
        <v>38700000</v>
      </c>
      <c r="R2300" s="182">
        <v>569100</v>
      </c>
      <c r="S2300" s="182">
        <v>361700</v>
      </c>
      <c r="T2300" s="182">
        <v>46.8</v>
      </c>
      <c r="U2300" s="182">
        <v>2509921.7550389413</v>
      </c>
      <c r="V2300" s="182">
        <v>2660000000000</v>
      </c>
    </row>
    <row r="2301" spans="1:22">
      <c r="A2301" s="174" t="s">
        <v>4254</v>
      </c>
      <c r="B2301" s="174" t="s">
        <v>4254</v>
      </c>
      <c r="C2301" s="182">
        <f t="shared" si="16"/>
        <v>82.058400000000006</v>
      </c>
      <c r="D2301" s="182">
        <v>10440</v>
      </c>
      <c r="E2301" s="182">
        <v>599</v>
      </c>
      <c r="F2301" s="182">
        <v>178</v>
      </c>
      <c r="G2301" s="182">
        <v>10</v>
      </c>
      <c r="H2301" s="182">
        <v>12.8</v>
      </c>
      <c r="I2301" s="182"/>
      <c r="J2301" s="182">
        <v>13</v>
      </c>
      <c r="K2301" s="182">
        <f t="shared" si="15"/>
        <v>6.953125</v>
      </c>
      <c r="L2301" s="182">
        <f t="shared" si="17"/>
        <v>54.739999999999995</v>
      </c>
      <c r="M2301" s="182">
        <v>560300000</v>
      </c>
      <c r="N2301" s="182">
        <v>2199000</v>
      </c>
      <c r="O2301" s="182">
        <v>1871000</v>
      </c>
      <c r="P2301" s="182">
        <v>231.70000000000002</v>
      </c>
      <c r="Q2301" s="182">
        <v>12090000</v>
      </c>
      <c r="R2301" s="182">
        <v>218300</v>
      </c>
      <c r="S2301" s="182">
        <v>135800</v>
      </c>
      <c r="T2301" s="182">
        <v>34</v>
      </c>
      <c r="U2301" s="182">
        <v>490725.37651906407</v>
      </c>
      <c r="V2301" s="182">
        <v>1034000000000</v>
      </c>
    </row>
    <row r="2302" spans="1:22">
      <c r="A2302" s="174" t="s">
        <v>4255</v>
      </c>
      <c r="B2302" s="174" t="s">
        <v>4255</v>
      </c>
      <c r="C2302" s="182">
        <f t="shared" si="16"/>
        <v>92.433600000000013</v>
      </c>
      <c r="D2302" s="182">
        <v>11760</v>
      </c>
      <c r="E2302" s="182">
        <v>603</v>
      </c>
      <c r="F2302" s="182">
        <v>179</v>
      </c>
      <c r="G2302" s="182">
        <v>10.9</v>
      </c>
      <c r="H2302" s="182">
        <v>15</v>
      </c>
      <c r="I2302" s="182"/>
      <c r="J2302" s="182">
        <v>13</v>
      </c>
      <c r="K2302" s="182">
        <f t="shared" si="15"/>
        <v>5.9666666666666668</v>
      </c>
      <c r="L2302" s="182">
        <f t="shared" si="17"/>
        <v>50.183486238532112</v>
      </c>
      <c r="M2302" s="182">
        <v>646800000</v>
      </c>
      <c r="N2302" s="182">
        <v>2515000</v>
      </c>
      <c r="O2302" s="182">
        <v>2145000</v>
      </c>
      <c r="P2302" s="182">
        <v>234.5</v>
      </c>
      <c r="Q2302" s="182">
        <v>14410000</v>
      </c>
      <c r="R2302" s="182">
        <v>258500</v>
      </c>
      <c r="S2302" s="182">
        <v>161000</v>
      </c>
      <c r="T2302" s="182">
        <v>35</v>
      </c>
      <c r="U2302" s="182">
        <v>713067.60561850236</v>
      </c>
      <c r="V2302" s="182">
        <v>1239000000000</v>
      </c>
    </row>
    <row r="2303" spans="1:22">
      <c r="A2303" s="174" t="s">
        <v>4256</v>
      </c>
      <c r="B2303" s="174" t="s">
        <v>4256</v>
      </c>
      <c r="C2303" s="182">
        <f t="shared" si="16"/>
        <v>101.31540000000001</v>
      </c>
      <c r="D2303" s="182">
        <v>12890</v>
      </c>
      <c r="E2303" s="182">
        <v>602.6</v>
      </c>
      <c r="F2303" s="182">
        <v>227.6</v>
      </c>
      <c r="G2303" s="182">
        <v>10.5</v>
      </c>
      <c r="H2303" s="182">
        <v>14.8</v>
      </c>
      <c r="I2303" s="182"/>
      <c r="J2303" s="182">
        <v>13</v>
      </c>
      <c r="K2303" s="182">
        <f t="shared" si="15"/>
        <v>7.6891891891891886</v>
      </c>
      <c r="L2303" s="182">
        <f t="shared" si="17"/>
        <v>52.095238095238095</v>
      </c>
      <c r="M2303" s="182">
        <v>757800000</v>
      </c>
      <c r="N2303" s="182">
        <v>2881000</v>
      </c>
      <c r="O2303" s="182">
        <v>2515000</v>
      </c>
      <c r="P2303" s="182">
        <v>242.39999999999998</v>
      </c>
      <c r="Q2303" s="182">
        <v>29150000</v>
      </c>
      <c r="R2303" s="182">
        <v>400200</v>
      </c>
      <c r="S2303" s="182">
        <v>256100.00000000003</v>
      </c>
      <c r="T2303" s="182">
        <v>47.5</v>
      </c>
      <c r="U2303" s="182">
        <v>772362.04141075304</v>
      </c>
      <c r="V2303" s="182">
        <v>2512000000000</v>
      </c>
    </row>
    <row r="2304" spans="1:22">
      <c r="A2304" s="174" t="s">
        <v>4257</v>
      </c>
      <c r="B2304" s="174" t="s">
        <v>4257</v>
      </c>
      <c r="C2304" s="182">
        <f t="shared" si="16"/>
        <v>113.1054</v>
      </c>
      <c r="D2304" s="182">
        <v>14390</v>
      </c>
      <c r="E2304" s="182">
        <v>607.6</v>
      </c>
      <c r="F2304" s="182">
        <v>228.2</v>
      </c>
      <c r="G2304" s="182">
        <v>11.1</v>
      </c>
      <c r="H2304" s="182">
        <v>17.3</v>
      </c>
      <c r="I2304" s="182"/>
      <c r="J2304" s="182">
        <v>13</v>
      </c>
      <c r="K2304" s="182">
        <f t="shared" si="15"/>
        <v>6.595375722543352</v>
      </c>
      <c r="L2304" s="182">
        <f t="shared" si="17"/>
        <v>49.27927927927928</v>
      </c>
      <c r="M2304" s="182">
        <v>873200000</v>
      </c>
      <c r="N2304" s="182">
        <v>3281000</v>
      </c>
      <c r="O2304" s="182">
        <v>2874000</v>
      </c>
      <c r="P2304" s="182">
        <v>246.29999999999998</v>
      </c>
      <c r="Q2304" s="182">
        <v>34340000</v>
      </c>
      <c r="R2304" s="182">
        <v>469300</v>
      </c>
      <c r="S2304" s="182">
        <v>301000</v>
      </c>
      <c r="T2304" s="182">
        <v>48.8</v>
      </c>
      <c r="U2304" s="182">
        <v>1116676.2463852819</v>
      </c>
      <c r="V2304" s="182">
        <v>2985000000000</v>
      </c>
    </row>
    <row r="2305" spans="1:22">
      <c r="A2305" s="174" t="s">
        <v>4258</v>
      </c>
      <c r="B2305" s="174" t="s">
        <v>4258</v>
      </c>
      <c r="C2305" s="182">
        <f t="shared" si="16"/>
        <v>125.20980000000003</v>
      </c>
      <c r="D2305" s="182">
        <v>15930.000000000002</v>
      </c>
      <c r="E2305" s="182">
        <v>612.20000000000005</v>
      </c>
      <c r="F2305" s="182">
        <v>229</v>
      </c>
      <c r="G2305" s="182">
        <v>11.9</v>
      </c>
      <c r="H2305" s="182">
        <v>19.600000000000001</v>
      </c>
      <c r="I2305" s="182"/>
      <c r="J2305" s="182">
        <v>13</v>
      </c>
      <c r="K2305" s="182">
        <f t="shared" si="15"/>
        <v>5.8418367346938771</v>
      </c>
      <c r="L2305" s="182">
        <f t="shared" si="17"/>
        <v>45.966386554621849</v>
      </c>
      <c r="M2305" s="182">
        <v>986100000</v>
      </c>
      <c r="N2305" s="182">
        <v>3676000</v>
      </c>
      <c r="O2305" s="182">
        <v>3221000</v>
      </c>
      <c r="P2305" s="182">
        <v>248.79999999999998</v>
      </c>
      <c r="Q2305" s="182">
        <v>39320000</v>
      </c>
      <c r="R2305" s="182">
        <v>535400</v>
      </c>
      <c r="S2305" s="182">
        <v>343400</v>
      </c>
      <c r="T2305" s="182">
        <v>49.699999999999996</v>
      </c>
      <c r="U2305" s="182">
        <v>1546299.6738892982</v>
      </c>
      <c r="V2305" s="182">
        <v>3444000000000</v>
      </c>
    </row>
    <row r="2306" spans="1:22">
      <c r="A2306" s="174" t="s">
        <v>4259</v>
      </c>
      <c r="B2306" s="174" t="s">
        <v>4259</v>
      </c>
      <c r="C2306" s="182">
        <f t="shared" si="16"/>
        <v>140.0652</v>
      </c>
      <c r="D2306" s="182">
        <v>17820</v>
      </c>
      <c r="E2306" s="182">
        <v>617.20000000000005</v>
      </c>
      <c r="F2306" s="182">
        <v>230.2</v>
      </c>
      <c r="G2306" s="182">
        <v>13.1</v>
      </c>
      <c r="H2306" s="182">
        <v>22.1</v>
      </c>
      <c r="I2306" s="182"/>
      <c r="J2306" s="182">
        <v>13</v>
      </c>
      <c r="K2306" s="182">
        <f t="shared" si="15"/>
        <v>5.2081447963800898</v>
      </c>
      <c r="L2306" s="182">
        <f t="shared" si="17"/>
        <v>41.755725190839698</v>
      </c>
      <c r="M2306" s="182">
        <v>1118000000</v>
      </c>
      <c r="N2306" s="182">
        <v>4142000</v>
      </c>
      <c r="O2306" s="182">
        <v>3622000</v>
      </c>
      <c r="P2306" s="182">
        <v>250.5</v>
      </c>
      <c r="Q2306" s="182">
        <v>45050000</v>
      </c>
      <c r="R2306" s="182">
        <v>611400</v>
      </c>
      <c r="S2306" s="182">
        <v>391400</v>
      </c>
      <c r="T2306" s="182">
        <v>50.300000000000004</v>
      </c>
      <c r="U2306" s="182">
        <v>2169415.8152053473</v>
      </c>
      <c r="V2306" s="182">
        <v>3978000000000</v>
      </c>
    </row>
    <row r="2307" spans="1:22">
      <c r="A2307" s="174" t="s">
        <v>4260</v>
      </c>
      <c r="B2307" s="174" t="s">
        <v>4260</v>
      </c>
      <c r="C2307" s="182">
        <f t="shared" si="16"/>
        <v>153.8202</v>
      </c>
      <c r="D2307" s="182">
        <v>19570</v>
      </c>
      <c r="E2307" s="182">
        <v>623</v>
      </c>
      <c r="F2307" s="182">
        <v>229</v>
      </c>
      <c r="G2307" s="182">
        <v>14</v>
      </c>
      <c r="H2307" s="182">
        <v>24.9</v>
      </c>
      <c r="I2307" s="182"/>
      <c r="J2307" s="182">
        <v>13</v>
      </c>
      <c r="K2307" s="182">
        <f t="shared" si="15"/>
        <v>4.5983935742971891</v>
      </c>
      <c r="L2307" s="182">
        <f t="shared" si="17"/>
        <v>39.085714285714289</v>
      </c>
      <c r="M2307" s="182">
        <v>1252000000</v>
      </c>
      <c r="N2307" s="182">
        <v>4602000</v>
      </c>
      <c r="O2307" s="182">
        <v>4019000</v>
      </c>
      <c r="P2307" s="182">
        <v>252.89999999999998</v>
      </c>
      <c r="Q2307" s="182">
        <v>49980000</v>
      </c>
      <c r="R2307" s="182">
        <v>682400</v>
      </c>
      <c r="S2307" s="182">
        <v>436500</v>
      </c>
      <c r="T2307" s="182">
        <v>50.5</v>
      </c>
      <c r="U2307" s="182">
        <v>2960081.8279551798</v>
      </c>
      <c r="V2307" s="182">
        <v>4457000000000</v>
      </c>
    </row>
    <row r="2308" spans="1:22">
      <c r="A2308" s="174" t="s">
        <v>4261</v>
      </c>
      <c r="B2308" s="174" t="s">
        <v>4261</v>
      </c>
      <c r="C2308" s="182">
        <f t="shared" si="16"/>
        <v>149.34</v>
      </c>
      <c r="D2308" s="182">
        <v>19000</v>
      </c>
      <c r="E2308" s="182">
        <v>612.4</v>
      </c>
      <c r="F2308" s="182">
        <v>304.8</v>
      </c>
      <c r="G2308" s="182">
        <v>11.8</v>
      </c>
      <c r="H2308" s="182">
        <v>19.7</v>
      </c>
      <c r="I2308" s="182"/>
      <c r="J2308" s="182">
        <v>17</v>
      </c>
      <c r="K2308" s="182">
        <f t="shared" si="15"/>
        <v>7.7360406091370564</v>
      </c>
      <c r="L2308" s="182">
        <f t="shared" si="17"/>
        <v>45.677966101694913</v>
      </c>
      <c r="M2308" s="182">
        <v>1259000000</v>
      </c>
      <c r="N2308" s="182">
        <v>4594000</v>
      </c>
      <c r="O2308" s="182">
        <v>4111000</v>
      </c>
      <c r="P2308" s="182">
        <v>257.39999999999998</v>
      </c>
      <c r="Q2308" s="182">
        <v>93080000</v>
      </c>
      <c r="R2308" s="182">
        <v>937300</v>
      </c>
      <c r="S2308" s="182">
        <v>610700</v>
      </c>
      <c r="T2308" s="182">
        <v>70</v>
      </c>
      <c r="U2308" s="182">
        <v>2009470.9534351411</v>
      </c>
      <c r="V2308" s="182">
        <v>8165000000000</v>
      </c>
    </row>
    <row r="2309" spans="1:22">
      <c r="A2309" s="174" t="s">
        <v>4262</v>
      </c>
      <c r="B2309" s="174" t="s">
        <v>4262</v>
      </c>
      <c r="C2309" s="182">
        <f t="shared" si="16"/>
        <v>179.28660000000002</v>
      </c>
      <c r="D2309" s="182">
        <v>22810</v>
      </c>
      <c r="E2309" s="182">
        <v>620.20000000000005</v>
      </c>
      <c r="F2309" s="182">
        <v>307.10000000000002</v>
      </c>
      <c r="G2309" s="182">
        <v>14.1</v>
      </c>
      <c r="H2309" s="182">
        <v>23.6</v>
      </c>
      <c r="I2309" s="182"/>
      <c r="J2309" s="182">
        <v>17</v>
      </c>
      <c r="K2309" s="182">
        <f t="shared" ref="K2309:K2372" si="18">F2309/2/H2309</f>
        <v>6.5063559322033901</v>
      </c>
      <c r="L2309" s="182">
        <f t="shared" si="17"/>
        <v>38.226950354609933</v>
      </c>
      <c r="M2309" s="182">
        <v>1530000000</v>
      </c>
      <c r="N2309" s="182">
        <v>5547000</v>
      </c>
      <c r="O2309" s="182">
        <v>4935000</v>
      </c>
      <c r="P2309" s="182">
        <v>259</v>
      </c>
      <c r="Q2309" s="182">
        <v>114100000</v>
      </c>
      <c r="R2309" s="182">
        <v>1144000</v>
      </c>
      <c r="S2309" s="182">
        <v>743000</v>
      </c>
      <c r="T2309" s="182">
        <v>70.7</v>
      </c>
      <c r="U2309" s="182">
        <v>3414316.6130551747</v>
      </c>
      <c r="V2309" s="182">
        <v>10140000000000</v>
      </c>
    </row>
    <row r="2310" spans="1:22">
      <c r="A2310" s="174" t="s">
        <v>4263</v>
      </c>
      <c r="B2310" s="174" t="s">
        <v>4263</v>
      </c>
      <c r="C2310" s="182">
        <f t="shared" ref="C2310:C2373" si="19">D2310*0.00786</f>
        <v>238.39380000000003</v>
      </c>
      <c r="D2310" s="182">
        <v>30330</v>
      </c>
      <c r="E2310" s="182">
        <v>635.79999999999995</v>
      </c>
      <c r="F2310" s="182">
        <v>311.39999999999998</v>
      </c>
      <c r="G2310" s="182">
        <v>18.399999999999999</v>
      </c>
      <c r="H2310" s="182">
        <v>31.4</v>
      </c>
      <c r="I2310" s="182"/>
      <c r="J2310" s="182">
        <v>17</v>
      </c>
      <c r="K2310" s="182">
        <f t="shared" si="18"/>
        <v>4.9585987261146496</v>
      </c>
      <c r="L2310" s="182">
        <f t="shared" ref="L2310:L2373" si="20">(E2310-2*H2310-2*J2310)/G2310</f>
        <v>29.293478260869566</v>
      </c>
      <c r="M2310" s="182">
        <v>2095000000</v>
      </c>
      <c r="N2310" s="182">
        <v>7486000</v>
      </c>
      <c r="O2310" s="182">
        <v>6589000</v>
      </c>
      <c r="P2310" s="182">
        <v>262.8</v>
      </c>
      <c r="Q2310" s="182">
        <v>158400000</v>
      </c>
      <c r="R2310" s="182">
        <v>1574000</v>
      </c>
      <c r="S2310" s="182">
        <v>1017000</v>
      </c>
      <c r="T2310" s="182">
        <v>72.300000000000011</v>
      </c>
      <c r="U2310" s="182">
        <v>7875230.92303266</v>
      </c>
      <c r="V2310" s="182">
        <v>14430000000000</v>
      </c>
    </row>
    <row r="2311" spans="1:22">
      <c r="A2311" s="174" t="s">
        <v>4264</v>
      </c>
      <c r="B2311" s="174" t="s">
        <v>4264</v>
      </c>
      <c r="C2311" s="182">
        <f t="shared" si="19"/>
        <v>125.367</v>
      </c>
      <c r="D2311" s="182">
        <v>15950</v>
      </c>
      <c r="E2311" s="182">
        <v>677.9</v>
      </c>
      <c r="F2311" s="182">
        <v>253</v>
      </c>
      <c r="G2311" s="182">
        <v>11.7</v>
      </c>
      <c r="H2311" s="182">
        <v>16.2</v>
      </c>
      <c r="I2311" s="182"/>
      <c r="J2311" s="182">
        <v>15</v>
      </c>
      <c r="K2311" s="182">
        <f t="shared" si="18"/>
        <v>7.8086419753086425</v>
      </c>
      <c r="L2311" s="182">
        <f t="shared" si="20"/>
        <v>52.606837606837608</v>
      </c>
      <c r="M2311" s="182">
        <v>1180000000</v>
      </c>
      <c r="N2311" s="182">
        <v>3994000</v>
      </c>
      <c r="O2311" s="182">
        <v>3481000</v>
      </c>
      <c r="P2311" s="182">
        <v>272</v>
      </c>
      <c r="Q2311" s="182">
        <v>43830000</v>
      </c>
      <c r="R2311" s="182">
        <v>542400</v>
      </c>
      <c r="S2311" s="182">
        <v>346500</v>
      </c>
      <c r="T2311" s="182">
        <v>52.400000000000006</v>
      </c>
      <c r="U2311" s="182">
        <v>1159221.0713194949</v>
      </c>
      <c r="V2311" s="182">
        <v>4786000000000</v>
      </c>
    </row>
    <row r="2312" spans="1:22">
      <c r="A2312" s="174" t="s">
        <v>4265</v>
      </c>
      <c r="B2312" s="174" t="s">
        <v>4265</v>
      </c>
      <c r="C2312" s="182">
        <f t="shared" si="19"/>
        <v>140.22240000000002</v>
      </c>
      <c r="D2312" s="182">
        <v>17840</v>
      </c>
      <c r="E2312" s="182">
        <v>683.5</v>
      </c>
      <c r="F2312" s="182">
        <v>253.7</v>
      </c>
      <c r="G2312" s="182">
        <v>12.4</v>
      </c>
      <c r="H2312" s="182">
        <v>19</v>
      </c>
      <c r="I2312" s="182"/>
      <c r="J2312" s="182">
        <v>15</v>
      </c>
      <c r="K2312" s="182">
        <f t="shared" si="18"/>
        <v>6.6763157894736835</v>
      </c>
      <c r="L2312" s="182">
        <f t="shared" si="20"/>
        <v>49.637096774193544</v>
      </c>
      <c r="M2312" s="182">
        <v>1363000000</v>
      </c>
      <c r="N2312" s="182">
        <v>4558000</v>
      </c>
      <c r="O2312" s="182">
        <v>3987000</v>
      </c>
      <c r="P2312" s="182">
        <v>276.39999999999998</v>
      </c>
      <c r="Q2312" s="182">
        <v>51830000</v>
      </c>
      <c r="R2312" s="182">
        <v>638200</v>
      </c>
      <c r="S2312" s="182">
        <v>408600</v>
      </c>
      <c r="T2312" s="182">
        <v>53.9</v>
      </c>
      <c r="U2312" s="182">
        <v>1683612.6777862373</v>
      </c>
      <c r="V2312" s="182">
        <v>5708000000000</v>
      </c>
    </row>
    <row r="2313" spans="1:22">
      <c r="A2313" s="174" t="s">
        <v>4266</v>
      </c>
      <c r="B2313" s="174" t="s">
        <v>4266</v>
      </c>
      <c r="C2313" s="182">
        <f t="shared" si="19"/>
        <v>152.5626</v>
      </c>
      <c r="D2313" s="182">
        <v>19410</v>
      </c>
      <c r="E2313" s="182">
        <v>687.5</v>
      </c>
      <c r="F2313" s="182">
        <v>254.5</v>
      </c>
      <c r="G2313" s="182">
        <v>13.2</v>
      </c>
      <c r="H2313" s="182">
        <v>21</v>
      </c>
      <c r="I2313" s="182"/>
      <c r="J2313" s="182">
        <v>15</v>
      </c>
      <c r="K2313" s="182">
        <f t="shared" si="18"/>
        <v>6.0595238095238093</v>
      </c>
      <c r="L2313" s="182">
        <f t="shared" si="20"/>
        <v>46.628787878787882</v>
      </c>
      <c r="M2313" s="182">
        <v>1504000000</v>
      </c>
      <c r="N2313" s="182">
        <v>5000000</v>
      </c>
      <c r="O2313" s="182">
        <v>4374000</v>
      </c>
      <c r="P2313" s="182">
        <v>278.29999999999995</v>
      </c>
      <c r="Q2313" s="182">
        <v>57840000</v>
      </c>
      <c r="R2313" s="182">
        <v>710200</v>
      </c>
      <c r="S2313" s="182">
        <v>454500</v>
      </c>
      <c r="T2313" s="182">
        <v>54.6</v>
      </c>
      <c r="U2313" s="182">
        <v>2192399.4622649173</v>
      </c>
      <c r="V2313" s="182">
        <v>6407000000000</v>
      </c>
    </row>
    <row r="2314" spans="1:22">
      <c r="A2314" s="174" t="s">
        <v>4267</v>
      </c>
      <c r="B2314" s="174" t="s">
        <v>4267</v>
      </c>
      <c r="C2314" s="182">
        <f t="shared" si="19"/>
        <v>170.40480000000002</v>
      </c>
      <c r="D2314" s="182">
        <v>21680</v>
      </c>
      <c r="E2314" s="182">
        <v>692.9</v>
      </c>
      <c r="F2314" s="182">
        <v>255.8</v>
      </c>
      <c r="G2314" s="182">
        <v>14.5</v>
      </c>
      <c r="H2314" s="182">
        <v>23.7</v>
      </c>
      <c r="I2314" s="182"/>
      <c r="J2314" s="182">
        <v>15</v>
      </c>
      <c r="K2314" s="182">
        <f t="shared" si="18"/>
        <v>5.3966244725738397</v>
      </c>
      <c r="L2314" s="182">
        <f t="shared" si="20"/>
        <v>42.448275862068968</v>
      </c>
      <c r="M2314" s="182">
        <v>1703000000</v>
      </c>
      <c r="N2314" s="182">
        <v>5631000</v>
      </c>
      <c r="O2314" s="182">
        <v>4916000</v>
      </c>
      <c r="P2314" s="182">
        <v>280.3</v>
      </c>
      <c r="Q2314" s="182">
        <v>66300000</v>
      </c>
      <c r="R2314" s="182">
        <v>811400</v>
      </c>
      <c r="S2314" s="182">
        <v>518400</v>
      </c>
      <c r="T2314" s="182">
        <v>55.300000000000004</v>
      </c>
      <c r="U2314" s="182">
        <v>3070674.7597993137</v>
      </c>
      <c r="V2314" s="182">
        <v>7402000000000</v>
      </c>
    </row>
    <row r="2315" spans="1:22">
      <c r="A2315" s="174" t="s">
        <v>4268</v>
      </c>
      <c r="B2315" s="174" t="s">
        <v>4268</v>
      </c>
      <c r="C2315" s="182">
        <f t="shared" si="19"/>
        <v>191.6268</v>
      </c>
      <c r="D2315" s="182">
        <v>24380</v>
      </c>
      <c r="E2315" s="182">
        <v>702</v>
      </c>
      <c r="F2315" s="182">
        <v>254</v>
      </c>
      <c r="G2315" s="182">
        <v>15.5</v>
      </c>
      <c r="H2315" s="182">
        <v>27.9</v>
      </c>
      <c r="I2315" s="182"/>
      <c r="J2315" s="182">
        <v>15</v>
      </c>
      <c r="K2315" s="182">
        <f t="shared" si="18"/>
        <v>4.5519713261648747</v>
      </c>
      <c r="L2315" s="182">
        <f t="shared" si="20"/>
        <v>39.754838709677422</v>
      </c>
      <c r="M2315" s="182">
        <v>1979000000</v>
      </c>
      <c r="N2315" s="182">
        <v>6457000</v>
      </c>
      <c r="O2315" s="182">
        <v>5639000</v>
      </c>
      <c r="P2315" s="182">
        <v>284.89999999999998</v>
      </c>
      <c r="Q2315" s="182">
        <v>76430000</v>
      </c>
      <c r="R2315" s="182">
        <v>941000</v>
      </c>
      <c r="S2315" s="182">
        <v>601800</v>
      </c>
      <c r="T2315" s="182">
        <v>56</v>
      </c>
      <c r="U2315" s="182">
        <v>4612218.1250684625</v>
      </c>
      <c r="V2315" s="182">
        <v>8657000000000</v>
      </c>
    </row>
    <row r="2316" spans="1:22">
      <c r="A2316" s="174" t="s">
        <v>4269</v>
      </c>
      <c r="B2316" s="174" t="s">
        <v>4269</v>
      </c>
      <c r="C2316" s="182">
        <f t="shared" si="19"/>
        <v>134.0916</v>
      </c>
      <c r="D2316" s="182">
        <v>17060</v>
      </c>
      <c r="E2316" s="182">
        <v>750</v>
      </c>
      <c r="F2316" s="182">
        <v>264.39999999999998</v>
      </c>
      <c r="G2316" s="182">
        <v>12</v>
      </c>
      <c r="H2316" s="182">
        <v>15.5</v>
      </c>
      <c r="I2316" s="182"/>
      <c r="J2316" s="182">
        <v>17</v>
      </c>
      <c r="K2316" s="182">
        <f t="shared" si="18"/>
        <v>8.5290322580645146</v>
      </c>
      <c r="L2316" s="182">
        <f t="shared" si="20"/>
        <v>57.083333333333336</v>
      </c>
      <c r="M2316" s="182">
        <v>1507000000</v>
      </c>
      <c r="N2316" s="182">
        <v>4644000</v>
      </c>
      <c r="O2316" s="182">
        <v>4018000</v>
      </c>
      <c r="P2316" s="182">
        <v>297.2</v>
      </c>
      <c r="Q2316" s="182">
        <v>47880000</v>
      </c>
      <c r="R2316" s="182">
        <v>569900</v>
      </c>
      <c r="S2316" s="182">
        <v>362200</v>
      </c>
      <c r="T2316" s="182">
        <v>53</v>
      </c>
      <c r="U2316" s="182">
        <v>1197100.0994351015</v>
      </c>
      <c r="V2316" s="182">
        <v>6440000000000</v>
      </c>
    </row>
    <row r="2317" spans="1:22">
      <c r="A2317" s="174" t="s">
        <v>4270</v>
      </c>
      <c r="B2317" s="174" t="s">
        <v>4270</v>
      </c>
      <c r="C2317" s="182">
        <f t="shared" si="19"/>
        <v>147.13920000000002</v>
      </c>
      <c r="D2317" s="182">
        <v>18720</v>
      </c>
      <c r="E2317" s="182">
        <v>754</v>
      </c>
      <c r="F2317" s="182">
        <v>265.2</v>
      </c>
      <c r="G2317" s="182">
        <v>12.8</v>
      </c>
      <c r="H2317" s="182">
        <v>17.5</v>
      </c>
      <c r="I2317" s="182"/>
      <c r="J2317" s="182">
        <v>17</v>
      </c>
      <c r="K2317" s="182">
        <f t="shared" si="18"/>
        <v>7.5771428571428565</v>
      </c>
      <c r="L2317" s="182">
        <f t="shared" si="20"/>
        <v>53.515625</v>
      </c>
      <c r="M2317" s="182">
        <v>1685000000</v>
      </c>
      <c r="N2317" s="182">
        <v>5156000</v>
      </c>
      <c r="O2317" s="182">
        <v>4470000</v>
      </c>
      <c r="P2317" s="182">
        <v>300</v>
      </c>
      <c r="Q2317" s="182">
        <v>54550000</v>
      </c>
      <c r="R2317" s="182">
        <v>647200</v>
      </c>
      <c r="S2317" s="182">
        <v>411400</v>
      </c>
      <c r="T2317" s="182">
        <v>54</v>
      </c>
      <c r="U2317" s="182">
        <v>1599404.8962344483</v>
      </c>
      <c r="V2317" s="182">
        <v>7377000000000</v>
      </c>
    </row>
    <row r="2318" spans="1:22">
      <c r="A2318" s="174" t="s">
        <v>4271</v>
      </c>
      <c r="B2318" s="174" t="s">
        <v>4271</v>
      </c>
      <c r="C2318" s="182">
        <f t="shared" si="19"/>
        <v>173.23440000000002</v>
      </c>
      <c r="D2318" s="182">
        <v>22040</v>
      </c>
      <c r="E2318" s="182">
        <v>762.2</v>
      </c>
      <c r="F2318" s="182">
        <v>266.7</v>
      </c>
      <c r="G2318" s="182">
        <v>14.3</v>
      </c>
      <c r="H2318" s="182">
        <v>21.6</v>
      </c>
      <c r="I2318" s="182"/>
      <c r="J2318" s="182">
        <v>17</v>
      </c>
      <c r="K2318" s="182">
        <f t="shared" si="18"/>
        <v>6.1736111111111107</v>
      </c>
      <c r="L2318" s="182">
        <f t="shared" si="20"/>
        <v>47.9020979020979</v>
      </c>
      <c r="M2318" s="182">
        <v>2053000000</v>
      </c>
      <c r="N2318" s="182">
        <v>6198000</v>
      </c>
      <c r="O2318" s="182">
        <v>5387000</v>
      </c>
      <c r="P2318" s="182">
        <v>305.2</v>
      </c>
      <c r="Q2318" s="182">
        <v>68500000</v>
      </c>
      <c r="R2318" s="182">
        <v>807500</v>
      </c>
      <c r="S2318" s="182">
        <v>513700.00000000006</v>
      </c>
      <c r="T2318" s="182">
        <v>55.8</v>
      </c>
      <c r="U2318" s="182">
        <v>2684788.0877730078</v>
      </c>
      <c r="V2318" s="182">
        <v>9364000000000</v>
      </c>
    </row>
    <row r="2319" spans="1:22">
      <c r="A2319" s="174" t="s">
        <v>4272</v>
      </c>
      <c r="B2319" s="174" t="s">
        <v>4272</v>
      </c>
      <c r="C2319" s="182">
        <f t="shared" si="19"/>
        <v>196.97160000000002</v>
      </c>
      <c r="D2319" s="182">
        <v>25060</v>
      </c>
      <c r="E2319" s="182">
        <v>769.8</v>
      </c>
      <c r="F2319" s="182">
        <v>268</v>
      </c>
      <c r="G2319" s="182">
        <v>15.6</v>
      </c>
      <c r="H2319" s="182">
        <v>25.4</v>
      </c>
      <c r="I2319" s="182"/>
      <c r="J2319" s="182">
        <v>17</v>
      </c>
      <c r="K2319" s="182">
        <f t="shared" si="18"/>
        <v>5.2755905511811028</v>
      </c>
      <c r="L2319" s="182">
        <f t="shared" si="20"/>
        <v>43.910256410256409</v>
      </c>
      <c r="M2319" s="182">
        <v>2400000000</v>
      </c>
      <c r="N2319" s="182">
        <v>7167000</v>
      </c>
      <c r="O2319" s="182">
        <v>6234000</v>
      </c>
      <c r="P2319" s="182">
        <v>309.40000000000003</v>
      </c>
      <c r="Q2319" s="182">
        <v>81750000</v>
      </c>
      <c r="R2319" s="182">
        <v>958600</v>
      </c>
      <c r="S2319" s="182">
        <v>610100</v>
      </c>
      <c r="T2319" s="182">
        <v>57.1</v>
      </c>
      <c r="U2319" s="182">
        <v>4058843.7433629311</v>
      </c>
      <c r="V2319" s="182">
        <v>11290000000000</v>
      </c>
    </row>
    <row r="2320" spans="1:22">
      <c r="A2320" s="174" t="s">
        <v>4273</v>
      </c>
      <c r="B2320" s="174" t="s">
        <v>4273</v>
      </c>
      <c r="C2320" s="182">
        <f t="shared" si="19"/>
        <v>220.63020000000003</v>
      </c>
      <c r="D2320" s="182">
        <v>28070</v>
      </c>
      <c r="E2320" s="182">
        <v>779</v>
      </c>
      <c r="F2320" s="182">
        <v>266</v>
      </c>
      <c r="G2320" s="182">
        <v>16.5</v>
      </c>
      <c r="H2320" s="182">
        <v>30</v>
      </c>
      <c r="I2320" s="182"/>
      <c r="J2320" s="182">
        <v>17</v>
      </c>
      <c r="K2320" s="182">
        <f t="shared" si="18"/>
        <v>4.4333333333333336</v>
      </c>
      <c r="L2320" s="182">
        <f t="shared" si="20"/>
        <v>41.515151515151516</v>
      </c>
      <c r="M2320" s="182">
        <v>2782000000</v>
      </c>
      <c r="N2320" s="182">
        <v>8198000</v>
      </c>
      <c r="O2320" s="182">
        <v>7143000</v>
      </c>
      <c r="P2320" s="182">
        <v>314.8</v>
      </c>
      <c r="Q2320" s="182">
        <v>94400000</v>
      </c>
      <c r="R2320" s="182">
        <v>1113000</v>
      </c>
      <c r="S2320" s="182">
        <v>709900</v>
      </c>
      <c r="T2320" s="182">
        <v>58</v>
      </c>
      <c r="U2320" s="182">
        <v>6070745.0376965348</v>
      </c>
      <c r="V2320" s="182">
        <v>13200000000000</v>
      </c>
    </row>
    <row r="2321" spans="1:22">
      <c r="A2321" s="174" t="s">
        <v>4274</v>
      </c>
      <c r="B2321" s="174" t="s">
        <v>4274</v>
      </c>
      <c r="C2321" s="182">
        <f t="shared" si="19"/>
        <v>176.06400000000002</v>
      </c>
      <c r="D2321" s="182">
        <v>22400</v>
      </c>
      <c r="E2321" s="182">
        <v>834.9</v>
      </c>
      <c r="F2321" s="182">
        <v>291.7</v>
      </c>
      <c r="G2321" s="182">
        <v>14</v>
      </c>
      <c r="H2321" s="182">
        <v>18.8</v>
      </c>
      <c r="I2321" s="182"/>
      <c r="J2321" s="182">
        <v>18</v>
      </c>
      <c r="K2321" s="182">
        <f t="shared" si="18"/>
        <v>7.7579787234042543</v>
      </c>
      <c r="L2321" s="182">
        <f t="shared" si="20"/>
        <v>54.378571428571426</v>
      </c>
      <c r="M2321" s="182">
        <v>2460000000</v>
      </c>
      <c r="N2321" s="182">
        <v>6808000</v>
      </c>
      <c r="O2321" s="182">
        <v>5893000</v>
      </c>
      <c r="P2321" s="182">
        <v>331.4</v>
      </c>
      <c r="Q2321" s="182">
        <v>77990000</v>
      </c>
      <c r="R2321" s="182">
        <v>841900</v>
      </c>
      <c r="S2321" s="182">
        <v>534700</v>
      </c>
      <c r="T2321" s="182">
        <v>59</v>
      </c>
      <c r="U2321" s="182">
        <v>2218650.3690354764</v>
      </c>
      <c r="V2321" s="182">
        <v>12950000000000</v>
      </c>
    </row>
    <row r="2322" spans="1:22">
      <c r="A2322" s="174" t="s">
        <v>4275</v>
      </c>
      <c r="B2322" s="174" t="s">
        <v>4275</v>
      </c>
      <c r="C2322" s="182">
        <f t="shared" si="19"/>
        <v>193.98480000000001</v>
      </c>
      <c r="D2322" s="182">
        <v>24680</v>
      </c>
      <c r="E2322" s="182">
        <v>840.7</v>
      </c>
      <c r="F2322" s="182">
        <v>292.39999999999998</v>
      </c>
      <c r="G2322" s="182">
        <v>14.7</v>
      </c>
      <c r="H2322" s="182">
        <v>21.7</v>
      </c>
      <c r="I2322" s="182"/>
      <c r="J2322" s="182">
        <v>18</v>
      </c>
      <c r="K2322" s="182">
        <f t="shared" si="18"/>
        <v>6.7373271889400916</v>
      </c>
      <c r="L2322" s="182">
        <f t="shared" si="20"/>
        <v>51.789115646258509</v>
      </c>
      <c r="M2322" s="182">
        <v>2792000000</v>
      </c>
      <c r="N2322" s="182">
        <v>7640000</v>
      </c>
      <c r="O2322" s="182">
        <v>6641000</v>
      </c>
      <c r="P2322" s="182">
        <v>336.3</v>
      </c>
      <c r="Q2322" s="182">
        <v>90660000</v>
      </c>
      <c r="R2322" s="182">
        <v>973800</v>
      </c>
      <c r="S2322" s="182">
        <v>620100</v>
      </c>
      <c r="T2322" s="182">
        <v>60.599999999999994</v>
      </c>
      <c r="U2322" s="182">
        <v>3063471.4485250209</v>
      </c>
      <c r="V2322" s="182">
        <v>15160000000000</v>
      </c>
    </row>
    <row r="2323" spans="1:22">
      <c r="A2323" s="174" t="s">
        <v>4276</v>
      </c>
      <c r="B2323" s="174" t="s">
        <v>4276</v>
      </c>
      <c r="C2323" s="182">
        <f t="shared" si="19"/>
        <v>226.83960000000005</v>
      </c>
      <c r="D2323" s="182">
        <v>28860.000000000004</v>
      </c>
      <c r="E2323" s="182">
        <v>850.9</v>
      </c>
      <c r="F2323" s="182">
        <v>293.8</v>
      </c>
      <c r="G2323" s="182">
        <v>16.100000000000001</v>
      </c>
      <c r="H2323" s="182">
        <v>26.8</v>
      </c>
      <c r="I2323" s="182"/>
      <c r="J2323" s="182">
        <v>18</v>
      </c>
      <c r="K2323" s="182">
        <f t="shared" si="18"/>
        <v>5.4813432835820892</v>
      </c>
      <c r="L2323" s="182">
        <f t="shared" si="20"/>
        <v>47.285714285714278</v>
      </c>
      <c r="M2323" s="182">
        <v>3397000000</v>
      </c>
      <c r="N2323" s="182">
        <v>9155000</v>
      </c>
      <c r="O2323" s="182">
        <v>7985000</v>
      </c>
      <c r="P2323" s="182">
        <v>343.1</v>
      </c>
      <c r="Q2323" s="182">
        <v>113600000</v>
      </c>
      <c r="R2323" s="182">
        <v>1212000</v>
      </c>
      <c r="S2323" s="182">
        <v>773300</v>
      </c>
      <c r="T2323" s="182">
        <v>62.699999999999996</v>
      </c>
      <c r="U2323" s="182">
        <v>5144027.0841627819</v>
      </c>
      <c r="V2323" s="182">
        <v>19230000000000</v>
      </c>
    </row>
    <row r="2324" spans="1:22">
      <c r="A2324" s="174" t="s">
        <v>4277</v>
      </c>
      <c r="B2324" s="174" t="s">
        <v>4277</v>
      </c>
      <c r="C2324" s="182">
        <f t="shared" si="19"/>
        <v>250.96980000000002</v>
      </c>
      <c r="D2324" s="182">
        <v>31930</v>
      </c>
      <c r="E2324" s="182">
        <v>859</v>
      </c>
      <c r="F2324" s="182">
        <v>292</v>
      </c>
      <c r="G2324" s="182">
        <v>17</v>
      </c>
      <c r="H2324" s="182">
        <v>31</v>
      </c>
      <c r="I2324" s="182"/>
      <c r="J2324" s="182">
        <v>18</v>
      </c>
      <c r="K2324" s="182">
        <f t="shared" si="18"/>
        <v>4.709677419354839</v>
      </c>
      <c r="L2324" s="182">
        <f t="shared" si="20"/>
        <v>44.764705882352942</v>
      </c>
      <c r="M2324" s="182">
        <v>3865000000</v>
      </c>
      <c r="N2324" s="182">
        <v>10300000</v>
      </c>
      <c r="O2324" s="182">
        <v>8999000</v>
      </c>
      <c r="P2324" s="182">
        <v>347.9</v>
      </c>
      <c r="Q2324" s="182">
        <v>129000000</v>
      </c>
      <c r="R2324" s="182">
        <v>1383000</v>
      </c>
      <c r="S2324" s="182">
        <v>883600</v>
      </c>
      <c r="T2324" s="182">
        <v>63.6</v>
      </c>
      <c r="U2324" s="182">
        <v>7357352.4763866384</v>
      </c>
      <c r="V2324" s="182">
        <v>22050000000000</v>
      </c>
    </row>
    <row r="2325" spans="1:22">
      <c r="A2325" s="174" t="s">
        <v>4278</v>
      </c>
      <c r="B2325" s="174" t="s">
        <v>4278</v>
      </c>
      <c r="C2325" s="182">
        <f t="shared" si="19"/>
        <v>201.13740000000001</v>
      </c>
      <c r="D2325" s="182">
        <v>25590</v>
      </c>
      <c r="E2325" s="182">
        <v>903</v>
      </c>
      <c r="F2325" s="182">
        <v>303.3</v>
      </c>
      <c r="G2325" s="182">
        <v>15.1</v>
      </c>
      <c r="H2325" s="182">
        <v>20.2</v>
      </c>
      <c r="I2325" s="182"/>
      <c r="J2325" s="182">
        <v>19</v>
      </c>
      <c r="K2325" s="182">
        <f t="shared" si="18"/>
        <v>7.5074257425742577</v>
      </c>
      <c r="L2325" s="182">
        <f t="shared" si="20"/>
        <v>54.609271523178812</v>
      </c>
      <c r="M2325" s="182">
        <v>3253000000</v>
      </c>
      <c r="N2325" s="182">
        <v>8351000</v>
      </c>
      <c r="O2325" s="182">
        <v>7204000</v>
      </c>
      <c r="P2325" s="182">
        <v>356.5</v>
      </c>
      <c r="Q2325" s="182">
        <v>94230000</v>
      </c>
      <c r="R2325" s="182">
        <v>982000</v>
      </c>
      <c r="S2325" s="182">
        <v>621400</v>
      </c>
      <c r="T2325" s="182">
        <v>60.7</v>
      </c>
      <c r="U2325" s="182">
        <v>2911202.7595305205</v>
      </c>
      <c r="V2325" s="182">
        <v>18300000000000</v>
      </c>
    </row>
    <row r="2326" spans="1:22">
      <c r="A2326" s="174" t="s">
        <v>4279</v>
      </c>
      <c r="B2326" s="174" t="s">
        <v>4279</v>
      </c>
      <c r="C2326" s="182">
        <f t="shared" si="19"/>
        <v>224.48160000000004</v>
      </c>
      <c r="D2326" s="182">
        <v>28560.000000000004</v>
      </c>
      <c r="E2326" s="182">
        <v>910.4</v>
      </c>
      <c r="F2326" s="182">
        <v>304.10000000000002</v>
      </c>
      <c r="G2326" s="182">
        <v>15.9</v>
      </c>
      <c r="H2326" s="182">
        <v>23.9</v>
      </c>
      <c r="I2326" s="182"/>
      <c r="J2326" s="182">
        <v>19</v>
      </c>
      <c r="K2326" s="182">
        <f t="shared" si="18"/>
        <v>6.3619246861924692</v>
      </c>
      <c r="L2326" s="182">
        <f t="shared" si="20"/>
        <v>51.861635220125784</v>
      </c>
      <c r="M2326" s="182">
        <v>3764000000</v>
      </c>
      <c r="N2326" s="182">
        <v>9535000</v>
      </c>
      <c r="O2326" s="182">
        <v>8269000</v>
      </c>
      <c r="P2326" s="182">
        <v>363</v>
      </c>
      <c r="Q2326" s="182">
        <v>112400000</v>
      </c>
      <c r="R2326" s="182">
        <v>1163000</v>
      </c>
      <c r="S2326" s="182">
        <v>739000</v>
      </c>
      <c r="T2326" s="182">
        <v>62.699999999999996</v>
      </c>
      <c r="U2326" s="182">
        <v>4220181.489402201</v>
      </c>
      <c r="V2326" s="182">
        <v>22010000000000</v>
      </c>
    </row>
    <row r="2327" spans="1:22">
      <c r="A2327" s="174" t="s">
        <v>4280</v>
      </c>
      <c r="B2327" s="174" t="s">
        <v>4280</v>
      </c>
      <c r="C2327" s="182">
        <f t="shared" si="19"/>
        <v>238.55100000000002</v>
      </c>
      <c r="D2327" s="182">
        <v>30350</v>
      </c>
      <c r="E2327" s="182">
        <v>915</v>
      </c>
      <c r="F2327" s="182">
        <v>305</v>
      </c>
      <c r="G2327" s="182">
        <v>16.5</v>
      </c>
      <c r="H2327" s="182">
        <v>25.9</v>
      </c>
      <c r="I2327" s="182"/>
      <c r="J2327" s="182">
        <v>19</v>
      </c>
      <c r="K2327" s="182">
        <f t="shared" si="18"/>
        <v>5.8880308880308885</v>
      </c>
      <c r="L2327" s="182">
        <f t="shared" si="20"/>
        <v>50.012121212121215</v>
      </c>
      <c r="M2327" s="182">
        <v>4064000000</v>
      </c>
      <c r="N2327" s="182">
        <v>10230000</v>
      </c>
      <c r="O2327" s="182">
        <v>8883000</v>
      </c>
      <c r="P2327" s="182">
        <v>365.90000000000003</v>
      </c>
      <c r="Q2327" s="182">
        <v>122900000</v>
      </c>
      <c r="R2327" s="182">
        <v>1267000</v>
      </c>
      <c r="S2327" s="182">
        <v>805600</v>
      </c>
      <c r="T2327" s="182">
        <v>63.6</v>
      </c>
      <c r="U2327" s="182">
        <v>5143463.4146831641</v>
      </c>
      <c r="V2327" s="182">
        <v>24200000000000</v>
      </c>
    </row>
    <row r="2328" spans="1:22">
      <c r="A2328" s="174" t="s">
        <v>4281</v>
      </c>
      <c r="B2328" s="174" t="s">
        <v>4281</v>
      </c>
      <c r="C2328" s="182">
        <f t="shared" si="19"/>
        <v>253.72080000000003</v>
      </c>
      <c r="D2328" s="182">
        <v>32280</v>
      </c>
      <c r="E2328" s="182">
        <v>918.4</v>
      </c>
      <c r="F2328" s="182">
        <v>305.5</v>
      </c>
      <c r="G2328" s="182">
        <v>17.3</v>
      </c>
      <c r="H2328" s="182">
        <v>27.9</v>
      </c>
      <c r="I2328" s="182"/>
      <c r="J2328" s="182">
        <v>19</v>
      </c>
      <c r="K2328" s="182">
        <f t="shared" si="18"/>
        <v>5.4749103942652333</v>
      </c>
      <c r="L2328" s="182">
        <f t="shared" si="20"/>
        <v>47.664739884393065</v>
      </c>
      <c r="M2328" s="182">
        <v>4363000000</v>
      </c>
      <c r="N2328" s="182">
        <v>10940000</v>
      </c>
      <c r="O2328" s="182">
        <v>9501000</v>
      </c>
      <c r="P2328" s="182">
        <v>367.59999999999997</v>
      </c>
      <c r="Q2328" s="182">
        <v>133000000</v>
      </c>
      <c r="R2328" s="182">
        <v>1371000</v>
      </c>
      <c r="S2328" s="182">
        <v>870800</v>
      </c>
      <c r="T2328" s="182">
        <v>64.2</v>
      </c>
      <c r="U2328" s="182">
        <v>6254121.3333446039</v>
      </c>
      <c r="V2328" s="182">
        <v>26280000000000</v>
      </c>
    </row>
    <row r="2329" spans="1:22">
      <c r="A2329" s="174" t="s">
        <v>4282</v>
      </c>
      <c r="B2329" s="174" t="s">
        <v>4282</v>
      </c>
      <c r="C2329" s="182">
        <f t="shared" si="19"/>
        <v>272.03460000000001</v>
      </c>
      <c r="D2329" s="182">
        <v>34610</v>
      </c>
      <c r="E2329" s="182">
        <v>923</v>
      </c>
      <c r="F2329" s="182">
        <v>307</v>
      </c>
      <c r="G2329" s="182">
        <v>18.399999999999999</v>
      </c>
      <c r="H2329" s="182">
        <v>30</v>
      </c>
      <c r="I2329" s="182"/>
      <c r="J2329" s="182">
        <v>19</v>
      </c>
      <c r="K2329" s="182">
        <f t="shared" si="18"/>
        <v>5.1166666666666663</v>
      </c>
      <c r="L2329" s="182">
        <f t="shared" si="20"/>
        <v>44.836956521739133</v>
      </c>
      <c r="M2329" s="182">
        <v>4716000000</v>
      </c>
      <c r="N2329" s="182">
        <v>11780000</v>
      </c>
      <c r="O2329" s="182">
        <v>10220000</v>
      </c>
      <c r="P2329" s="182">
        <v>369.09999999999997</v>
      </c>
      <c r="Q2329" s="182">
        <v>145200000</v>
      </c>
      <c r="R2329" s="182">
        <v>1491000</v>
      </c>
      <c r="S2329" s="182">
        <v>945800</v>
      </c>
      <c r="T2329" s="182">
        <v>64.800000000000011</v>
      </c>
      <c r="U2329" s="182">
        <v>7691798.0192753812</v>
      </c>
      <c r="V2329" s="182">
        <v>28840000000000</v>
      </c>
    </row>
    <row r="2330" spans="1:22">
      <c r="A2330" s="174" t="s">
        <v>4283</v>
      </c>
      <c r="B2330" s="174" t="s">
        <v>4283</v>
      </c>
      <c r="C2330" s="182">
        <f t="shared" si="19"/>
        <v>289.48380000000003</v>
      </c>
      <c r="D2330" s="182">
        <v>36830</v>
      </c>
      <c r="E2330" s="182">
        <v>926.6</v>
      </c>
      <c r="F2330" s="182">
        <v>307.7</v>
      </c>
      <c r="G2330" s="182">
        <v>19.5</v>
      </c>
      <c r="H2330" s="182">
        <v>32</v>
      </c>
      <c r="I2330" s="182"/>
      <c r="J2330" s="182">
        <v>19</v>
      </c>
      <c r="K2330" s="182">
        <f t="shared" si="18"/>
        <v>4.8078124999999998</v>
      </c>
      <c r="L2330" s="182">
        <f t="shared" si="20"/>
        <v>42.287179487179486</v>
      </c>
      <c r="M2330" s="182">
        <v>5042000000</v>
      </c>
      <c r="N2330" s="182">
        <v>12570000</v>
      </c>
      <c r="O2330" s="182">
        <v>10880000</v>
      </c>
      <c r="P2330" s="182">
        <v>370</v>
      </c>
      <c r="Q2330" s="182">
        <v>156000000</v>
      </c>
      <c r="R2330" s="182">
        <v>1601000</v>
      </c>
      <c r="S2330" s="182">
        <v>1014000</v>
      </c>
      <c r="T2330" s="182">
        <v>65.099999999999994</v>
      </c>
      <c r="U2330" s="182">
        <v>9257160.4566695038</v>
      </c>
      <c r="V2330" s="182">
        <v>31090000000000</v>
      </c>
    </row>
    <row r="2331" spans="1:22">
      <c r="A2331" s="174" t="s">
        <v>4284</v>
      </c>
      <c r="B2331" s="174" t="s">
        <v>4284</v>
      </c>
      <c r="C2331" s="182">
        <f t="shared" si="19"/>
        <v>313.14240000000001</v>
      </c>
      <c r="D2331" s="182">
        <v>39840</v>
      </c>
      <c r="E2331" s="182">
        <v>932</v>
      </c>
      <c r="F2331" s="182">
        <v>309</v>
      </c>
      <c r="G2331" s="182">
        <v>21.1</v>
      </c>
      <c r="H2331" s="182">
        <v>34.5</v>
      </c>
      <c r="I2331" s="182"/>
      <c r="J2331" s="182">
        <v>19</v>
      </c>
      <c r="K2331" s="182">
        <f t="shared" si="18"/>
        <v>4.4782608695652177</v>
      </c>
      <c r="L2331" s="182">
        <f t="shared" si="20"/>
        <v>39.099526066350705</v>
      </c>
      <c r="M2331" s="182">
        <v>5482000000</v>
      </c>
      <c r="N2331" s="182">
        <v>13630000</v>
      </c>
      <c r="O2331" s="182">
        <v>11760000</v>
      </c>
      <c r="P2331" s="182">
        <v>371</v>
      </c>
      <c r="Q2331" s="182">
        <v>170400000</v>
      </c>
      <c r="R2331" s="182">
        <v>1748000</v>
      </c>
      <c r="S2331" s="182">
        <v>1103000</v>
      </c>
      <c r="T2331" s="182">
        <v>65.400000000000006</v>
      </c>
      <c r="U2331" s="182">
        <v>11609837.715620665</v>
      </c>
      <c r="V2331" s="182">
        <v>34160000000000</v>
      </c>
    </row>
    <row r="2332" spans="1:22">
      <c r="A2332" s="174" t="s">
        <v>4285</v>
      </c>
      <c r="B2332" s="174" t="s">
        <v>4285</v>
      </c>
      <c r="C2332" s="182">
        <f t="shared" si="19"/>
        <v>345.60420000000005</v>
      </c>
      <c r="D2332" s="182">
        <v>43970</v>
      </c>
      <c r="E2332" s="182">
        <v>943</v>
      </c>
      <c r="F2332" s="182">
        <v>308</v>
      </c>
      <c r="G2332" s="182">
        <v>22.1</v>
      </c>
      <c r="H2332" s="182">
        <v>39.9</v>
      </c>
      <c r="I2332" s="182"/>
      <c r="J2332" s="182">
        <v>19</v>
      </c>
      <c r="K2332" s="182">
        <f t="shared" si="18"/>
        <v>3.8596491228070176</v>
      </c>
      <c r="L2332" s="182">
        <f t="shared" si="20"/>
        <v>37.339366515837106</v>
      </c>
      <c r="M2332" s="182">
        <v>6256000000</v>
      </c>
      <c r="N2332" s="182">
        <v>15350000</v>
      </c>
      <c r="O2332" s="182">
        <v>13270000</v>
      </c>
      <c r="P2332" s="182">
        <v>377.2</v>
      </c>
      <c r="Q2332" s="182">
        <v>195200000</v>
      </c>
      <c r="R2332" s="182">
        <v>2003000</v>
      </c>
      <c r="S2332" s="182">
        <v>1267000</v>
      </c>
      <c r="T2332" s="182">
        <v>66.599999999999994</v>
      </c>
      <c r="U2332" s="182">
        <v>16483852.537822355</v>
      </c>
      <c r="V2332" s="182">
        <v>39620000000000</v>
      </c>
    </row>
    <row r="2333" spans="1:22">
      <c r="A2333" s="174" t="s">
        <v>4286</v>
      </c>
      <c r="B2333" s="174" t="s">
        <v>4286</v>
      </c>
      <c r="C2333" s="182">
        <f t="shared" si="19"/>
        <v>381.91740000000004</v>
      </c>
      <c r="D2333" s="182">
        <v>48590</v>
      </c>
      <c r="E2333" s="182">
        <v>951</v>
      </c>
      <c r="F2333" s="182">
        <v>310</v>
      </c>
      <c r="G2333" s="182">
        <v>24.4</v>
      </c>
      <c r="H2333" s="182">
        <v>43.9</v>
      </c>
      <c r="I2333" s="182"/>
      <c r="J2333" s="182">
        <v>19</v>
      </c>
      <c r="K2333" s="182">
        <f t="shared" si="18"/>
        <v>3.5307517084282463</v>
      </c>
      <c r="L2333" s="182">
        <f t="shared" si="20"/>
        <v>33.819672131147541</v>
      </c>
      <c r="M2333" s="182">
        <v>6968000000</v>
      </c>
      <c r="N2333" s="182">
        <v>17020000</v>
      </c>
      <c r="O2333" s="182">
        <v>14650000</v>
      </c>
      <c r="P2333" s="182">
        <v>378.7</v>
      </c>
      <c r="Q2333" s="182">
        <v>219100000</v>
      </c>
      <c r="R2333" s="182">
        <v>2243000</v>
      </c>
      <c r="S2333" s="182">
        <v>1414000</v>
      </c>
      <c r="T2333" s="182">
        <v>67.2</v>
      </c>
      <c r="U2333" s="182">
        <v>21963159.589170393</v>
      </c>
      <c r="V2333" s="182">
        <v>44840000000000</v>
      </c>
    </row>
    <row r="2334" spans="1:22">
      <c r="A2334" s="174" t="s">
        <v>4287</v>
      </c>
      <c r="B2334" s="174" t="s">
        <v>4287</v>
      </c>
      <c r="C2334" s="182">
        <f t="shared" si="19"/>
        <v>426.01200000000006</v>
      </c>
      <c r="D2334" s="182">
        <v>54200</v>
      </c>
      <c r="E2334" s="182">
        <v>961</v>
      </c>
      <c r="F2334" s="182">
        <v>313</v>
      </c>
      <c r="G2334" s="182">
        <v>26.9</v>
      </c>
      <c r="H2334" s="182">
        <v>49</v>
      </c>
      <c r="I2334" s="182"/>
      <c r="J2334" s="182">
        <v>19</v>
      </c>
      <c r="K2334" s="182">
        <f t="shared" si="18"/>
        <v>3.193877551020408</v>
      </c>
      <c r="L2334" s="182">
        <f t="shared" si="20"/>
        <v>30.669144981412639</v>
      </c>
      <c r="M2334" s="182">
        <v>7882000000</v>
      </c>
      <c r="N2334" s="182">
        <v>19130000</v>
      </c>
      <c r="O2334" s="182">
        <v>16400000</v>
      </c>
      <c r="P2334" s="182">
        <v>381.3</v>
      </c>
      <c r="Q2334" s="182">
        <v>251900000</v>
      </c>
      <c r="R2334" s="182">
        <v>2562000</v>
      </c>
      <c r="S2334" s="182">
        <v>1610000</v>
      </c>
      <c r="T2334" s="182">
        <v>68.2</v>
      </c>
      <c r="U2334" s="182">
        <v>30272360.850184441</v>
      </c>
      <c r="V2334" s="182">
        <v>52070000000000</v>
      </c>
    </row>
    <row r="2335" spans="1:22">
      <c r="A2335" s="174" t="s">
        <v>4288</v>
      </c>
      <c r="B2335" s="174" t="s">
        <v>4288</v>
      </c>
      <c r="C2335" s="182">
        <f t="shared" si="19"/>
        <v>474.66540000000003</v>
      </c>
      <c r="D2335" s="182">
        <v>60390</v>
      </c>
      <c r="E2335" s="182">
        <v>971</v>
      </c>
      <c r="F2335" s="182">
        <v>316</v>
      </c>
      <c r="G2335" s="182">
        <v>30</v>
      </c>
      <c r="H2335" s="182">
        <v>54.1</v>
      </c>
      <c r="I2335" s="182"/>
      <c r="J2335" s="182">
        <v>19</v>
      </c>
      <c r="K2335" s="182">
        <f t="shared" si="18"/>
        <v>2.9205175600739373</v>
      </c>
      <c r="L2335" s="182">
        <f t="shared" si="20"/>
        <v>27.493333333333332</v>
      </c>
      <c r="M2335" s="182">
        <v>8857000000</v>
      </c>
      <c r="N2335" s="182">
        <v>21390000</v>
      </c>
      <c r="O2335" s="182">
        <v>18240000</v>
      </c>
      <c r="P2335" s="182">
        <v>383</v>
      </c>
      <c r="Q2335" s="182">
        <v>286600000</v>
      </c>
      <c r="R2335" s="182">
        <v>2901000</v>
      </c>
      <c r="S2335" s="182">
        <v>1814000</v>
      </c>
      <c r="T2335" s="182">
        <v>68.899999999999991</v>
      </c>
      <c r="U2335" s="182">
        <v>41024122.351801597</v>
      </c>
      <c r="V2335" s="182">
        <v>59800000000000</v>
      </c>
    </row>
    <row r="2336" spans="1:22">
      <c r="A2336" s="174" t="s">
        <v>4289</v>
      </c>
      <c r="B2336" s="174" t="s">
        <v>4289</v>
      </c>
      <c r="C2336" s="182">
        <f t="shared" si="19"/>
        <v>521.66820000000007</v>
      </c>
      <c r="D2336" s="182">
        <v>66370</v>
      </c>
      <c r="E2336" s="182">
        <v>981</v>
      </c>
      <c r="F2336" s="182">
        <v>319</v>
      </c>
      <c r="G2336" s="182">
        <v>33</v>
      </c>
      <c r="H2336" s="182">
        <v>58.9</v>
      </c>
      <c r="I2336" s="182"/>
      <c r="J2336" s="182">
        <v>19</v>
      </c>
      <c r="K2336" s="182">
        <f t="shared" si="18"/>
        <v>2.7079796264855687</v>
      </c>
      <c r="L2336" s="182">
        <f t="shared" si="20"/>
        <v>25.006060606060608</v>
      </c>
      <c r="M2336" s="182">
        <v>9824000000</v>
      </c>
      <c r="N2336" s="182">
        <v>23610000</v>
      </c>
      <c r="O2336" s="182">
        <v>20030000</v>
      </c>
      <c r="P2336" s="182">
        <v>384.7</v>
      </c>
      <c r="Q2336" s="182">
        <v>321400000</v>
      </c>
      <c r="R2336" s="182">
        <v>3238000</v>
      </c>
      <c r="S2336" s="182">
        <v>2015000</v>
      </c>
      <c r="T2336" s="182">
        <v>69.599999999999994</v>
      </c>
      <c r="U2336" s="182">
        <v>53381967.371617705</v>
      </c>
      <c r="V2336" s="182">
        <v>67740000000000</v>
      </c>
    </row>
    <row r="2337" spans="1:22">
      <c r="A2337" s="174" t="s">
        <v>4290</v>
      </c>
      <c r="B2337" s="174" t="s">
        <v>4290</v>
      </c>
      <c r="C2337" s="182">
        <f t="shared" si="19"/>
        <v>576.29520000000002</v>
      </c>
      <c r="D2337" s="182">
        <v>73320</v>
      </c>
      <c r="E2337" s="182">
        <v>993</v>
      </c>
      <c r="F2337" s="182">
        <v>322</v>
      </c>
      <c r="G2337" s="182">
        <v>36.1</v>
      </c>
      <c r="H2337" s="182">
        <v>65</v>
      </c>
      <c r="I2337" s="182"/>
      <c r="J2337" s="182">
        <v>19</v>
      </c>
      <c r="K2337" s="182">
        <f t="shared" si="18"/>
        <v>2.476923076923077</v>
      </c>
      <c r="L2337" s="182">
        <f t="shared" si="20"/>
        <v>22.853185595567865</v>
      </c>
      <c r="M2337" s="182">
        <v>11020000000</v>
      </c>
      <c r="N2337" s="182">
        <v>26280000</v>
      </c>
      <c r="O2337" s="182">
        <v>22190000</v>
      </c>
      <c r="P2337" s="182">
        <v>387.59999999999997</v>
      </c>
      <c r="Q2337" s="182">
        <v>365200000</v>
      </c>
      <c r="R2337" s="182">
        <v>3658000</v>
      </c>
      <c r="S2337" s="182">
        <v>2268000</v>
      </c>
      <c r="T2337" s="182">
        <v>70.599999999999994</v>
      </c>
      <c r="U2337" s="182">
        <v>71283202.419261023</v>
      </c>
      <c r="V2337" s="182">
        <v>77870000000000</v>
      </c>
    </row>
    <row r="2338" spans="1:22">
      <c r="A2338" s="174" t="s">
        <v>4291</v>
      </c>
      <c r="B2338" s="174" t="s">
        <v>4291</v>
      </c>
      <c r="C2338" s="182">
        <f t="shared" si="19"/>
        <v>343.63920000000002</v>
      </c>
      <c r="D2338" s="182">
        <v>43720</v>
      </c>
      <c r="E2338" s="182">
        <v>927</v>
      </c>
      <c r="F2338" s="182">
        <v>418</v>
      </c>
      <c r="G2338" s="182">
        <v>19.3</v>
      </c>
      <c r="H2338" s="182">
        <v>32</v>
      </c>
      <c r="I2338" s="182"/>
      <c r="J2338" s="182">
        <v>19</v>
      </c>
      <c r="K2338" s="182">
        <f t="shared" si="18"/>
        <v>6.53125</v>
      </c>
      <c r="L2338" s="182">
        <f t="shared" si="20"/>
        <v>42.746113989637301</v>
      </c>
      <c r="M2338" s="182">
        <v>6450000000</v>
      </c>
      <c r="N2338" s="182">
        <v>15700000</v>
      </c>
      <c r="O2338" s="182">
        <v>13920000</v>
      </c>
      <c r="P2338" s="182">
        <v>384.09999999999997</v>
      </c>
      <c r="Q2338" s="182">
        <v>390100000</v>
      </c>
      <c r="R2338" s="182">
        <v>2880000</v>
      </c>
      <c r="S2338" s="182">
        <v>1867000</v>
      </c>
      <c r="T2338" s="182">
        <v>94.5</v>
      </c>
      <c r="U2338" s="182">
        <v>11592722.145136504</v>
      </c>
      <c r="V2338" s="182">
        <v>78120000000000</v>
      </c>
    </row>
    <row r="2339" spans="1:22">
      <c r="A2339" s="174" t="s">
        <v>4292</v>
      </c>
      <c r="B2339" s="174" t="s">
        <v>4292</v>
      </c>
      <c r="C2339" s="182">
        <f t="shared" si="19"/>
        <v>365.96160000000003</v>
      </c>
      <c r="D2339" s="182">
        <v>46560</v>
      </c>
      <c r="E2339" s="182">
        <v>931</v>
      </c>
      <c r="F2339" s="182">
        <v>419</v>
      </c>
      <c r="G2339" s="182">
        <v>20.3</v>
      </c>
      <c r="H2339" s="182">
        <v>34.299999999999997</v>
      </c>
      <c r="I2339" s="182"/>
      <c r="J2339" s="182">
        <v>19</v>
      </c>
      <c r="K2339" s="182">
        <f t="shared" si="18"/>
        <v>6.1078717201166182</v>
      </c>
      <c r="L2339" s="182">
        <f t="shared" si="20"/>
        <v>40.610837438423644</v>
      </c>
      <c r="M2339" s="182">
        <v>6922000000</v>
      </c>
      <c r="N2339" s="182">
        <v>16790000</v>
      </c>
      <c r="O2339" s="182">
        <v>14870000</v>
      </c>
      <c r="P2339" s="182">
        <v>385.6</v>
      </c>
      <c r="Q2339" s="182">
        <v>421200000</v>
      </c>
      <c r="R2339" s="182">
        <v>3104000</v>
      </c>
      <c r="S2339" s="182">
        <v>2010000</v>
      </c>
      <c r="T2339" s="182">
        <v>95.1</v>
      </c>
      <c r="U2339" s="182">
        <v>14082838.132865533</v>
      </c>
      <c r="V2339" s="182">
        <v>84670000000000</v>
      </c>
    </row>
    <row r="2340" spans="1:22">
      <c r="A2340" s="174" t="s">
        <v>4293</v>
      </c>
      <c r="B2340" s="174" t="s">
        <v>4293</v>
      </c>
      <c r="C2340" s="182">
        <f t="shared" si="19"/>
        <v>388.51980000000003</v>
      </c>
      <c r="D2340" s="182">
        <v>49430</v>
      </c>
      <c r="E2340" s="182">
        <v>936</v>
      </c>
      <c r="F2340" s="182">
        <v>420</v>
      </c>
      <c r="G2340" s="182">
        <v>21.3</v>
      </c>
      <c r="H2340" s="182">
        <v>36.6</v>
      </c>
      <c r="I2340" s="182"/>
      <c r="J2340" s="182">
        <v>19</v>
      </c>
      <c r="K2340" s="182">
        <f t="shared" si="18"/>
        <v>5.7377049180327866</v>
      </c>
      <c r="L2340" s="182">
        <f t="shared" si="20"/>
        <v>38.72300469483568</v>
      </c>
      <c r="M2340" s="182">
        <v>7417000000</v>
      </c>
      <c r="N2340" s="182">
        <v>17920000</v>
      </c>
      <c r="O2340" s="182">
        <v>15850000</v>
      </c>
      <c r="P2340" s="182">
        <v>387.40000000000003</v>
      </c>
      <c r="Q2340" s="182">
        <v>452700000</v>
      </c>
      <c r="R2340" s="182">
        <v>3331000</v>
      </c>
      <c r="S2340" s="182">
        <v>2156000</v>
      </c>
      <c r="T2340" s="182">
        <v>95.7</v>
      </c>
      <c r="U2340" s="182">
        <v>16914399.70959986</v>
      </c>
      <c r="V2340" s="182">
        <v>91550000000000</v>
      </c>
    </row>
    <row r="2341" spans="1:22">
      <c r="A2341" s="174" t="s">
        <v>4294</v>
      </c>
      <c r="B2341" s="174" t="s">
        <v>4294</v>
      </c>
      <c r="C2341" s="182">
        <f t="shared" si="19"/>
        <v>419.80260000000004</v>
      </c>
      <c r="D2341" s="182">
        <v>53410</v>
      </c>
      <c r="E2341" s="182">
        <v>943</v>
      </c>
      <c r="F2341" s="182">
        <v>422</v>
      </c>
      <c r="G2341" s="182">
        <v>22.5</v>
      </c>
      <c r="H2341" s="182">
        <v>39.9</v>
      </c>
      <c r="I2341" s="182"/>
      <c r="J2341" s="182">
        <v>19</v>
      </c>
      <c r="K2341" s="182">
        <f t="shared" si="18"/>
        <v>5.2882205513784459</v>
      </c>
      <c r="L2341" s="182">
        <f t="shared" si="20"/>
        <v>36.675555555555555</v>
      </c>
      <c r="M2341" s="182">
        <v>8133000000</v>
      </c>
      <c r="N2341" s="182">
        <v>19530000</v>
      </c>
      <c r="O2341" s="182">
        <v>17250000</v>
      </c>
      <c r="P2341" s="182">
        <v>390.20000000000005</v>
      </c>
      <c r="Q2341" s="182">
        <v>500700000</v>
      </c>
      <c r="R2341" s="182">
        <v>3667000</v>
      </c>
      <c r="S2341" s="182">
        <v>2373000</v>
      </c>
      <c r="T2341" s="182">
        <v>96.8</v>
      </c>
      <c r="U2341" s="182">
        <v>21514084.518508509</v>
      </c>
      <c r="V2341" s="182">
        <v>102100000000000</v>
      </c>
    </row>
    <row r="2342" spans="1:22">
      <c r="A2342" s="174" t="s">
        <v>4295</v>
      </c>
      <c r="B2342" s="174" t="s">
        <v>4295</v>
      </c>
      <c r="C2342" s="182">
        <f t="shared" si="19"/>
        <v>449.12040000000002</v>
      </c>
      <c r="D2342" s="182">
        <v>57140</v>
      </c>
      <c r="E2342" s="182">
        <v>948</v>
      </c>
      <c r="F2342" s="182">
        <v>423</v>
      </c>
      <c r="G2342" s="182">
        <v>24</v>
      </c>
      <c r="H2342" s="182">
        <v>42.7</v>
      </c>
      <c r="I2342" s="182"/>
      <c r="J2342" s="182">
        <v>19</v>
      </c>
      <c r="K2342" s="182">
        <f t="shared" si="18"/>
        <v>4.9531615925058547</v>
      </c>
      <c r="L2342" s="182">
        <f t="shared" si="20"/>
        <v>34.358333333333334</v>
      </c>
      <c r="M2342" s="182">
        <v>8747000000</v>
      </c>
      <c r="N2342" s="182">
        <v>20950000</v>
      </c>
      <c r="O2342" s="182">
        <v>18450000</v>
      </c>
      <c r="P2342" s="182">
        <v>391.3</v>
      </c>
      <c r="Q2342" s="182">
        <v>539700000</v>
      </c>
      <c r="R2342" s="182">
        <v>3949000</v>
      </c>
      <c r="S2342" s="182">
        <v>2552000</v>
      </c>
      <c r="T2342" s="182">
        <v>97.2</v>
      </c>
      <c r="U2342" s="182">
        <v>26270044.684605096</v>
      </c>
      <c r="V2342" s="182">
        <v>110600000000000</v>
      </c>
    </row>
    <row r="2343" spans="1:22">
      <c r="A2343" s="174" t="s">
        <v>4296</v>
      </c>
      <c r="B2343" s="174" t="s">
        <v>4296</v>
      </c>
      <c r="C2343" s="182">
        <f t="shared" si="19"/>
        <v>489.91379999999998</v>
      </c>
      <c r="D2343" s="182">
        <v>62329.999999999993</v>
      </c>
      <c r="E2343" s="182">
        <v>957</v>
      </c>
      <c r="F2343" s="182">
        <v>422</v>
      </c>
      <c r="G2343" s="182">
        <v>25.9</v>
      </c>
      <c r="H2343" s="182">
        <v>47</v>
      </c>
      <c r="I2343" s="182"/>
      <c r="J2343" s="182">
        <v>19</v>
      </c>
      <c r="K2343" s="182">
        <f t="shared" si="18"/>
        <v>4.4893617021276597</v>
      </c>
      <c r="L2343" s="182">
        <f t="shared" si="20"/>
        <v>31.853281853281857</v>
      </c>
      <c r="M2343" s="182">
        <v>9663000000</v>
      </c>
      <c r="N2343" s="182">
        <v>23000000</v>
      </c>
      <c r="O2343" s="182">
        <v>20200000</v>
      </c>
      <c r="P2343" s="182">
        <v>393.7</v>
      </c>
      <c r="Q2343" s="182">
        <v>590000000</v>
      </c>
      <c r="R2343" s="182">
        <v>4335000</v>
      </c>
      <c r="S2343" s="182">
        <v>2796000</v>
      </c>
      <c r="T2343" s="182">
        <v>97.300000000000011</v>
      </c>
      <c r="U2343" s="182">
        <v>34411263.560061738</v>
      </c>
      <c r="V2343" s="182">
        <v>122200000000000</v>
      </c>
    </row>
    <row r="2344" spans="1:22">
      <c r="A2344" s="174" t="s">
        <v>4297</v>
      </c>
      <c r="B2344" s="174" t="s">
        <v>4297</v>
      </c>
      <c r="C2344" s="182">
        <f t="shared" si="19"/>
        <v>536.44500000000005</v>
      </c>
      <c r="D2344" s="182">
        <v>68250</v>
      </c>
      <c r="E2344" s="182">
        <v>965</v>
      </c>
      <c r="F2344" s="182">
        <v>425</v>
      </c>
      <c r="G2344" s="182">
        <v>28.4</v>
      </c>
      <c r="H2344" s="182">
        <v>51.1</v>
      </c>
      <c r="I2344" s="182"/>
      <c r="J2344" s="182">
        <v>19</v>
      </c>
      <c r="K2344" s="182">
        <f t="shared" si="18"/>
        <v>4.1585127201565557</v>
      </c>
      <c r="L2344" s="182">
        <f t="shared" si="20"/>
        <v>29.04225352112676</v>
      </c>
      <c r="M2344" s="182">
        <v>10660000000</v>
      </c>
      <c r="N2344" s="182">
        <v>25270000</v>
      </c>
      <c r="O2344" s="182">
        <v>22080000</v>
      </c>
      <c r="P2344" s="182">
        <v>395.09999999999997</v>
      </c>
      <c r="Q2344" s="182">
        <v>655500000</v>
      </c>
      <c r="R2344" s="182">
        <v>4795000</v>
      </c>
      <c r="S2344" s="182">
        <v>3085000</v>
      </c>
      <c r="T2344" s="182">
        <v>98</v>
      </c>
      <c r="U2344" s="182">
        <v>44470971.839186639</v>
      </c>
      <c r="V2344" s="182">
        <v>136900000000000</v>
      </c>
    </row>
    <row r="2345" spans="1:22">
      <c r="A2345" s="174" t="s">
        <v>4298</v>
      </c>
      <c r="B2345" s="174" t="s">
        <v>4298</v>
      </c>
      <c r="C2345" s="182">
        <f t="shared" si="19"/>
        <v>588.00660000000005</v>
      </c>
      <c r="D2345" s="182">
        <v>74810</v>
      </c>
      <c r="E2345" s="182">
        <v>975</v>
      </c>
      <c r="F2345" s="182">
        <v>427</v>
      </c>
      <c r="G2345" s="182">
        <v>31</v>
      </c>
      <c r="H2345" s="182">
        <v>55.9</v>
      </c>
      <c r="I2345" s="182"/>
      <c r="J2345" s="182">
        <v>19</v>
      </c>
      <c r="K2345" s="182">
        <f t="shared" si="18"/>
        <v>3.8193202146690521</v>
      </c>
      <c r="L2345" s="182">
        <f t="shared" si="20"/>
        <v>26.619354838709679</v>
      </c>
      <c r="M2345" s="182">
        <v>11810000000</v>
      </c>
      <c r="N2345" s="182">
        <v>27840000</v>
      </c>
      <c r="O2345" s="182">
        <v>24230000</v>
      </c>
      <c r="P2345" s="182">
        <v>397.40000000000003</v>
      </c>
      <c r="Q2345" s="182">
        <v>727600000</v>
      </c>
      <c r="R2345" s="182">
        <v>5310000</v>
      </c>
      <c r="S2345" s="182">
        <v>3408000</v>
      </c>
      <c r="T2345" s="182">
        <v>98.6</v>
      </c>
      <c r="U2345" s="182">
        <v>58073513.214667015</v>
      </c>
      <c r="V2345" s="182">
        <v>153200000000000</v>
      </c>
    </row>
    <row r="2346" spans="1:22">
      <c r="A2346" s="174" t="s">
        <v>4299</v>
      </c>
      <c r="B2346" s="174" t="s">
        <v>4299</v>
      </c>
      <c r="C2346" s="182">
        <f t="shared" si="19"/>
        <v>656.5458000000001</v>
      </c>
      <c r="D2346" s="182">
        <v>83530</v>
      </c>
      <c r="E2346" s="182">
        <v>987</v>
      </c>
      <c r="F2346" s="182">
        <v>431</v>
      </c>
      <c r="G2346" s="182">
        <v>34.5</v>
      </c>
      <c r="H2346" s="182">
        <v>62</v>
      </c>
      <c r="I2346" s="182"/>
      <c r="J2346" s="182">
        <v>19</v>
      </c>
      <c r="K2346" s="182">
        <f t="shared" si="18"/>
        <v>3.475806451612903</v>
      </c>
      <c r="L2346" s="182">
        <f t="shared" si="20"/>
        <v>23.913043478260871</v>
      </c>
      <c r="M2346" s="182">
        <v>13350000000</v>
      </c>
      <c r="N2346" s="182">
        <v>31270000</v>
      </c>
      <c r="O2346" s="182">
        <v>27060000</v>
      </c>
      <c r="P2346" s="182">
        <v>399.79999999999995</v>
      </c>
      <c r="Q2346" s="182">
        <v>830400000</v>
      </c>
      <c r="R2346" s="182">
        <v>6022000</v>
      </c>
      <c r="S2346" s="182">
        <v>3853000</v>
      </c>
      <c r="T2346" s="182">
        <v>99.7</v>
      </c>
      <c r="U2346" s="182">
        <v>79503404.318329021</v>
      </c>
      <c r="V2346" s="182">
        <v>177600000000000</v>
      </c>
    </row>
    <row r="2347" spans="1:22">
      <c r="A2347" s="174" t="s">
        <v>4300</v>
      </c>
      <c r="B2347" s="174" t="s">
        <v>4300</v>
      </c>
      <c r="C2347" s="182">
        <f t="shared" si="19"/>
        <v>725.39940000000001</v>
      </c>
      <c r="D2347" s="182">
        <v>92290</v>
      </c>
      <c r="E2347" s="182">
        <v>999</v>
      </c>
      <c r="F2347" s="182">
        <v>434</v>
      </c>
      <c r="G2347" s="182">
        <v>38.1</v>
      </c>
      <c r="H2347" s="182">
        <v>68.099999999999994</v>
      </c>
      <c r="I2347" s="182"/>
      <c r="J2347" s="182">
        <v>19</v>
      </c>
      <c r="K2347" s="182">
        <f t="shared" si="18"/>
        <v>3.1864904552129225</v>
      </c>
      <c r="L2347" s="182">
        <f t="shared" si="20"/>
        <v>21.648293963254591</v>
      </c>
      <c r="M2347" s="182">
        <v>14920000000</v>
      </c>
      <c r="N2347" s="182">
        <v>34740000</v>
      </c>
      <c r="O2347" s="182">
        <v>29880000</v>
      </c>
      <c r="P2347" s="182">
        <v>402.1</v>
      </c>
      <c r="Q2347" s="182">
        <v>932000000</v>
      </c>
      <c r="R2347" s="182">
        <v>6734000</v>
      </c>
      <c r="S2347" s="182">
        <v>4295000</v>
      </c>
      <c r="T2347" s="182">
        <v>100.5</v>
      </c>
      <c r="U2347" s="182">
        <v>105655716.77159616</v>
      </c>
      <c r="V2347" s="182">
        <v>201900000000000</v>
      </c>
    </row>
    <row r="2348" spans="1:22">
      <c r="A2348" s="174" t="s">
        <v>4301</v>
      </c>
      <c r="B2348" s="174" t="s">
        <v>4301</v>
      </c>
      <c r="C2348" s="182">
        <f t="shared" si="19"/>
        <v>787.57200000000012</v>
      </c>
      <c r="D2348" s="182">
        <v>100200</v>
      </c>
      <c r="E2348" s="182">
        <v>1011</v>
      </c>
      <c r="F2348" s="182">
        <v>437</v>
      </c>
      <c r="G2348" s="182">
        <v>40.9</v>
      </c>
      <c r="H2348" s="182">
        <v>73.900000000000006</v>
      </c>
      <c r="I2348" s="182"/>
      <c r="J2348" s="182">
        <v>19</v>
      </c>
      <c r="K2348" s="182">
        <f t="shared" si="18"/>
        <v>2.9566982408660349</v>
      </c>
      <c r="L2348" s="182">
        <f t="shared" si="20"/>
        <v>20.176039119804404</v>
      </c>
      <c r="M2348" s="182">
        <v>16460000000</v>
      </c>
      <c r="N2348" s="182">
        <v>38010000</v>
      </c>
      <c r="O2348" s="182">
        <v>32560000</v>
      </c>
      <c r="P2348" s="182">
        <v>405.3</v>
      </c>
      <c r="Q2348" s="182">
        <v>1033000000</v>
      </c>
      <c r="R2348" s="182">
        <v>7425000</v>
      </c>
      <c r="S2348" s="182">
        <v>4728000</v>
      </c>
      <c r="T2348" s="182">
        <v>101.5</v>
      </c>
      <c r="U2348" s="182">
        <v>134284598.47482532</v>
      </c>
      <c r="V2348" s="182">
        <v>226800000000000</v>
      </c>
    </row>
    <row r="2349" spans="1:22">
      <c r="A2349" s="174" t="s">
        <v>4302</v>
      </c>
      <c r="B2349" s="174" t="s">
        <v>4302</v>
      </c>
      <c r="C2349" s="182">
        <f t="shared" si="19"/>
        <v>971.96759999999995</v>
      </c>
      <c r="D2349" s="182">
        <v>123659.99999999999</v>
      </c>
      <c r="E2349" s="182">
        <v>1043</v>
      </c>
      <c r="F2349" s="182">
        <v>446</v>
      </c>
      <c r="G2349" s="182">
        <v>50</v>
      </c>
      <c r="H2349" s="182">
        <v>89.9</v>
      </c>
      <c r="I2349" s="182"/>
      <c r="J2349" s="182">
        <v>19</v>
      </c>
      <c r="K2349" s="182">
        <f t="shared" si="18"/>
        <v>2.4805339265850943</v>
      </c>
      <c r="L2349" s="182">
        <f t="shared" si="20"/>
        <v>16.504000000000001</v>
      </c>
      <c r="M2349" s="182">
        <v>21000000000</v>
      </c>
      <c r="N2349" s="182">
        <v>47660000</v>
      </c>
      <c r="O2349" s="182">
        <v>40270000</v>
      </c>
      <c r="P2349" s="182">
        <v>412.1</v>
      </c>
      <c r="Q2349" s="182">
        <v>1339000000</v>
      </c>
      <c r="R2349" s="182">
        <v>9490000</v>
      </c>
      <c r="S2349" s="182">
        <v>6002000</v>
      </c>
      <c r="T2349" s="182">
        <v>104</v>
      </c>
      <c r="U2349" s="182">
        <v>243220559.0529418</v>
      </c>
      <c r="V2349" s="182">
        <v>304000000000000</v>
      </c>
    </row>
    <row r="2350" spans="1:22">
      <c r="A2350" s="174" t="s">
        <v>4303</v>
      </c>
      <c r="B2350" s="174" t="s">
        <v>4303</v>
      </c>
      <c r="C2350" s="182">
        <f t="shared" si="19"/>
        <v>1077.999</v>
      </c>
      <c r="D2350" s="182">
        <v>137150</v>
      </c>
      <c r="E2350" s="182">
        <v>1061</v>
      </c>
      <c r="F2350" s="182">
        <v>451</v>
      </c>
      <c r="G2350" s="182">
        <v>55</v>
      </c>
      <c r="H2350" s="182">
        <v>99.1</v>
      </c>
      <c r="I2350" s="182"/>
      <c r="J2350" s="182">
        <v>19</v>
      </c>
      <c r="K2350" s="182">
        <f t="shared" si="18"/>
        <v>2.27547931382442</v>
      </c>
      <c r="L2350" s="182">
        <f t="shared" si="20"/>
        <v>14.996363636363636</v>
      </c>
      <c r="M2350" s="182">
        <v>23770000000</v>
      </c>
      <c r="N2350" s="182">
        <v>53390000</v>
      </c>
      <c r="O2350" s="182">
        <v>44790000</v>
      </c>
      <c r="P2350" s="182">
        <v>416.3</v>
      </c>
      <c r="Q2350" s="182">
        <v>1527000000</v>
      </c>
      <c r="R2350" s="182">
        <v>10740000</v>
      </c>
      <c r="S2350" s="182">
        <v>6773000</v>
      </c>
      <c r="T2350" s="182">
        <v>105.5</v>
      </c>
      <c r="U2350" s="182">
        <v>325998404.53205281</v>
      </c>
      <c r="V2350" s="182">
        <v>350800000000000</v>
      </c>
    </row>
    <row r="2351" spans="1:22">
      <c r="A2351" s="174" t="s">
        <v>4304</v>
      </c>
      <c r="B2351" s="174" t="s">
        <v>4304</v>
      </c>
      <c r="C2351" s="182">
        <f t="shared" si="19"/>
        <v>1195.8990000000001</v>
      </c>
      <c r="D2351" s="182">
        <v>152150</v>
      </c>
      <c r="E2351" s="182">
        <v>1081</v>
      </c>
      <c r="F2351" s="182">
        <v>457</v>
      </c>
      <c r="G2351" s="182">
        <v>60.5</v>
      </c>
      <c r="H2351" s="182">
        <v>109</v>
      </c>
      <c r="I2351" s="182"/>
      <c r="J2351" s="182">
        <v>19</v>
      </c>
      <c r="K2351" s="182">
        <f t="shared" si="18"/>
        <v>2.096330275229358</v>
      </c>
      <c r="L2351" s="182">
        <f t="shared" si="20"/>
        <v>13.636363636363637</v>
      </c>
      <c r="M2351" s="182">
        <v>26940000000</v>
      </c>
      <c r="N2351" s="182">
        <v>59830000</v>
      </c>
      <c r="O2351" s="182">
        <v>49830000</v>
      </c>
      <c r="P2351" s="182">
        <v>420.79999999999995</v>
      </c>
      <c r="Q2351" s="182">
        <v>1750000000</v>
      </c>
      <c r="R2351" s="182">
        <v>12180000</v>
      </c>
      <c r="S2351" s="182">
        <v>7660000</v>
      </c>
      <c r="T2351" s="182">
        <v>107.2</v>
      </c>
      <c r="U2351" s="182">
        <v>435309386.63498908</v>
      </c>
      <c r="V2351" s="182">
        <v>409700000000000</v>
      </c>
    </row>
    <row r="2352" spans="1:22">
      <c r="A2352" s="174" t="s">
        <v>4305</v>
      </c>
      <c r="B2352" s="174" t="s">
        <v>4305</v>
      </c>
      <c r="C2352" s="182">
        <f t="shared" si="19"/>
        <v>1270.5690000000002</v>
      </c>
      <c r="D2352" s="182">
        <v>161650</v>
      </c>
      <c r="E2352" s="182">
        <v>1093</v>
      </c>
      <c r="F2352" s="182">
        <v>461</v>
      </c>
      <c r="G2352" s="182">
        <v>64</v>
      </c>
      <c r="H2352" s="182">
        <v>115.1</v>
      </c>
      <c r="I2352" s="182"/>
      <c r="J2352" s="182">
        <v>19</v>
      </c>
      <c r="K2352" s="182">
        <f t="shared" si="18"/>
        <v>2.0026064291920069</v>
      </c>
      <c r="L2352" s="182">
        <f t="shared" si="20"/>
        <v>12.887499999999999</v>
      </c>
      <c r="M2352" s="182">
        <v>29000000000</v>
      </c>
      <c r="N2352" s="182">
        <v>63960000</v>
      </c>
      <c r="O2352" s="182">
        <v>53040000</v>
      </c>
      <c r="P2352" s="182">
        <v>423.5</v>
      </c>
      <c r="Q2352" s="182">
        <v>1899000000</v>
      </c>
      <c r="R2352" s="182">
        <v>13130000</v>
      </c>
      <c r="S2352" s="182">
        <v>8237000</v>
      </c>
      <c r="T2352" s="182">
        <v>108.4</v>
      </c>
      <c r="U2352" s="182">
        <v>514493121.66618782</v>
      </c>
      <c r="V2352" s="182">
        <v>449700000000000</v>
      </c>
    </row>
    <row r="2353" spans="1:22">
      <c r="A2353" s="174" t="s">
        <v>4306</v>
      </c>
      <c r="B2353" s="174" t="s">
        <v>4306</v>
      </c>
      <c r="C2353" s="182">
        <f t="shared" si="19"/>
        <v>1378.4082000000001</v>
      </c>
      <c r="D2353" s="182">
        <v>175370</v>
      </c>
      <c r="E2353" s="182">
        <v>1093</v>
      </c>
      <c r="F2353" s="182">
        <v>473</v>
      </c>
      <c r="G2353" s="182">
        <v>76.7</v>
      </c>
      <c r="H2353" s="182">
        <v>115.1</v>
      </c>
      <c r="I2353" s="182"/>
      <c r="J2353" s="182">
        <v>19</v>
      </c>
      <c r="K2353" s="182">
        <f t="shared" si="18"/>
        <v>2.054735013032146</v>
      </c>
      <c r="L2353" s="182">
        <f t="shared" si="20"/>
        <v>10.753585397653193</v>
      </c>
      <c r="M2353" s="182">
        <v>30340000000</v>
      </c>
      <c r="N2353" s="182">
        <v>67680000</v>
      </c>
      <c r="O2353" s="182">
        <v>55500000</v>
      </c>
      <c r="P2353" s="182">
        <v>415.90000000000003</v>
      </c>
      <c r="Q2353" s="182">
        <v>2063000000</v>
      </c>
      <c r="R2353" s="182">
        <v>14160000</v>
      </c>
      <c r="S2353" s="182">
        <v>8723000</v>
      </c>
      <c r="T2353" s="182">
        <v>108.5</v>
      </c>
      <c r="U2353" s="182">
        <v>596418825.61829698</v>
      </c>
      <c r="V2353" s="182">
        <v>485700000000000</v>
      </c>
    </row>
    <row r="2354" spans="1:22">
      <c r="A2354" s="174" t="s">
        <v>4307</v>
      </c>
      <c r="B2354" s="174" t="s">
        <v>4307</v>
      </c>
      <c r="C2354" s="182">
        <f t="shared" si="19"/>
        <v>296.79360000000003</v>
      </c>
      <c r="D2354" s="182">
        <v>37760</v>
      </c>
      <c r="E2354" s="182">
        <v>982</v>
      </c>
      <c r="F2354" s="182">
        <v>400</v>
      </c>
      <c r="G2354" s="182">
        <v>16.5</v>
      </c>
      <c r="H2354" s="182">
        <v>27.1</v>
      </c>
      <c r="I2354" s="182"/>
      <c r="J2354" s="182">
        <v>30</v>
      </c>
      <c r="K2354" s="182">
        <f t="shared" si="18"/>
        <v>7.3800738007380069</v>
      </c>
      <c r="L2354" s="182">
        <f t="shared" si="20"/>
        <v>52.593939393939394</v>
      </c>
      <c r="M2354" s="182">
        <v>6203000000</v>
      </c>
      <c r="N2354" s="182">
        <v>14260000</v>
      </c>
      <c r="O2354" s="182">
        <v>12630000</v>
      </c>
      <c r="P2354" s="182">
        <v>405.3</v>
      </c>
      <c r="Q2354" s="182">
        <v>289600000</v>
      </c>
      <c r="R2354" s="182">
        <v>2243000</v>
      </c>
      <c r="S2354" s="182">
        <v>1448000</v>
      </c>
      <c r="T2354" s="182">
        <v>87.6</v>
      </c>
      <c r="U2354" s="182">
        <v>7636147.1229825038</v>
      </c>
      <c r="V2354" s="182">
        <v>65900000000000</v>
      </c>
    </row>
    <row r="2355" spans="1:22">
      <c r="A2355" s="174" t="s">
        <v>4308</v>
      </c>
      <c r="B2355" s="174" t="s">
        <v>4308</v>
      </c>
      <c r="C2355" s="182">
        <f t="shared" si="19"/>
        <v>321.3168</v>
      </c>
      <c r="D2355" s="182">
        <v>40880</v>
      </c>
      <c r="E2355" s="182">
        <v>990</v>
      </c>
      <c r="F2355" s="182">
        <v>400</v>
      </c>
      <c r="G2355" s="182">
        <v>16.5</v>
      </c>
      <c r="H2355" s="182">
        <v>31</v>
      </c>
      <c r="I2355" s="182"/>
      <c r="J2355" s="182">
        <v>30</v>
      </c>
      <c r="K2355" s="182">
        <f t="shared" si="18"/>
        <v>6.4516129032258061</v>
      </c>
      <c r="L2355" s="182">
        <f t="shared" si="20"/>
        <v>52.606060606060609</v>
      </c>
      <c r="M2355" s="182">
        <v>6964000000</v>
      </c>
      <c r="N2355" s="182">
        <v>15800000</v>
      </c>
      <c r="O2355" s="182">
        <v>14070000</v>
      </c>
      <c r="P2355" s="182">
        <v>412.70000000000005</v>
      </c>
      <c r="Q2355" s="182">
        <v>331200000</v>
      </c>
      <c r="R2355" s="182">
        <v>2555000</v>
      </c>
      <c r="S2355" s="182">
        <v>1656000</v>
      </c>
      <c r="T2355" s="182">
        <v>90</v>
      </c>
      <c r="U2355" s="182">
        <v>10334516.949788418</v>
      </c>
      <c r="V2355" s="182">
        <v>76030000000000</v>
      </c>
    </row>
    <row r="2356" spans="1:22">
      <c r="A2356" s="174" t="s">
        <v>4309</v>
      </c>
      <c r="B2356" s="174" t="s">
        <v>4309</v>
      </c>
      <c r="C2356" s="182">
        <f t="shared" si="19"/>
        <v>371.62080000000003</v>
      </c>
      <c r="D2356" s="182">
        <v>47280</v>
      </c>
      <c r="E2356" s="182">
        <v>1000</v>
      </c>
      <c r="F2356" s="182">
        <v>400</v>
      </c>
      <c r="G2356" s="182">
        <v>19</v>
      </c>
      <c r="H2356" s="182">
        <v>36.1</v>
      </c>
      <c r="I2356" s="182"/>
      <c r="J2356" s="182">
        <v>30</v>
      </c>
      <c r="K2356" s="182">
        <f t="shared" si="18"/>
        <v>5.5401662049861491</v>
      </c>
      <c r="L2356" s="182">
        <f t="shared" si="20"/>
        <v>45.673684210526311</v>
      </c>
      <c r="M2356" s="182">
        <v>8137000000</v>
      </c>
      <c r="N2356" s="182">
        <v>18360000</v>
      </c>
      <c r="O2356" s="182">
        <v>16270000</v>
      </c>
      <c r="P2356" s="182">
        <v>414.90000000000003</v>
      </c>
      <c r="Q2356" s="182">
        <v>385800000</v>
      </c>
      <c r="R2356" s="182">
        <v>2984000</v>
      </c>
      <c r="S2356" s="182">
        <v>1929000</v>
      </c>
      <c r="T2356" s="182">
        <v>90.3</v>
      </c>
      <c r="U2356" s="182">
        <v>15884408.422306882</v>
      </c>
      <c r="V2356" s="182">
        <v>89440000000000</v>
      </c>
    </row>
    <row r="2357" spans="1:22">
      <c r="A2357" s="174" t="s">
        <v>4310</v>
      </c>
      <c r="B2357" s="174" t="s">
        <v>4310</v>
      </c>
      <c r="C2357" s="182">
        <f t="shared" si="19"/>
        <v>412.72860000000003</v>
      </c>
      <c r="D2357" s="182">
        <v>52510</v>
      </c>
      <c r="E2357" s="182">
        <v>1008</v>
      </c>
      <c r="F2357" s="182">
        <v>402</v>
      </c>
      <c r="G2357" s="182">
        <v>21.1</v>
      </c>
      <c r="H2357" s="182">
        <v>40</v>
      </c>
      <c r="I2357" s="182"/>
      <c r="J2357" s="182">
        <v>30</v>
      </c>
      <c r="K2357" s="182">
        <f t="shared" si="18"/>
        <v>5.0250000000000004</v>
      </c>
      <c r="L2357" s="182">
        <f t="shared" si="20"/>
        <v>41.137440758293835</v>
      </c>
      <c r="M2357" s="182">
        <v>9105000000</v>
      </c>
      <c r="N2357" s="182">
        <v>20460000</v>
      </c>
      <c r="O2357" s="182">
        <v>18070000</v>
      </c>
      <c r="P2357" s="182">
        <v>416.4</v>
      </c>
      <c r="Q2357" s="182">
        <v>434000000</v>
      </c>
      <c r="R2357" s="182">
        <v>3349000</v>
      </c>
      <c r="S2357" s="182">
        <v>2160000</v>
      </c>
      <c r="T2357" s="182">
        <v>90.9</v>
      </c>
      <c r="U2357" s="182">
        <v>21448778.938511219</v>
      </c>
      <c r="V2357" s="182">
        <v>101500000000000</v>
      </c>
    </row>
    <row r="2358" spans="1:22">
      <c r="A2358" s="174" t="s">
        <v>4311</v>
      </c>
      <c r="B2358" s="174" t="s">
        <v>4311</v>
      </c>
      <c r="C2358" s="182">
        <f t="shared" si="19"/>
        <v>443.0682000000001</v>
      </c>
      <c r="D2358" s="182">
        <v>56370.000000000007</v>
      </c>
      <c r="E2358" s="182">
        <v>1012</v>
      </c>
      <c r="F2358" s="182">
        <v>402</v>
      </c>
      <c r="G2358" s="182">
        <v>23.6</v>
      </c>
      <c r="H2358" s="182">
        <v>41.9</v>
      </c>
      <c r="I2358" s="182"/>
      <c r="J2358" s="182">
        <v>30</v>
      </c>
      <c r="K2358" s="182">
        <f t="shared" si="18"/>
        <v>4.7971360381861574</v>
      </c>
      <c r="L2358" s="182">
        <f t="shared" si="20"/>
        <v>36.788135593220339</v>
      </c>
      <c r="M2358" s="182">
        <v>9665000000</v>
      </c>
      <c r="N2358" s="182">
        <v>21780000</v>
      </c>
      <c r="O2358" s="182">
        <v>19100000</v>
      </c>
      <c r="P2358" s="182">
        <v>414.09999999999997</v>
      </c>
      <c r="Q2358" s="182">
        <v>455000000</v>
      </c>
      <c r="R2358" s="182">
        <v>3529000</v>
      </c>
      <c r="S2358" s="182">
        <v>2264000</v>
      </c>
      <c r="T2358" s="182">
        <v>89.800000000000011</v>
      </c>
      <c r="U2358" s="182">
        <v>25434714.879058108</v>
      </c>
      <c r="V2358" s="182">
        <v>106700000000000</v>
      </c>
    </row>
    <row r="2359" spans="1:22">
      <c r="A2359" s="174" t="s">
        <v>4312</v>
      </c>
      <c r="B2359" s="174" t="s">
        <v>4312</v>
      </c>
      <c r="C2359" s="182">
        <f t="shared" si="19"/>
        <v>483.46860000000004</v>
      </c>
      <c r="D2359" s="182">
        <v>61510</v>
      </c>
      <c r="E2359" s="182">
        <v>1020</v>
      </c>
      <c r="F2359" s="182">
        <v>404</v>
      </c>
      <c r="G2359" s="182">
        <v>25.4</v>
      </c>
      <c r="H2359" s="182">
        <v>46</v>
      </c>
      <c r="I2359" s="182"/>
      <c r="J2359" s="182">
        <v>30</v>
      </c>
      <c r="K2359" s="182">
        <f t="shared" si="18"/>
        <v>4.3913043478260869</v>
      </c>
      <c r="L2359" s="182">
        <f t="shared" si="20"/>
        <v>34.173228346456696</v>
      </c>
      <c r="M2359" s="182">
        <v>10670000000</v>
      </c>
      <c r="N2359" s="182">
        <v>23920000</v>
      </c>
      <c r="O2359" s="182">
        <v>20930000</v>
      </c>
      <c r="P2359" s="182">
        <v>416.59999999999997</v>
      </c>
      <c r="Q2359" s="182">
        <v>507100000</v>
      </c>
      <c r="R2359" s="182">
        <v>3919000</v>
      </c>
      <c r="S2359" s="182">
        <v>2510000</v>
      </c>
      <c r="T2359" s="182">
        <v>90.8</v>
      </c>
      <c r="U2359" s="182">
        <v>33068031.701991688</v>
      </c>
      <c r="V2359" s="182">
        <v>119900000000000</v>
      </c>
    </row>
    <row r="2360" spans="1:22">
      <c r="A2360" s="174" t="s">
        <v>4313</v>
      </c>
      <c r="B2360" s="174" t="s">
        <v>4313</v>
      </c>
      <c r="C2360" s="182">
        <f t="shared" si="19"/>
        <v>540.13920000000007</v>
      </c>
      <c r="D2360" s="182">
        <v>68720</v>
      </c>
      <c r="E2360" s="182">
        <v>1030</v>
      </c>
      <c r="F2360" s="182">
        <v>407</v>
      </c>
      <c r="G2360" s="182">
        <v>28.4</v>
      </c>
      <c r="H2360" s="182">
        <v>51.1</v>
      </c>
      <c r="I2360" s="182"/>
      <c r="J2360" s="182">
        <v>30</v>
      </c>
      <c r="K2360" s="182">
        <f t="shared" si="18"/>
        <v>3.9823874755381605</v>
      </c>
      <c r="L2360" s="182">
        <f t="shared" si="20"/>
        <v>30.556338028169016</v>
      </c>
      <c r="M2360" s="182">
        <v>12030000000</v>
      </c>
      <c r="N2360" s="182">
        <v>26820000</v>
      </c>
      <c r="O2360" s="182">
        <v>23350000</v>
      </c>
      <c r="P2360" s="182">
        <v>418.29999999999995</v>
      </c>
      <c r="Q2360" s="182">
        <v>576300000</v>
      </c>
      <c r="R2360" s="182">
        <v>4436000</v>
      </c>
      <c r="S2360" s="182">
        <v>2832000</v>
      </c>
      <c r="T2360" s="182">
        <v>91.6</v>
      </c>
      <c r="U2360" s="182">
        <v>45295768.476040274</v>
      </c>
      <c r="V2360" s="182">
        <v>137600000000000</v>
      </c>
    </row>
    <row r="2361" spans="1:22">
      <c r="A2361" s="174" t="s">
        <v>4314</v>
      </c>
      <c r="B2361" s="174" t="s">
        <v>4314</v>
      </c>
      <c r="C2361" s="182">
        <f t="shared" si="19"/>
        <v>554.75880000000006</v>
      </c>
      <c r="D2361" s="182">
        <v>70580</v>
      </c>
      <c r="E2361" s="182">
        <v>1032</v>
      </c>
      <c r="F2361" s="182">
        <v>408</v>
      </c>
      <c r="G2361" s="182">
        <v>29.5</v>
      </c>
      <c r="H2361" s="182">
        <v>52</v>
      </c>
      <c r="I2361" s="182"/>
      <c r="J2361" s="182">
        <v>30</v>
      </c>
      <c r="K2361" s="182">
        <f t="shared" si="18"/>
        <v>3.9230769230769229</v>
      </c>
      <c r="L2361" s="182">
        <f t="shared" si="20"/>
        <v>29.423728813559322</v>
      </c>
      <c r="M2361" s="182">
        <v>12320000000</v>
      </c>
      <c r="N2361" s="182">
        <v>27500000</v>
      </c>
      <c r="O2361" s="182">
        <v>23880000</v>
      </c>
      <c r="P2361" s="182">
        <v>417.9</v>
      </c>
      <c r="Q2361" s="182">
        <v>591000000</v>
      </c>
      <c r="R2361" s="182">
        <v>4547000</v>
      </c>
      <c r="S2361" s="182">
        <v>2897000</v>
      </c>
      <c r="T2361" s="182">
        <v>91.5</v>
      </c>
      <c r="U2361" s="182">
        <v>48341084.933742419</v>
      </c>
      <c r="V2361" s="182">
        <v>141300000000000</v>
      </c>
    </row>
    <row r="2362" spans="1:22">
      <c r="A2362" s="174" t="s">
        <v>4315</v>
      </c>
      <c r="B2362" s="174" t="s">
        <v>4315</v>
      </c>
      <c r="C2362" s="182">
        <f t="shared" si="19"/>
        <v>591.62220000000002</v>
      </c>
      <c r="D2362" s="182">
        <v>75270</v>
      </c>
      <c r="E2362" s="182">
        <v>1040</v>
      </c>
      <c r="F2362" s="182">
        <v>409</v>
      </c>
      <c r="G2362" s="182">
        <v>31</v>
      </c>
      <c r="H2362" s="182">
        <v>55.9</v>
      </c>
      <c r="I2362" s="182"/>
      <c r="J2362" s="182">
        <v>30</v>
      </c>
      <c r="K2362" s="182">
        <f t="shared" si="18"/>
        <v>3.6583184257602861</v>
      </c>
      <c r="L2362" s="182">
        <f t="shared" si="20"/>
        <v>28.006451612903227</v>
      </c>
      <c r="M2362" s="182">
        <v>13310000000</v>
      </c>
      <c r="N2362" s="182">
        <v>29530000</v>
      </c>
      <c r="O2362" s="182">
        <v>25600000</v>
      </c>
      <c r="P2362" s="182">
        <v>420.5</v>
      </c>
      <c r="Q2362" s="182">
        <v>640100000</v>
      </c>
      <c r="R2362" s="182">
        <v>4916000</v>
      </c>
      <c r="S2362" s="182">
        <v>3130000</v>
      </c>
      <c r="T2362" s="182">
        <v>92.2</v>
      </c>
      <c r="U2362" s="182">
        <v>58955838.641573176</v>
      </c>
      <c r="V2362" s="182">
        <v>154300000000000</v>
      </c>
    </row>
    <row r="2363" spans="1:22">
      <c r="A2363" s="174" t="s">
        <v>4316</v>
      </c>
      <c r="B2363" s="174" t="s">
        <v>4316</v>
      </c>
      <c r="C2363" s="182">
        <f t="shared" si="19"/>
        <v>642.6336</v>
      </c>
      <c r="D2363" s="182">
        <v>81760</v>
      </c>
      <c r="E2363" s="182">
        <v>1048</v>
      </c>
      <c r="F2363" s="182">
        <v>412</v>
      </c>
      <c r="G2363" s="182">
        <v>34</v>
      </c>
      <c r="H2363" s="182">
        <v>60</v>
      </c>
      <c r="I2363" s="182"/>
      <c r="J2363" s="182">
        <v>30</v>
      </c>
      <c r="K2363" s="182">
        <f t="shared" si="18"/>
        <v>3.4333333333333331</v>
      </c>
      <c r="L2363" s="182">
        <f t="shared" si="20"/>
        <v>25.529411764705884</v>
      </c>
      <c r="M2363" s="182">
        <v>14510000000</v>
      </c>
      <c r="N2363" s="182">
        <v>32100000</v>
      </c>
      <c r="O2363" s="182">
        <v>27680000</v>
      </c>
      <c r="P2363" s="182">
        <v>421.2</v>
      </c>
      <c r="Q2363" s="182">
        <v>702800000</v>
      </c>
      <c r="R2363" s="182">
        <v>5379000</v>
      </c>
      <c r="S2363" s="182">
        <v>3412000</v>
      </c>
      <c r="T2363" s="182">
        <v>92.699999999999989</v>
      </c>
      <c r="U2363" s="182">
        <v>73817865.093941629</v>
      </c>
      <c r="V2363" s="182">
        <v>170700000000000</v>
      </c>
    </row>
    <row r="2364" spans="1:22">
      <c r="A2364" s="174" t="s">
        <v>4317</v>
      </c>
      <c r="B2364" s="174" t="s">
        <v>4317</v>
      </c>
      <c r="C2364" s="182">
        <f t="shared" si="19"/>
        <v>749.37240000000008</v>
      </c>
      <c r="D2364" s="182">
        <v>95340</v>
      </c>
      <c r="E2364" s="182">
        <v>1068</v>
      </c>
      <c r="F2364" s="182">
        <v>417</v>
      </c>
      <c r="G2364" s="182">
        <v>39</v>
      </c>
      <c r="H2364" s="182">
        <v>70</v>
      </c>
      <c r="I2364" s="182"/>
      <c r="J2364" s="182">
        <v>30</v>
      </c>
      <c r="K2364" s="182">
        <f t="shared" si="18"/>
        <v>2.9785714285714286</v>
      </c>
      <c r="L2364" s="182">
        <f t="shared" si="20"/>
        <v>22.256410256410255</v>
      </c>
      <c r="M2364" s="182">
        <v>17320000000</v>
      </c>
      <c r="N2364" s="182">
        <v>37880000</v>
      </c>
      <c r="O2364" s="182">
        <v>32430000</v>
      </c>
      <c r="P2364" s="182">
        <v>426.2</v>
      </c>
      <c r="Q2364" s="182">
        <v>851100000</v>
      </c>
      <c r="R2364" s="182">
        <v>6459000</v>
      </c>
      <c r="S2364" s="182">
        <v>4082000</v>
      </c>
      <c r="T2364" s="182">
        <v>94.5</v>
      </c>
      <c r="U2364" s="182">
        <v>115547099.56564899</v>
      </c>
      <c r="V2364" s="182">
        <v>210600000000000</v>
      </c>
    </row>
    <row r="2365" spans="1:22">
      <c r="A2365" s="174" t="s">
        <v>4318</v>
      </c>
      <c r="B2365" s="174" t="s">
        <v>4318</v>
      </c>
      <c r="C2365" s="182">
        <f t="shared" si="19"/>
        <v>884.25000000000011</v>
      </c>
      <c r="D2365" s="182">
        <v>112500</v>
      </c>
      <c r="E2365" s="182">
        <v>1092</v>
      </c>
      <c r="F2365" s="182">
        <v>424</v>
      </c>
      <c r="G2365" s="182">
        <v>45.5</v>
      </c>
      <c r="H2365" s="182">
        <v>82</v>
      </c>
      <c r="I2365" s="182"/>
      <c r="J2365" s="182">
        <v>30</v>
      </c>
      <c r="K2365" s="182">
        <f t="shared" si="18"/>
        <v>2.5853658536585367</v>
      </c>
      <c r="L2365" s="182">
        <f t="shared" si="20"/>
        <v>19.076923076923077</v>
      </c>
      <c r="M2365" s="182">
        <v>20960000000</v>
      </c>
      <c r="N2365" s="182">
        <v>45260000</v>
      </c>
      <c r="O2365" s="182">
        <v>38390000</v>
      </c>
      <c r="P2365" s="182">
        <v>431.59999999999997</v>
      </c>
      <c r="Q2365" s="182">
        <v>1050000000</v>
      </c>
      <c r="R2365" s="182">
        <v>7874000</v>
      </c>
      <c r="S2365" s="182">
        <v>4952000</v>
      </c>
      <c r="T2365" s="182">
        <v>96.6</v>
      </c>
      <c r="U2365" s="182">
        <v>185175982.91004521</v>
      </c>
      <c r="V2365" s="182">
        <v>265700000000000</v>
      </c>
    </row>
    <row r="2366" spans="1:22">
      <c r="A2366" s="174" t="s">
        <v>4319</v>
      </c>
      <c r="B2366" s="174" t="s">
        <v>4319</v>
      </c>
      <c r="C2366" s="182">
        <f t="shared" si="19"/>
        <v>976.99800000000005</v>
      </c>
      <c r="D2366" s="182">
        <v>124300</v>
      </c>
      <c r="E2366" s="182">
        <v>1108</v>
      </c>
      <c r="F2366" s="182">
        <v>428</v>
      </c>
      <c r="G2366" s="182">
        <v>50</v>
      </c>
      <c r="H2366" s="182">
        <v>89.9</v>
      </c>
      <c r="I2366" s="182"/>
      <c r="J2366" s="182">
        <v>30</v>
      </c>
      <c r="K2366" s="182">
        <f t="shared" si="18"/>
        <v>2.3804226918798665</v>
      </c>
      <c r="L2366" s="182">
        <f t="shared" si="20"/>
        <v>17.364000000000001</v>
      </c>
      <c r="M2366" s="182">
        <v>23490000000</v>
      </c>
      <c r="N2366" s="182">
        <v>50300000</v>
      </c>
      <c r="O2366" s="182">
        <v>42400000</v>
      </c>
      <c r="P2366" s="182">
        <v>435</v>
      </c>
      <c r="Q2366" s="182">
        <v>1185000000</v>
      </c>
      <c r="R2366" s="182">
        <v>8839000</v>
      </c>
      <c r="S2366" s="182">
        <v>5538000</v>
      </c>
      <c r="T2366" s="182">
        <v>97.699999999999989</v>
      </c>
      <c r="U2366" s="182">
        <v>244199223.0024958</v>
      </c>
      <c r="V2366" s="182">
        <v>304400000000000</v>
      </c>
    </row>
    <row r="2367" spans="1:22">
      <c r="A2367" s="174" t="s">
        <v>4320</v>
      </c>
      <c r="B2367" s="174" t="s">
        <v>4320</v>
      </c>
      <c r="C2367" s="182">
        <f t="shared" si="19"/>
        <v>222.28080000000003</v>
      </c>
      <c r="D2367" s="182">
        <v>28280</v>
      </c>
      <c r="E2367" s="182">
        <v>970</v>
      </c>
      <c r="F2367" s="182">
        <v>300</v>
      </c>
      <c r="G2367" s="182">
        <v>16</v>
      </c>
      <c r="H2367" s="182">
        <v>21.1</v>
      </c>
      <c r="I2367" s="182"/>
      <c r="J2367" s="182">
        <v>30</v>
      </c>
      <c r="K2367" s="182">
        <f t="shared" si="18"/>
        <v>7.1090047393364921</v>
      </c>
      <c r="L2367" s="182">
        <f t="shared" si="20"/>
        <v>54.237499999999997</v>
      </c>
      <c r="M2367" s="182">
        <v>4077000000</v>
      </c>
      <c r="N2367" s="182">
        <v>9803000</v>
      </c>
      <c r="O2367" s="182">
        <v>8405000</v>
      </c>
      <c r="P2367" s="182">
        <v>379.7</v>
      </c>
      <c r="Q2367" s="182">
        <v>95460000</v>
      </c>
      <c r="R2367" s="182">
        <v>1020000</v>
      </c>
      <c r="S2367" s="182">
        <v>636400</v>
      </c>
      <c r="T2367" s="182">
        <v>58.099999999999994</v>
      </c>
      <c r="U2367" s="182">
        <v>3900049.6644363506</v>
      </c>
      <c r="V2367" s="182">
        <v>21370000000000</v>
      </c>
    </row>
    <row r="2368" spans="1:22">
      <c r="A2368" s="174" t="s">
        <v>4321</v>
      </c>
      <c r="B2368" s="174" t="s">
        <v>4321</v>
      </c>
      <c r="C2368" s="182">
        <f t="shared" si="19"/>
        <v>249.00480000000002</v>
      </c>
      <c r="D2368" s="182">
        <v>31680</v>
      </c>
      <c r="E2368" s="182">
        <v>980</v>
      </c>
      <c r="F2368" s="182">
        <v>300</v>
      </c>
      <c r="G2368" s="182">
        <v>16.5</v>
      </c>
      <c r="H2368" s="182">
        <v>26</v>
      </c>
      <c r="I2368" s="182"/>
      <c r="J2368" s="182">
        <v>30</v>
      </c>
      <c r="K2368" s="182">
        <f t="shared" si="18"/>
        <v>5.7692307692307692</v>
      </c>
      <c r="L2368" s="182">
        <f t="shared" si="20"/>
        <v>52.606060606060609</v>
      </c>
      <c r="M2368" s="182">
        <v>4811000000</v>
      </c>
      <c r="N2368" s="182">
        <v>11350000</v>
      </c>
      <c r="O2368" s="182">
        <v>9818000</v>
      </c>
      <c r="P2368" s="182">
        <v>389.7</v>
      </c>
      <c r="Q2368" s="182">
        <v>117500000</v>
      </c>
      <c r="R2368" s="182">
        <v>1245000</v>
      </c>
      <c r="S2368" s="182">
        <v>783600</v>
      </c>
      <c r="T2368" s="182">
        <v>60.9</v>
      </c>
      <c r="U2368" s="182">
        <v>5819591.3753341027</v>
      </c>
      <c r="V2368" s="182">
        <v>26620000000000</v>
      </c>
    </row>
    <row r="2369" spans="1:22">
      <c r="A2369" s="174" t="s">
        <v>4322</v>
      </c>
      <c r="B2369" s="174" t="s">
        <v>4322</v>
      </c>
      <c r="C2369" s="182">
        <f t="shared" si="19"/>
        <v>272.58480000000003</v>
      </c>
      <c r="D2369" s="182">
        <v>34680</v>
      </c>
      <c r="E2369" s="182">
        <v>990</v>
      </c>
      <c r="F2369" s="182">
        <v>300</v>
      </c>
      <c r="G2369" s="182">
        <v>16.5</v>
      </c>
      <c r="H2369" s="182">
        <v>31</v>
      </c>
      <c r="I2369" s="182"/>
      <c r="J2369" s="182">
        <v>30</v>
      </c>
      <c r="K2369" s="182">
        <f t="shared" si="18"/>
        <v>4.838709677419355</v>
      </c>
      <c r="L2369" s="182">
        <f t="shared" si="20"/>
        <v>52.606060606060609</v>
      </c>
      <c r="M2369" s="182">
        <v>5538000000</v>
      </c>
      <c r="N2369" s="182">
        <v>12820000</v>
      </c>
      <c r="O2369" s="182">
        <v>11190000</v>
      </c>
      <c r="P2369" s="182">
        <v>399.6</v>
      </c>
      <c r="Q2369" s="182">
        <v>140000000</v>
      </c>
      <c r="R2369" s="182">
        <v>1470000</v>
      </c>
      <c r="S2369" s="182">
        <v>933600</v>
      </c>
      <c r="T2369" s="182">
        <v>63.5</v>
      </c>
      <c r="U2369" s="182">
        <v>8348450.2831217507</v>
      </c>
      <c r="V2369" s="182">
        <v>32070000000000</v>
      </c>
    </row>
    <row r="2370" spans="1:22">
      <c r="A2370" s="174" t="s">
        <v>4323</v>
      </c>
      <c r="B2370" s="174" t="s">
        <v>4323</v>
      </c>
      <c r="C2370" s="182">
        <f t="shared" si="19"/>
        <v>314.71440000000001</v>
      </c>
      <c r="D2370" s="182">
        <v>40040</v>
      </c>
      <c r="E2370" s="182">
        <v>1000</v>
      </c>
      <c r="F2370" s="182">
        <v>300</v>
      </c>
      <c r="G2370" s="182">
        <v>19.100000000000001</v>
      </c>
      <c r="H2370" s="182">
        <v>35.9</v>
      </c>
      <c r="I2370" s="182"/>
      <c r="J2370" s="182">
        <v>30</v>
      </c>
      <c r="K2370" s="182">
        <f t="shared" si="18"/>
        <v>4.1782729805013927</v>
      </c>
      <c r="L2370" s="182">
        <f t="shared" si="20"/>
        <v>45.455497382198949</v>
      </c>
      <c r="M2370" s="182">
        <v>6442000000</v>
      </c>
      <c r="N2370" s="182">
        <v>14850000</v>
      </c>
      <c r="O2370" s="182">
        <v>12880000</v>
      </c>
      <c r="P2370" s="182">
        <v>401.1</v>
      </c>
      <c r="Q2370" s="182">
        <v>162300000</v>
      </c>
      <c r="R2370" s="182">
        <v>1713000</v>
      </c>
      <c r="S2370" s="182">
        <v>1082000</v>
      </c>
      <c r="T2370" s="182">
        <v>63.7</v>
      </c>
      <c r="U2370" s="182">
        <v>12636658.009236358</v>
      </c>
      <c r="V2370" s="182">
        <v>37540000000000</v>
      </c>
    </row>
    <row r="2371" spans="1:22">
      <c r="A2371" s="174" t="s">
        <v>4324</v>
      </c>
      <c r="B2371" s="174" t="s">
        <v>4324</v>
      </c>
      <c r="C2371" s="182">
        <f t="shared" si="19"/>
        <v>349.84860000000003</v>
      </c>
      <c r="D2371" s="182">
        <v>44510</v>
      </c>
      <c r="E2371" s="182">
        <v>1008</v>
      </c>
      <c r="F2371" s="182">
        <v>302</v>
      </c>
      <c r="G2371" s="182">
        <v>21.1</v>
      </c>
      <c r="H2371" s="182">
        <v>40</v>
      </c>
      <c r="I2371" s="182"/>
      <c r="J2371" s="182">
        <v>30</v>
      </c>
      <c r="K2371" s="182">
        <f t="shared" si="18"/>
        <v>3.7749999999999999</v>
      </c>
      <c r="L2371" s="182">
        <f t="shared" si="20"/>
        <v>41.137440758293835</v>
      </c>
      <c r="M2371" s="182">
        <v>7230000000</v>
      </c>
      <c r="N2371" s="182">
        <v>16590000</v>
      </c>
      <c r="O2371" s="182">
        <v>14340000</v>
      </c>
      <c r="P2371" s="182">
        <v>403</v>
      </c>
      <c r="Q2371" s="182">
        <v>184600000</v>
      </c>
      <c r="R2371" s="182">
        <v>1941000</v>
      </c>
      <c r="S2371" s="182">
        <v>1223000</v>
      </c>
      <c r="T2371" s="182">
        <v>64.400000000000006</v>
      </c>
      <c r="U2371" s="182">
        <v>17182112.271844555</v>
      </c>
      <c r="V2371" s="182">
        <v>43020000000000</v>
      </c>
    </row>
    <row r="2372" spans="1:22">
      <c r="A2372" s="174" t="s">
        <v>4325</v>
      </c>
      <c r="B2372" s="174" t="s">
        <v>4325</v>
      </c>
      <c r="C2372" s="182">
        <f t="shared" si="19"/>
        <v>393.15720000000005</v>
      </c>
      <c r="D2372" s="182">
        <v>50020</v>
      </c>
      <c r="E2372" s="182">
        <v>1016</v>
      </c>
      <c r="F2372" s="182">
        <v>303</v>
      </c>
      <c r="G2372" s="182">
        <v>24.4</v>
      </c>
      <c r="H2372" s="182">
        <v>43.9</v>
      </c>
      <c r="I2372" s="182"/>
      <c r="J2372" s="182">
        <v>30</v>
      </c>
      <c r="K2372" s="182">
        <f t="shared" si="18"/>
        <v>3.4510250569476084</v>
      </c>
      <c r="L2372" s="182">
        <f t="shared" si="20"/>
        <v>35.581967213114758</v>
      </c>
      <c r="M2372" s="182">
        <v>8077000000</v>
      </c>
      <c r="N2372" s="182">
        <v>18540000</v>
      </c>
      <c r="O2372" s="182">
        <v>15900000</v>
      </c>
      <c r="P2372" s="182">
        <v>401.8</v>
      </c>
      <c r="Q2372" s="182">
        <v>205000000</v>
      </c>
      <c r="R2372" s="182">
        <v>2168000</v>
      </c>
      <c r="S2372" s="182">
        <v>1353000</v>
      </c>
      <c r="T2372" s="182">
        <v>64</v>
      </c>
      <c r="U2372" s="182">
        <v>23296653.355814625</v>
      </c>
      <c r="V2372" s="182">
        <v>48080000000000</v>
      </c>
    </row>
    <row r="2373" spans="1:22">
      <c r="A2373" s="174" t="s">
        <v>4326</v>
      </c>
      <c r="B2373" s="174" t="s">
        <v>4326</v>
      </c>
      <c r="C2373" s="182">
        <f t="shared" si="19"/>
        <v>415.55820000000011</v>
      </c>
      <c r="D2373" s="182">
        <v>52870.000000000007</v>
      </c>
      <c r="E2373" s="182">
        <v>1020</v>
      </c>
      <c r="F2373" s="182">
        <v>304</v>
      </c>
      <c r="G2373" s="182">
        <v>26</v>
      </c>
      <c r="H2373" s="182">
        <v>46</v>
      </c>
      <c r="I2373" s="182"/>
      <c r="J2373" s="182">
        <v>30</v>
      </c>
      <c r="K2373" s="182">
        <f t="shared" ref="K2373:K2428" si="21">F2373/2/H2373</f>
        <v>3.3043478260869565</v>
      </c>
      <c r="L2373" s="182">
        <f t="shared" si="20"/>
        <v>33.384615384615387</v>
      </c>
      <c r="M2373" s="182">
        <v>8531000000</v>
      </c>
      <c r="N2373" s="182">
        <v>19570000</v>
      </c>
      <c r="O2373" s="182">
        <v>16730000</v>
      </c>
      <c r="P2373" s="182">
        <v>401.70000000000005</v>
      </c>
      <c r="Q2373" s="182">
        <v>217100000</v>
      </c>
      <c r="R2373" s="182">
        <v>2298000</v>
      </c>
      <c r="S2373" s="182">
        <v>1428000</v>
      </c>
      <c r="T2373" s="182">
        <v>64.099999999999994</v>
      </c>
      <c r="U2373" s="182">
        <v>27038376.587893937</v>
      </c>
      <c r="V2373" s="182">
        <v>51080000000000</v>
      </c>
    </row>
    <row r="2374" spans="1:22">
      <c r="A2374" s="174" t="s">
        <v>4327</v>
      </c>
      <c r="B2374" s="174" t="s">
        <v>4327</v>
      </c>
      <c r="C2374" s="182">
        <f t="shared" ref="C2374:C2437" si="22">D2374*0.00786</f>
        <v>437.2518</v>
      </c>
      <c r="D2374" s="182">
        <v>55629.999999999993</v>
      </c>
      <c r="E2374" s="182">
        <v>1026</v>
      </c>
      <c r="F2374" s="182">
        <v>305</v>
      </c>
      <c r="G2374" s="182">
        <v>26.9</v>
      </c>
      <c r="H2374" s="182">
        <v>49</v>
      </c>
      <c r="I2374" s="182"/>
      <c r="J2374" s="182">
        <v>30</v>
      </c>
      <c r="K2374" s="182">
        <f t="shared" si="21"/>
        <v>3.1122448979591835</v>
      </c>
      <c r="L2374" s="182">
        <f t="shared" ref="L2374:L2428" si="23">(E2374-2*H2374-2*J2374)/G2374</f>
        <v>32.267657992565056</v>
      </c>
      <c r="M2374" s="182">
        <v>9092000000</v>
      </c>
      <c r="N2374" s="182">
        <v>20750000</v>
      </c>
      <c r="O2374" s="182">
        <v>17720000</v>
      </c>
      <c r="P2374" s="182">
        <v>404.3</v>
      </c>
      <c r="Q2374" s="182">
        <v>233600000</v>
      </c>
      <c r="R2374" s="182">
        <v>2463000</v>
      </c>
      <c r="S2374" s="182">
        <v>1531000</v>
      </c>
      <c r="T2374" s="182">
        <v>64.800000000000011</v>
      </c>
      <c r="U2374" s="182">
        <v>31817882.482939459</v>
      </c>
      <c r="V2374" s="182">
        <v>55290000000000</v>
      </c>
    </row>
    <row r="2375" spans="1:22">
      <c r="A2375" s="174" t="s">
        <v>4328</v>
      </c>
      <c r="B2375" s="174" t="s">
        <v>4328</v>
      </c>
      <c r="C2375" s="182">
        <f t="shared" si="22"/>
        <v>494.47260000000006</v>
      </c>
      <c r="D2375" s="182">
        <v>62910</v>
      </c>
      <c r="E2375" s="182">
        <v>1036</v>
      </c>
      <c r="F2375" s="182">
        <v>309</v>
      </c>
      <c r="G2375" s="182">
        <v>31</v>
      </c>
      <c r="H2375" s="182">
        <v>54</v>
      </c>
      <c r="I2375" s="182"/>
      <c r="J2375" s="182">
        <v>30</v>
      </c>
      <c r="K2375" s="182">
        <f t="shared" si="21"/>
        <v>2.8611111111111112</v>
      </c>
      <c r="L2375" s="182">
        <f t="shared" si="23"/>
        <v>28</v>
      </c>
      <c r="M2375" s="182">
        <v>10280000000</v>
      </c>
      <c r="N2375" s="182">
        <v>23410000</v>
      </c>
      <c r="O2375" s="182">
        <v>19840000</v>
      </c>
      <c r="P2375" s="182">
        <v>404.20000000000005</v>
      </c>
      <c r="Q2375" s="182">
        <v>268200000</v>
      </c>
      <c r="R2375" s="182">
        <v>2818000</v>
      </c>
      <c r="S2375" s="182">
        <v>1736000</v>
      </c>
      <c r="T2375" s="182">
        <v>65.3</v>
      </c>
      <c r="U2375" s="182">
        <v>43955720.979134686</v>
      </c>
      <c r="V2375" s="182">
        <v>64010000000000</v>
      </c>
    </row>
    <row r="2376" spans="1:22">
      <c r="A2376" s="174" t="s">
        <v>4329</v>
      </c>
      <c r="B2376" s="174" t="s">
        <v>4329</v>
      </c>
      <c r="C2376" s="182">
        <f t="shared" si="22"/>
        <v>584.54820000000007</v>
      </c>
      <c r="D2376" s="182">
        <v>74370</v>
      </c>
      <c r="E2376" s="182">
        <v>1056</v>
      </c>
      <c r="F2376" s="182">
        <v>314</v>
      </c>
      <c r="G2376" s="182">
        <v>36</v>
      </c>
      <c r="H2376" s="182">
        <v>64</v>
      </c>
      <c r="I2376" s="182"/>
      <c r="J2376" s="182">
        <v>30</v>
      </c>
      <c r="K2376" s="182">
        <f t="shared" si="21"/>
        <v>2.453125</v>
      </c>
      <c r="L2376" s="182">
        <f t="shared" si="23"/>
        <v>24.111111111111111</v>
      </c>
      <c r="M2376" s="182">
        <v>12460000000</v>
      </c>
      <c r="N2376" s="182">
        <v>28040000</v>
      </c>
      <c r="O2376" s="182">
        <v>23600000</v>
      </c>
      <c r="P2376" s="182">
        <v>409.3</v>
      </c>
      <c r="Q2376" s="182">
        <v>334300000</v>
      </c>
      <c r="R2376" s="182">
        <v>3475000</v>
      </c>
      <c r="S2376" s="182">
        <v>2130000</v>
      </c>
      <c r="T2376" s="182">
        <v>67</v>
      </c>
      <c r="U2376" s="182">
        <v>71538737.676956147</v>
      </c>
      <c r="V2376" s="182">
        <v>81240000000000</v>
      </c>
    </row>
    <row r="2377" spans="1:22">
      <c r="A2377" s="174" t="s">
        <v>4330</v>
      </c>
      <c r="B2377" s="174" t="s">
        <v>4330</v>
      </c>
      <c r="C2377" s="182">
        <f t="shared" si="22"/>
        <v>346.39020000000005</v>
      </c>
      <c r="D2377" s="182">
        <v>44070</v>
      </c>
      <c r="E2377" s="182">
        <v>1090</v>
      </c>
      <c r="F2377" s="182">
        <v>400</v>
      </c>
      <c r="G2377" s="182">
        <v>18</v>
      </c>
      <c r="H2377" s="182">
        <v>31</v>
      </c>
      <c r="I2377" s="182"/>
      <c r="J2377" s="182">
        <v>30</v>
      </c>
      <c r="K2377" s="182">
        <f t="shared" si="21"/>
        <v>6.4516129032258061</v>
      </c>
      <c r="L2377" s="182">
        <f t="shared" si="23"/>
        <v>53.777777777777779</v>
      </c>
      <c r="M2377" s="182">
        <v>8783600000</v>
      </c>
      <c r="N2377" s="182">
        <v>18280000</v>
      </c>
      <c r="O2377" s="182">
        <v>16110000</v>
      </c>
      <c r="P2377" s="182">
        <v>446.4</v>
      </c>
      <c r="Q2377" s="182">
        <v>331300000</v>
      </c>
      <c r="R2377" s="182">
        <v>2575000</v>
      </c>
      <c r="S2377" s="182">
        <v>1657000</v>
      </c>
      <c r="T2377" s="182">
        <v>86.7</v>
      </c>
      <c r="U2377" s="182">
        <v>11048129.88601597</v>
      </c>
      <c r="V2377" s="182">
        <v>92910000000000</v>
      </c>
    </row>
    <row r="2378" spans="1:22">
      <c r="A2378" s="174" t="s">
        <v>4331</v>
      </c>
      <c r="B2378" s="174" t="s">
        <v>4331</v>
      </c>
      <c r="C2378" s="182">
        <f t="shared" si="22"/>
        <v>394.02180000000004</v>
      </c>
      <c r="D2378" s="182">
        <v>50130</v>
      </c>
      <c r="E2378" s="182">
        <v>1100</v>
      </c>
      <c r="F2378" s="182">
        <v>400</v>
      </c>
      <c r="G2378" s="182">
        <v>20</v>
      </c>
      <c r="H2378" s="182">
        <v>36</v>
      </c>
      <c r="I2378" s="182"/>
      <c r="J2378" s="182">
        <v>30</v>
      </c>
      <c r="K2378" s="182">
        <f t="shared" si="21"/>
        <v>5.5555555555555554</v>
      </c>
      <c r="L2378" s="182">
        <f t="shared" si="23"/>
        <v>48.4</v>
      </c>
      <c r="M2378" s="182">
        <v>10163000000</v>
      </c>
      <c r="N2378" s="182">
        <v>21000000</v>
      </c>
      <c r="O2378" s="182">
        <v>18480000</v>
      </c>
      <c r="P2378" s="182">
        <v>450.20000000000005</v>
      </c>
      <c r="Q2378" s="182">
        <v>384900000</v>
      </c>
      <c r="R2378" s="182">
        <v>2995000</v>
      </c>
      <c r="S2378" s="182">
        <v>1924000</v>
      </c>
      <c r="T2378" s="182">
        <v>87.6</v>
      </c>
      <c r="U2378" s="182">
        <v>16492331.664202411</v>
      </c>
      <c r="V2378" s="182">
        <v>108900000000000</v>
      </c>
    </row>
    <row r="2379" spans="1:22">
      <c r="A2379" s="174" t="s">
        <v>4332</v>
      </c>
      <c r="B2379" s="174" t="s">
        <v>4332</v>
      </c>
      <c r="C2379" s="182">
        <f t="shared" si="22"/>
        <v>436.54440000000005</v>
      </c>
      <c r="D2379" s="182">
        <v>55540</v>
      </c>
      <c r="E2379" s="182">
        <v>1108</v>
      </c>
      <c r="F2379" s="182">
        <v>402</v>
      </c>
      <c r="G2379" s="182">
        <v>22</v>
      </c>
      <c r="H2379" s="182">
        <v>40</v>
      </c>
      <c r="I2379" s="182"/>
      <c r="J2379" s="182">
        <v>30</v>
      </c>
      <c r="K2379" s="182">
        <f t="shared" si="21"/>
        <v>5.0250000000000004</v>
      </c>
      <c r="L2379" s="182">
        <f t="shared" si="23"/>
        <v>44</v>
      </c>
      <c r="M2379" s="182">
        <v>11365000000</v>
      </c>
      <c r="N2379" s="182">
        <v>23380000</v>
      </c>
      <c r="O2379" s="182">
        <v>20510000</v>
      </c>
      <c r="P2379" s="182">
        <v>452.29999999999995</v>
      </c>
      <c r="Q2379" s="182">
        <v>434300000</v>
      </c>
      <c r="R2379" s="182">
        <v>3370000</v>
      </c>
      <c r="S2379" s="182">
        <v>2160000</v>
      </c>
      <c r="T2379" s="182">
        <v>88.5</v>
      </c>
      <c r="U2379" s="182">
        <v>22292683.383184314</v>
      </c>
      <c r="V2379" s="182">
        <v>123800000000000</v>
      </c>
    </row>
    <row r="2380" spans="1:22">
      <c r="A2380" s="174" t="s">
        <v>4333</v>
      </c>
      <c r="B2380" s="174" t="s">
        <v>4333</v>
      </c>
      <c r="C2380" s="182">
        <f t="shared" si="22"/>
        <v>502.64700000000005</v>
      </c>
      <c r="D2380" s="182">
        <v>63950</v>
      </c>
      <c r="E2380" s="182">
        <v>1118</v>
      </c>
      <c r="F2380" s="182">
        <v>405</v>
      </c>
      <c r="G2380" s="182">
        <v>26</v>
      </c>
      <c r="H2380" s="182">
        <v>45</v>
      </c>
      <c r="I2380" s="182"/>
      <c r="J2380" s="182">
        <v>30</v>
      </c>
      <c r="K2380" s="182">
        <f t="shared" si="21"/>
        <v>4.5</v>
      </c>
      <c r="L2380" s="182">
        <f t="shared" si="23"/>
        <v>37.230769230769234</v>
      </c>
      <c r="M2380" s="182">
        <v>13050000000</v>
      </c>
      <c r="N2380" s="182">
        <v>26820000</v>
      </c>
      <c r="O2380" s="182">
        <v>23340000</v>
      </c>
      <c r="P2380" s="182">
        <v>451.70000000000005</v>
      </c>
      <c r="Q2380" s="182">
        <v>500100000</v>
      </c>
      <c r="R2380" s="182">
        <v>3879000</v>
      </c>
      <c r="S2380" s="182">
        <v>2469000</v>
      </c>
      <c r="T2380" s="182">
        <v>88.4</v>
      </c>
      <c r="U2380" s="182">
        <v>32535329.484226894</v>
      </c>
      <c r="V2380" s="182">
        <v>143900000000000</v>
      </c>
    </row>
    <row r="2381" spans="1:22">
      <c r="A2381" s="174" t="s">
        <v>4334</v>
      </c>
      <c r="B2381" s="174" t="s">
        <v>4334</v>
      </c>
      <c r="C2381" s="182">
        <f t="shared" si="22"/>
        <v>552.16500000000008</v>
      </c>
      <c r="D2381" s="182">
        <v>70250</v>
      </c>
      <c r="E2381" s="182">
        <v>1128</v>
      </c>
      <c r="F2381" s="182">
        <v>407</v>
      </c>
      <c r="G2381" s="182">
        <v>28</v>
      </c>
      <c r="H2381" s="182">
        <v>50</v>
      </c>
      <c r="I2381" s="182"/>
      <c r="J2381" s="182">
        <v>30</v>
      </c>
      <c r="K2381" s="182">
        <f t="shared" si="21"/>
        <v>4.07</v>
      </c>
      <c r="L2381" s="182">
        <f t="shared" si="23"/>
        <v>34.571428571428569</v>
      </c>
      <c r="M2381" s="182">
        <v>14566000000</v>
      </c>
      <c r="N2381" s="182">
        <v>29730000</v>
      </c>
      <c r="O2381" s="182">
        <v>25820000</v>
      </c>
      <c r="P2381" s="182">
        <v>455.3</v>
      </c>
      <c r="Q2381" s="182">
        <v>564100000</v>
      </c>
      <c r="R2381" s="182">
        <v>4358000</v>
      </c>
      <c r="S2381" s="182">
        <v>2771000</v>
      </c>
      <c r="T2381" s="182">
        <v>89.600000000000009</v>
      </c>
      <c r="U2381" s="182">
        <v>43446671.99553898</v>
      </c>
      <c r="V2381" s="182">
        <v>163800000000000</v>
      </c>
    </row>
    <row r="2382" spans="1:22">
      <c r="A2382" s="174" t="s">
        <v>4335</v>
      </c>
      <c r="B2382" s="174" t="s">
        <v>4335</v>
      </c>
      <c r="C2382" s="182">
        <f t="shared" si="22"/>
        <v>611.03640000000007</v>
      </c>
      <c r="D2382" s="182">
        <v>77740</v>
      </c>
      <c r="E2382" s="182">
        <v>1138</v>
      </c>
      <c r="F2382" s="182">
        <v>410</v>
      </c>
      <c r="G2382" s="182">
        <v>31</v>
      </c>
      <c r="H2382" s="182">
        <v>55</v>
      </c>
      <c r="I2382" s="182"/>
      <c r="J2382" s="182">
        <v>30</v>
      </c>
      <c r="K2382" s="182">
        <f t="shared" si="21"/>
        <v>3.7272727272727271</v>
      </c>
      <c r="L2382" s="182">
        <f t="shared" si="23"/>
        <v>31.225806451612904</v>
      </c>
      <c r="M2382" s="182">
        <v>16241000000</v>
      </c>
      <c r="N2382" s="182">
        <v>33000000</v>
      </c>
      <c r="O2382" s="182">
        <v>28540000</v>
      </c>
      <c r="P2382" s="182">
        <v>457</v>
      </c>
      <c r="Q2382" s="182">
        <v>634700000</v>
      </c>
      <c r="R2382" s="182">
        <v>4886000</v>
      </c>
      <c r="S2382" s="182">
        <v>3096000</v>
      </c>
      <c r="T2382" s="182">
        <v>90.3</v>
      </c>
      <c r="U2382" s="182">
        <v>57891006.396520697</v>
      </c>
      <c r="V2382" s="182">
        <v>186100000000000</v>
      </c>
    </row>
    <row r="2383" spans="1:22">
      <c r="A2383" s="174" t="s">
        <v>4336</v>
      </c>
      <c r="B2383" s="174" t="s">
        <v>4336</v>
      </c>
      <c r="C2383" s="182">
        <f t="shared" si="22"/>
        <v>22.951200000000004</v>
      </c>
      <c r="D2383" s="182">
        <v>2920</v>
      </c>
      <c r="E2383" s="182">
        <v>152.4</v>
      </c>
      <c r="F2383" s="182">
        <v>152.19999999999999</v>
      </c>
      <c r="G2383" s="182">
        <v>5.8</v>
      </c>
      <c r="H2383" s="182">
        <v>6.8</v>
      </c>
      <c r="I2383" s="182"/>
      <c r="J2383" s="182">
        <v>8</v>
      </c>
      <c r="K2383" s="182">
        <f t="shared" si="21"/>
        <v>11.191176470588236</v>
      </c>
      <c r="L2383" s="182">
        <f t="shared" si="23"/>
        <v>21.172413793103452</v>
      </c>
      <c r="M2383" s="182">
        <v>12500000</v>
      </c>
      <c r="N2383" s="182">
        <v>182000</v>
      </c>
      <c r="O2383" s="182">
        <v>164000</v>
      </c>
      <c r="P2383" s="182">
        <v>65.400000000000006</v>
      </c>
      <c r="Q2383" s="182">
        <v>3999000</v>
      </c>
      <c r="R2383" s="182">
        <v>80160</v>
      </c>
      <c r="S2383" s="182">
        <v>52550</v>
      </c>
      <c r="T2383" s="182">
        <v>37</v>
      </c>
      <c r="U2383" s="182">
        <v>46937.098902959428</v>
      </c>
      <c r="V2383" s="182">
        <v>21180000000</v>
      </c>
    </row>
    <row r="2384" spans="1:22">
      <c r="A2384" s="174" t="s">
        <v>4337</v>
      </c>
      <c r="B2384" s="174" t="s">
        <v>4337</v>
      </c>
      <c r="C2384" s="182">
        <f t="shared" si="22"/>
        <v>30.1038</v>
      </c>
      <c r="D2384" s="182">
        <v>3829.9999999999995</v>
      </c>
      <c r="E2384" s="182">
        <v>157.6</v>
      </c>
      <c r="F2384" s="182">
        <v>152.9</v>
      </c>
      <c r="G2384" s="182">
        <v>6.5</v>
      </c>
      <c r="H2384" s="182">
        <v>9.4</v>
      </c>
      <c r="I2384" s="182"/>
      <c r="J2384" s="182">
        <v>8</v>
      </c>
      <c r="K2384" s="182">
        <f t="shared" si="21"/>
        <v>8.1329787234042552</v>
      </c>
      <c r="L2384" s="182">
        <f t="shared" si="23"/>
        <v>18.892307692307689</v>
      </c>
      <c r="M2384" s="182">
        <v>17480000</v>
      </c>
      <c r="N2384" s="182">
        <v>247700</v>
      </c>
      <c r="O2384" s="182">
        <v>221800</v>
      </c>
      <c r="P2384" s="182">
        <v>67.599999999999994</v>
      </c>
      <c r="Q2384" s="182">
        <v>5605000</v>
      </c>
      <c r="R2384" s="182">
        <v>111600</v>
      </c>
      <c r="S2384" s="182">
        <v>73310</v>
      </c>
      <c r="T2384" s="182">
        <v>38.299999999999997</v>
      </c>
      <c r="U2384" s="182">
        <v>106085.99498105067</v>
      </c>
      <c r="V2384" s="182">
        <v>30750000000</v>
      </c>
    </row>
    <row r="2385" spans="1:22">
      <c r="A2385" s="174" t="s">
        <v>4338</v>
      </c>
      <c r="B2385" s="174" t="s">
        <v>4338</v>
      </c>
      <c r="C2385" s="182">
        <f t="shared" si="22"/>
        <v>37.020600000000002</v>
      </c>
      <c r="D2385" s="182">
        <v>4710</v>
      </c>
      <c r="E2385" s="182">
        <v>161.80000000000001</v>
      </c>
      <c r="F2385" s="182">
        <v>154.4</v>
      </c>
      <c r="G2385" s="182">
        <v>8</v>
      </c>
      <c r="H2385" s="182">
        <v>11.5</v>
      </c>
      <c r="I2385" s="182"/>
      <c r="J2385" s="182">
        <v>8</v>
      </c>
      <c r="K2385" s="182">
        <f t="shared" si="21"/>
        <v>6.7130434782608699</v>
      </c>
      <c r="L2385" s="182">
        <f t="shared" si="23"/>
        <v>15.350000000000001</v>
      </c>
      <c r="M2385" s="182">
        <v>22100000</v>
      </c>
      <c r="N2385" s="182">
        <v>308800</v>
      </c>
      <c r="O2385" s="182">
        <v>273200</v>
      </c>
      <c r="P2385" s="182">
        <v>68.5</v>
      </c>
      <c r="Q2385" s="182">
        <v>7062000</v>
      </c>
      <c r="R2385" s="182">
        <v>139600</v>
      </c>
      <c r="S2385" s="182">
        <v>91480</v>
      </c>
      <c r="T2385" s="182">
        <v>38.700000000000003</v>
      </c>
      <c r="U2385" s="182">
        <v>193077.04496937455</v>
      </c>
      <c r="V2385" s="182">
        <v>39840000000</v>
      </c>
    </row>
    <row r="2386" spans="1:22">
      <c r="A2386" s="174" t="s">
        <v>4339</v>
      </c>
      <c r="B2386" s="174" t="s">
        <v>4339</v>
      </c>
      <c r="C2386" s="182">
        <f t="shared" si="22"/>
        <v>44.094600000000007</v>
      </c>
      <c r="D2386" s="182">
        <v>5610</v>
      </c>
      <c r="E2386" s="182">
        <v>166</v>
      </c>
      <c r="F2386" s="182">
        <v>155.9</v>
      </c>
      <c r="G2386" s="182">
        <v>9.5</v>
      </c>
      <c r="H2386" s="182">
        <v>13.6</v>
      </c>
      <c r="I2386" s="182"/>
      <c r="J2386" s="182">
        <v>8</v>
      </c>
      <c r="K2386" s="182">
        <f t="shared" si="21"/>
        <v>5.7316176470588243</v>
      </c>
      <c r="L2386" s="182">
        <f t="shared" si="23"/>
        <v>12.926315789473685</v>
      </c>
      <c r="M2386" s="182">
        <v>27060000</v>
      </c>
      <c r="N2386" s="182">
        <v>372600</v>
      </c>
      <c r="O2386" s="182">
        <v>326000</v>
      </c>
      <c r="P2386" s="182">
        <v>69.400000000000006</v>
      </c>
      <c r="Q2386" s="182">
        <v>8601000</v>
      </c>
      <c r="R2386" s="182">
        <v>168800</v>
      </c>
      <c r="S2386" s="182">
        <v>110300</v>
      </c>
      <c r="T2386" s="182">
        <v>39.1</v>
      </c>
      <c r="U2386" s="182">
        <v>324600</v>
      </c>
      <c r="V2386" s="182">
        <v>49870000000</v>
      </c>
    </row>
    <row r="2387" spans="1:22">
      <c r="A2387" s="174" t="s">
        <v>4340</v>
      </c>
      <c r="B2387" s="174" t="s">
        <v>4340</v>
      </c>
      <c r="C2387" s="182">
        <f t="shared" si="22"/>
        <v>51.247200000000007</v>
      </c>
      <c r="D2387" s="182">
        <v>6520</v>
      </c>
      <c r="E2387" s="182">
        <v>170.2</v>
      </c>
      <c r="F2387" s="182">
        <v>157.4</v>
      </c>
      <c r="G2387" s="182">
        <v>11</v>
      </c>
      <c r="H2387" s="182">
        <v>15.7</v>
      </c>
      <c r="I2387" s="182"/>
      <c r="J2387" s="182">
        <v>8</v>
      </c>
      <c r="K2387" s="182">
        <f t="shared" si="21"/>
        <v>5.0127388535031852</v>
      </c>
      <c r="L2387" s="182">
        <f t="shared" si="23"/>
        <v>11.163636363636362</v>
      </c>
      <c r="M2387" s="182">
        <v>32300000</v>
      </c>
      <c r="N2387" s="182">
        <v>438500</v>
      </c>
      <c r="O2387" s="182">
        <v>379500</v>
      </c>
      <c r="P2387" s="182">
        <v>70.400000000000006</v>
      </c>
      <c r="Q2387" s="182">
        <v>10220000</v>
      </c>
      <c r="R2387" s="182">
        <v>199100</v>
      </c>
      <c r="S2387" s="182">
        <v>129900</v>
      </c>
      <c r="T2387" s="182">
        <v>39.6</v>
      </c>
      <c r="U2387" s="182">
        <v>500300</v>
      </c>
      <c r="V2387" s="182">
        <v>60890000000</v>
      </c>
    </row>
    <row r="2388" spans="1:22">
      <c r="A2388" s="174" t="s">
        <v>4341</v>
      </c>
      <c r="B2388" s="174" t="s">
        <v>4341</v>
      </c>
      <c r="C2388" s="182">
        <f t="shared" si="22"/>
        <v>46.138200000000005</v>
      </c>
      <c r="D2388" s="182">
        <v>5870</v>
      </c>
      <c r="E2388" s="182">
        <v>203.2</v>
      </c>
      <c r="F2388" s="182">
        <v>203.6</v>
      </c>
      <c r="G2388" s="182">
        <v>7.2</v>
      </c>
      <c r="H2388" s="182">
        <v>11</v>
      </c>
      <c r="I2388" s="182"/>
      <c r="J2388" s="182">
        <v>10</v>
      </c>
      <c r="K2388" s="182">
        <f t="shared" si="21"/>
        <v>9.254545454545454</v>
      </c>
      <c r="L2388" s="182">
        <f t="shared" si="23"/>
        <v>22.388888888888886</v>
      </c>
      <c r="M2388" s="182">
        <v>45680000</v>
      </c>
      <c r="N2388" s="182">
        <v>497400</v>
      </c>
      <c r="O2388" s="182">
        <v>449600</v>
      </c>
      <c r="P2388" s="182">
        <v>88.2</v>
      </c>
      <c r="Q2388" s="182">
        <v>15480000</v>
      </c>
      <c r="R2388" s="182">
        <v>230900</v>
      </c>
      <c r="S2388" s="182">
        <v>152100</v>
      </c>
      <c r="T2388" s="182">
        <v>51.3</v>
      </c>
      <c r="U2388" s="182">
        <v>220740.34890392318</v>
      </c>
      <c r="V2388" s="182">
        <v>142900000000</v>
      </c>
    </row>
    <row r="2389" spans="1:22">
      <c r="A2389" s="174" t="s">
        <v>4342</v>
      </c>
      <c r="B2389" s="174" t="s">
        <v>4342</v>
      </c>
      <c r="C2389" s="182">
        <f t="shared" si="22"/>
        <v>52.111800000000002</v>
      </c>
      <c r="D2389" s="182">
        <v>6630</v>
      </c>
      <c r="E2389" s="182">
        <v>206.2</v>
      </c>
      <c r="F2389" s="182">
        <v>204.3</v>
      </c>
      <c r="G2389" s="182">
        <v>7.9</v>
      </c>
      <c r="H2389" s="182">
        <v>12.5</v>
      </c>
      <c r="I2389" s="182"/>
      <c r="J2389" s="182">
        <v>10</v>
      </c>
      <c r="K2389" s="182">
        <f t="shared" si="21"/>
        <v>8.1720000000000006</v>
      </c>
      <c r="L2389" s="182">
        <f t="shared" si="23"/>
        <v>20.405063291139239</v>
      </c>
      <c r="M2389" s="182">
        <v>52590000</v>
      </c>
      <c r="N2389" s="182">
        <v>567400</v>
      </c>
      <c r="O2389" s="182">
        <v>510100</v>
      </c>
      <c r="P2389" s="182">
        <v>89.1</v>
      </c>
      <c r="Q2389" s="182">
        <v>17780000</v>
      </c>
      <c r="R2389" s="182">
        <v>264200</v>
      </c>
      <c r="S2389" s="182">
        <v>174000</v>
      </c>
      <c r="T2389" s="182">
        <v>51.8</v>
      </c>
      <c r="U2389" s="182">
        <v>316616.92318935698</v>
      </c>
      <c r="V2389" s="182">
        <v>166600000000</v>
      </c>
    </row>
    <row r="2390" spans="1:22">
      <c r="A2390" s="174" t="s">
        <v>4343</v>
      </c>
      <c r="B2390" s="174" t="s">
        <v>4343</v>
      </c>
      <c r="C2390" s="182">
        <f t="shared" si="22"/>
        <v>60.05040000000001</v>
      </c>
      <c r="D2390" s="182">
        <v>7640.0000000000009</v>
      </c>
      <c r="E2390" s="182">
        <v>209.6</v>
      </c>
      <c r="F2390" s="182">
        <v>205.8</v>
      </c>
      <c r="G2390" s="182">
        <v>9.4</v>
      </c>
      <c r="H2390" s="182">
        <v>14.2</v>
      </c>
      <c r="I2390" s="182"/>
      <c r="J2390" s="182">
        <v>10</v>
      </c>
      <c r="K2390" s="182">
        <f t="shared" si="21"/>
        <v>7.246478873239437</v>
      </c>
      <c r="L2390" s="182">
        <f t="shared" si="23"/>
        <v>17.148936170212764</v>
      </c>
      <c r="M2390" s="182">
        <v>61250000</v>
      </c>
      <c r="N2390" s="182">
        <v>656100</v>
      </c>
      <c r="O2390" s="182">
        <v>584400</v>
      </c>
      <c r="P2390" s="182">
        <v>89.600000000000009</v>
      </c>
      <c r="Q2390" s="182">
        <v>20650000</v>
      </c>
      <c r="R2390" s="182">
        <v>305300</v>
      </c>
      <c r="S2390" s="182">
        <v>200600</v>
      </c>
      <c r="T2390" s="182">
        <v>52</v>
      </c>
      <c r="U2390" s="182">
        <v>471034.54851172859</v>
      </c>
      <c r="V2390" s="182">
        <v>196900000000</v>
      </c>
    </row>
    <row r="2391" spans="1:22">
      <c r="A2391" s="174" t="s">
        <v>4344</v>
      </c>
      <c r="B2391" s="174" t="s">
        <v>4344</v>
      </c>
      <c r="C2391" s="182">
        <f t="shared" si="22"/>
        <v>71.054400000000001</v>
      </c>
      <c r="D2391" s="182">
        <v>9040</v>
      </c>
      <c r="E2391" s="182">
        <v>215.8</v>
      </c>
      <c r="F2391" s="182">
        <v>206.4</v>
      </c>
      <c r="G2391" s="182">
        <v>10</v>
      </c>
      <c r="H2391" s="182">
        <v>17.3</v>
      </c>
      <c r="I2391" s="182"/>
      <c r="J2391" s="182">
        <v>10</v>
      </c>
      <c r="K2391" s="182">
        <f t="shared" si="21"/>
        <v>5.9653179190751446</v>
      </c>
      <c r="L2391" s="182">
        <f t="shared" si="23"/>
        <v>16.12</v>
      </c>
      <c r="M2391" s="182">
        <v>76180000</v>
      </c>
      <c r="N2391" s="182">
        <v>798800</v>
      </c>
      <c r="O2391" s="182">
        <v>706000</v>
      </c>
      <c r="P2391" s="182">
        <v>91.8</v>
      </c>
      <c r="Q2391" s="182">
        <v>25370000</v>
      </c>
      <c r="R2391" s="182">
        <v>373700</v>
      </c>
      <c r="S2391" s="182">
        <v>245900</v>
      </c>
      <c r="T2391" s="182">
        <v>53</v>
      </c>
      <c r="U2391" s="182">
        <v>800785.67014737439</v>
      </c>
      <c r="V2391" s="182">
        <v>249700000000</v>
      </c>
    </row>
    <row r="2392" spans="1:22">
      <c r="A2392" s="174" t="s">
        <v>4345</v>
      </c>
      <c r="B2392" s="174" t="s">
        <v>4345</v>
      </c>
      <c r="C2392" s="182">
        <f t="shared" si="22"/>
        <v>86.145600000000002</v>
      </c>
      <c r="D2392" s="182">
        <v>10960</v>
      </c>
      <c r="E2392" s="182">
        <v>222.2</v>
      </c>
      <c r="F2392" s="182">
        <v>209.1</v>
      </c>
      <c r="G2392" s="182">
        <v>12.7</v>
      </c>
      <c r="H2392" s="182">
        <v>20.5</v>
      </c>
      <c r="I2392" s="182"/>
      <c r="J2392" s="182">
        <v>10</v>
      </c>
      <c r="K2392" s="182">
        <f t="shared" si="21"/>
        <v>5.0999999999999996</v>
      </c>
      <c r="L2392" s="182">
        <f t="shared" si="23"/>
        <v>12.692913385826772</v>
      </c>
      <c r="M2392" s="182">
        <v>94490000</v>
      </c>
      <c r="N2392" s="182">
        <v>976700</v>
      </c>
      <c r="O2392" s="182">
        <v>850500</v>
      </c>
      <c r="P2392" s="182">
        <v>92.8</v>
      </c>
      <c r="Q2392" s="182">
        <v>31270000</v>
      </c>
      <c r="R2392" s="182">
        <v>456200</v>
      </c>
      <c r="S2392" s="182">
        <v>299100</v>
      </c>
      <c r="T2392" s="182">
        <v>53.4</v>
      </c>
      <c r="U2392" s="182">
        <v>1365573.3027704721</v>
      </c>
      <c r="V2392" s="182">
        <v>317700000000</v>
      </c>
    </row>
    <row r="2393" spans="1:22">
      <c r="A2393" s="174" t="s">
        <v>4346</v>
      </c>
      <c r="B2393" s="174" t="s">
        <v>4346</v>
      </c>
      <c r="C2393" s="182">
        <f t="shared" si="22"/>
        <v>99.586200000000005</v>
      </c>
      <c r="D2393" s="182">
        <v>12670</v>
      </c>
      <c r="E2393" s="182">
        <v>229</v>
      </c>
      <c r="F2393" s="182">
        <v>210</v>
      </c>
      <c r="G2393" s="182">
        <v>14.5</v>
      </c>
      <c r="H2393" s="182">
        <v>23.7</v>
      </c>
      <c r="I2393" s="182"/>
      <c r="J2393" s="182">
        <v>10</v>
      </c>
      <c r="K2393" s="182">
        <f t="shared" si="21"/>
        <v>4.4303797468354436</v>
      </c>
      <c r="L2393" s="182">
        <f t="shared" si="23"/>
        <v>11.144827586206896</v>
      </c>
      <c r="M2393" s="182">
        <v>113300000</v>
      </c>
      <c r="N2393" s="182">
        <v>1149000</v>
      </c>
      <c r="O2393" s="182">
        <v>989100</v>
      </c>
      <c r="P2393" s="182">
        <v>94.5</v>
      </c>
      <c r="Q2393" s="182">
        <v>36630000</v>
      </c>
      <c r="R2393" s="182">
        <v>532900</v>
      </c>
      <c r="S2393" s="182">
        <v>348900</v>
      </c>
      <c r="T2393" s="182">
        <v>53.8</v>
      </c>
      <c r="U2393" s="182">
        <v>2089956.126024679</v>
      </c>
      <c r="V2393" s="182">
        <v>385500000000</v>
      </c>
    </row>
    <row r="2394" spans="1:22">
      <c r="A2394" s="174" t="s">
        <v>4347</v>
      </c>
      <c r="B2394" s="174" t="s">
        <v>4347</v>
      </c>
      <c r="C2394" s="182">
        <f t="shared" si="22"/>
        <v>73.176600000000008</v>
      </c>
      <c r="D2394" s="182">
        <v>9310</v>
      </c>
      <c r="E2394" s="182">
        <v>254.1</v>
      </c>
      <c r="F2394" s="182">
        <v>254.6</v>
      </c>
      <c r="G2394" s="182">
        <v>8.6</v>
      </c>
      <c r="H2394" s="182">
        <v>14.2</v>
      </c>
      <c r="I2394" s="182"/>
      <c r="J2394" s="182">
        <v>13</v>
      </c>
      <c r="K2394" s="182">
        <f t="shared" si="21"/>
        <v>8.964788732394366</v>
      </c>
      <c r="L2394" s="182">
        <f t="shared" si="23"/>
        <v>23.220930232558139</v>
      </c>
      <c r="M2394" s="182">
        <v>114100000</v>
      </c>
      <c r="N2394" s="182">
        <v>992100</v>
      </c>
      <c r="O2394" s="182">
        <v>897900</v>
      </c>
      <c r="P2394" s="182">
        <v>110.7</v>
      </c>
      <c r="Q2394" s="182">
        <v>39080000</v>
      </c>
      <c r="R2394" s="182">
        <v>465400</v>
      </c>
      <c r="S2394" s="182">
        <v>307000</v>
      </c>
      <c r="T2394" s="182">
        <v>64.800000000000011</v>
      </c>
      <c r="U2394" s="182">
        <v>578660.55259587092</v>
      </c>
      <c r="V2394" s="182">
        <v>562000000000</v>
      </c>
    </row>
    <row r="2395" spans="1:22">
      <c r="A2395" s="174" t="s">
        <v>4348</v>
      </c>
      <c r="B2395" s="174" t="s">
        <v>4348</v>
      </c>
      <c r="C2395" s="182">
        <f t="shared" si="22"/>
        <v>89.05380000000001</v>
      </c>
      <c r="D2395" s="182">
        <v>11330</v>
      </c>
      <c r="E2395" s="182">
        <v>260.3</v>
      </c>
      <c r="F2395" s="182">
        <v>256.3</v>
      </c>
      <c r="G2395" s="182">
        <v>10.3</v>
      </c>
      <c r="H2395" s="182">
        <v>17.3</v>
      </c>
      <c r="I2395" s="182"/>
      <c r="J2395" s="182">
        <v>13</v>
      </c>
      <c r="K2395" s="182">
        <f t="shared" si="21"/>
        <v>7.4075144508670521</v>
      </c>
      <c r="L2395" s="182">
        <f t="shared" si="23"/>
        <v>19.388349514563107</v>
      </c>
      <c r="M2395" s="182">
        <v>142700000</v>
      </c>
      <c r="N2395" s="182">
        <v>1224000</v>
      </c>
      <c r="O2395" s="182">
        <v>1096000</v>
      </c>
      <c r="P2395" s="182">
        <v>112.2</v>
      </c>
      <c r="Q2395" s="182">
        <v>48570000</v>
      </c>
      <c r="R2395" s="182">
        <v>575300</v>
      </c>
      <c r="S2395" s="182">
        <v>379000</v>
      </c>
      <c r="T2395" s="182">
        <v>65.5</v>
      </c>
      <c r="U2395" s="182">
        <v>1026777.4742737745</v>
      </c>
      <c r="V2395" s="182">
        <v>716600000000</v>
      </c>
    </row>
    <row r="2396" spans="1:22">
      <c r="A2396" s="174" t="s">
        <v>4349</v>
      </c>
      <c r="B2396" s="174" t="s">
        <v>4349</v>
      </c>
      <c r="C2396" s="182">
        <f t="shared" si="22"/>
        <v>107.21040000000001</v>
      </c>
      <c r="D2396" s="182">
        <v>13640</v>
      </c>
      <c r="E2396" s="182">
        <v>266.7</v>
      </c>
      <c r="F2396" s="182">
        <v>258.8</v>
      </c>
      <c r="G2396" s="182">
        <v>12.8</v>
      </c>
      <c r="H2396" s="182">
        <v>20.5</v>
      </c>
      <c r="I2396" s="182"/>
      <c r="J2396" s="182">
        <v>13</v>
      </c>
      <c r="K2396" s="182">
        <f t="shared" si="21"/>
        <v>6.3121951219512198</v>
      </c>
      <c r="L2396" s="182">
        <f t="shared" si="23"/>
        <v>15.601562499999998</v>
      </c>
      <c r="M2396" s="182">
        <v>175100000</v>
      </c>
      <c r="N2396" s="182">
        <v>1484000</v>
      </c>
      <c r="O2396" s="182">
        <v>1313000</v>
      </c>
      <c r="P2396" s="182">
        <v>113.3</v>
      </c>
      <c r="Q2396" s="182">
        <v>59280000</v>
      </c>
      <c r="R2396" s="182">
        <v>697000</v>
      </c>
      <c r="S2396" s="182">
        <v>458100</v>
      </c>
      <c r="T2396" s="182">
        <v>65.900000000000006</v>
      </c>
      <c r="U2396" s="182">
        <v>1729129.2906637408</v>
      </c>
      <c r="V2396" s="182">
        <v>897500000000</v>
      </c>
    </row>
    <row r="2397" spans="1:22">
      <c r="A2397" s="174" t="s">
        <v>4350</v>
      </c>
      <c r="B2397" s="174" t="s">
        <v>4350</v>
      </c>
      <c r="C2397" s="182">
        <f t="shared" si="22"/>
        <v>132.12660000000002</v>
      </c>
      <c r="D2397" s="182">
        <v>16810</v>
      </c>
      <c r="E2397" s="182">
        <v>276.3</v>
      </c>
      <c r="F2397" s="182">
        <v>261.3</v>
      </c>
      <c r="G2397" s="182">
        <v>15.3</v>
      </c>
      <c r="H2397" s="182">
        <v>25.3</v>
      </c>
      <c r="I2397" s="182"/>
      <c r="J2397" s="182">
        <v>13</v>
      </c>
      <c r="K2397" s="182">
        <f t="shared" si="21"/>
        <v>5.1640316205533594</v>
      </c>
      <c r="L2397" s="182">
        <f t="shared" si="23"/>
        <v>13.052287581699346</v>
      </c>
      <c r="M2397" s="182">
        <v>225300000</v>
      </c>
      <c r="N2397" s="182">
        <v>1869000</v>
      </c>
      <c r="O2397" s="182">
        <v>1631000</v>
      </c>
      <c r="P2397" s="182">
        <v>115.8</v>
      </c>
      <c r="Q2397" s="182">
        <v>75310000</v>
      </c>
      <c r="R2397" s="182">
        <v>878400</v>
      </c>
      <c r="S2397" s="182">
        <v>576400</v>
      </c>
      <c r="T2397" s="182">
        <v>66.900000000000006</v>
      </c>
      <c r="U2397" s="182">
        <v>3192890.3741003685</v>
      </c>
      <c r="V2397" s="182">
        <v>1185000000000</v>
      </c>
    </row>
    <row r="2398" spans="1:22">
      <c r="A2398" s="174" t="s">
        <v>4351</v>
      </c>
      <c r="B2398" s="174" t="s">
        <v>4351</v>
      </c>
      <c r="C2398" s="182">
        <f t="shared" si="22"/>
        <v>167.33940000000001</v>
      </c>
      <c r="D2398" s="182">
        <v>21290</v>
      </c>
      <c r="E2398" s="182">
        <v>289.10000000000002</v>
      </c>
      <c r="F2398" s="182">
        <v>265.2</v>
      </c>
      <c r="G2398" s="182">
        <v>19.2</v>
      </c>
      <c r="H2398" s="182">
        <v>31.7</v>
      </c>
      <c r="I2398" s="182"/>
      <c r="J2398" s="182">
        <v>13</v>
      </c>
      <c r="K2398" s="182">
        <f t="shared" si="21"/>
        <v>4.1829652996845423</v>
      </c>
      <c r="L2398" s="182">
        <f t="shared" si="23"/>
        <v>10.401041666666668</v>
      </c>
      <c r="M2398" s="182">
        <v>300000000</v>
      </c>
      <c r="N2398" s="182">
        <v>2424000</v>
      </c>
      <c r="O2398" s="182">
        <v>2075000</v>
      </c>
      <c r="P2398" s="182">
        <v>118.69999999999999</v>
      </c>
      <c r="Q2398" s="182">
        <v>98700000</v>
      </c>
      <c r="R2398" s="182">
        <v>1137000</v>
      </c>
      <c r="S2398" s="182">
        <v>744300</v>
      </c>
      <c r="T2398" s="182">
        <v>68.099999999999994</v>
      </c>
      <c r="U2398" s="182">
        <v>6275664.6870822385</v>
      </c>
      <c r="V2398" s="182">
        <v>1632000000000</v>
      </c>
    </row>
    <row r="2399" spans="1:22">
      <c r="A2399" s="174" t="s">
        <v>4352</v>
      </c>
      <c r="B2399" s="174" t="s">
        <v>4352</v>
      </c>
      <c r="C2399" s="182">
        <f t="shared" si="22"/>
        <v>96.992400000000004</v>
      </c>
      <c r="D2399" s="182">
        <v>12340</v>
      </c>
      <c r="E2399" s="182">
        <v>307.89999999999998</v>
      </c>
      <c r="F2399" s="182">
        <v>305.3</v>
      </c>
      <c r="G2399" s="182">
        <v>9.9</v>
      </c>
      <c r="H2399" s="182">
        <v>15.4</v>
      </c>
      <c r="I2399" s="182"/>
      <c r="J2399" s="182">
        <v>15</v>
      </c>
      <c r="K2399" s="182">
        <f t="shared" si="21"/>
        <v>9.9123376623376629</v>
      </c>
      <c r="L2399" s="182">
        <f t="shared" si="23"/>
        <v>24.959595959595955</v>
      </c>
      <c r="M2399" s="182">
        <v>222500000</v>
      </c>
      <c r="N2399" s="182">
        <v>1592000</v>
      </c>
      <c r="O2399" s="182">
        <v>1445000</v>
      </c>
      <c r="P2399" s="182">
        <v>134.19999999999999</v>
      </c>
      <c r="Q2399" s="182">
        <v>73080000</v>
      </c>
      <c r="R2399" s="182">
        <v>726100</v>
      </c>
      <c r="S2399" s="182">
        <v>478700</v>
      </c>
      <c r="T2399" s="182">
        <v>76.900000000000006</v>
      </c>
      <c r="U2399" s="182">
        <v>910005.91442865133</v>
      </c>
      <c r="V2399" s="182">
        <v>1562000000000</v>
      </c>
    </row>
    <row r="2400" spans="1:22">
      <c r="A2400" s="174" t="s">
        <v>4353</v>
      </c>
      <c r="B2400" s="174" t="s">
        <v>4353</v>
      </c>
      <c r="C2400" s="182">
        <f t="shared" si="22"/>
        <v>118.05719999999999</v>
      </c>
      <c r="D2400" s="182">
        <v>15019.999999999998</v>
      </c>
      <c r="E2400" s="182">
        <v>314.5</v>
      </c>
      <c r="F2400" s="182">
        <v>307.39999999999998</v>
      </c>
      <c r="G2400" s="182">
        <v>12</v>
      </c>
      <c r="H2400" s="182">
        <v>18.7</v>
      </c>
      <c r="I2400" s="182"/>
      <c r="J2400" s="182">
        <v>15</v>
      </c>
      <c r="K2400" s="182">
        <f t="shared" si="21"/>
        <v>8.2192513368983953</v>
      </c>
      <c r="L2400" s="182">
        <f t="shared" si="23"/>
        <v>20.591666666666669</v>
      </c>
      <c r="M2400" s="182">
        <v>276700000</v>
      </c>
      <c r="N2400" s="182">
        <v>1958000</v>
      </c>
      <c r="O2400" s="182">
        <v>1760000</v>
      </c>
      <c r="P2400" s="182">
        <v>135.69999999999999</v>
      </c>
      <c r="Q2400" s="182">
        <v>90590000</v>
      </c>
      <c r="R2400" s="182">
        <v>895400</v>
      </c>
      <c r="S2400" s="182">
        <v>589400</v>
      </c>
      <c r="T2400" s="182">
        <v>77.699999999999989</v>
      </c>
      <c r="U2400" s="182">
        <v>1607093.8111422604</v>
      </c>
      <c r="V2400" s="182">
        <v>1980000000000</v>
      </c>
    </row>
    <row r="2401" spans="1:22">
      <c r="A2401" s="174" t="s">
        <v>4354</v>
      </c>
      <c r="B2401" s="174" t="s">
        <v>4354</v>
      </c>
      <c r="C2401" s="182">
        <f t="shared" si="22"/>
        <v>137.07840000000002</v>
      </c>
      <c r="D2401" s="182">
        <v>17440</v>
      </c>
      <c r="E2401" s="182">
        <v>320.5</v>
      </c>
      <c r="F2401" s="182">
        <v>309.2</v>
      </c>
      <c r="G2401" s="182">
        <v>13.8</v>
      </c>
      <c r="H2401" s="182">
        <v>21.7</v>
      </c>
      <c r="I2401" s="182"/>
      <c r="J2401" s="182">
        <v>15</v>
      </c>
      <c r="K2401" s="182">
        <f t="shared" si="21"/>
        <v>7.1244239631336406</v>
      </c>
      <c r="L2401" s="182">
        <f t="shared" si="23"/>
        <v>17.905797101449277</v>
      </c>
      <c r="M2401" s="182">
        <v>328100000</v>
      </c>
      <c r="N2401" s="182">
        <v>2297000</v>
      </c>
      <c r="O2401" s="182">
        <v>2048000</v>
      </c>
      <c r="P2401" s="182">
        <v>137.20000000000002</v>
      </c>
      <c r="Q2401" s="182">
        <v>107000000</v>
      </c>
      <c r="R2401" s="182">
        <v>1053000</v>
      </c>
      <c r="S2401" s="182">
        <v>692100</v>
      </c>
      <c r="T2401" s="182">
        <v>78.3</v>
      </c>
      <c r="U2401" s="182">
        <v>2485183.6904716403</v>
      </c>
      <c r="V2401" s="182">
        <v>2386000000000</v>
      </c>
    </row>
    <row r="2402" spans="1:22">
      <c r="A2402" s="174" t="s">
        <v>4355</v>
      </c>
      <c r="B2402" s="174" t="s">
        <v>4355</v>
      </c>
      <c r="C2402" s="182">
        <f t="shared" si="22"/>
        <v>158.30040000000002</v>
      </c>
      <c r="D2402" s="182">
        <v>20140</v>
      </c>
      <c r="E2402" s="182">
        <v>327.10000000000002</v>
      </c>
      <c r="F2402" s="182">
        <v>311.2</v>
      </c>
      <c r="G2402" s="182">
        <v>15.8</v>
      </c>
      <c r="H2402" s="182">
        <v>25</v>
      </c>
      <c r="I2402" s="182"/>
      <c r="J2402" s="182">
        <v>15</v>
      </c>
      <c r="K2402" s="182">
        <f t="shared" si="21"/>
        <v>6.2240000000000002</v>
      </c>
      <c r="L2402" s="182">
        <f t="shared" si="23"/>
        <v>15.639240506329115</v>
      </c>
      <c r="M2402" s="182">
        <v>387500000</v>
      </c>
      <c r="N2402" s="182">
        <v>2680000</v>
      </c>
      <c r="O2402" s="182">
        <v>2369000</v>
      </c>
      <c r="P2402" s="182">
        <v>138.69999999999999</v>
      </c>
      <c r="Q2402" s="182">
        <v>125700000</v>
      </c>
      <c r="R2402" s="182">
        <v>1230000</v>
      </c>
      <c r="S2402" s="182">
        <v>807800</v>
      </c>
      <c r="T2402" s="182">
        <v>79</v>
      </c>
      <c r="U2402" s="182">
        <v>3774297.6194988834</v>
      </c>
      <c r="V2402" s="182">
        <v>2865000000000</v>
      </c>
    </row>
    <row r="2403" spans="1:22">
      <c r="A2403" s="174" t="s">
        <v>4356</v>
      </c>
      <c r="B2403" s="174" t="s">
        <v>4356</v>
      </c>
      <c r="C2403" s="182">
        <f t="shared" si="22"/>
        <v>198.38640000000001</v>
      </c>
      <c r="D2403" s="182">
        <v>25240</v>
      </c>
      <c r="E2403" s="182">
        <v>339.9</v>
      </c>
      <c r="F2403" s="182">
        <v>314.5</v>
      </c>
      <c r="G2403" s="182">
        <v>19.100000000000001</v>
      </c>
      <c r="H2403" s="182">
        <v>31.4</v>
      </c>
      <c r="I2403" s="182"/>
      <c r="J2403" s="182">
        <v>15</v>
      </c>
      <c r="K2403" s="182">
        <f t="shared" si="21"/>
        <v>5.0079617834394909</v>
      </c>
      <c r="L2403" s="182">
        <f t="shared" si="23"/>
        <v>12.937172774869108</v>
      </c>
      <c r="M2403" s="182">
        <v>509000000</v>
      </c>
      <c r="N2403" s="182">
        <v>3440000</v>
      </c>
      <c r="O2403" s="182">
        <v>2995000</v>
      </c>
      <c r="P2403" s="182">
        <v>142</v>
      </c>
      <c r="Q2403" s="182">
        <v>163000000</v>
      </c>
      <c r="R2403" s="182">
        <v>1581000</v>
      </c>
      <c r="S2403" s="182">
        <v>1037000</v>
      </c>
      <c r="T2403" s="182">
        <v>80.399999999999991</v>
      </c>
      <c r="U2403" s="182">
        <v>7331465.028373464</v>
      </c>
      <c r="V2403" s="182">
        <v>3873000000000</v>
      </c>
    </row>
    <row r="2404" spans="1:22">
      <c r="A2404" s="174" t="s">
        <v>4357</v>
      </c>
      <c r="B2404" s="174" t="s">
        <v>4357</v>
      </c>
      <c r="C2404" s="182">
        <f t="shared" si="22"/>
        <v>240.35880000000003</v>
      </c>
      <c r="D2404" s="182">
        <v>30580</v>
      </c>
      <c r="E2404" s="182">
        <v>352.5</v>
      </c>
      <c r="F2404" s="182">
        <v>318.39999999999998</v>
      </c>
      <c r="G2404" s="182">
        <v>23</v>
      </c>
      <c r="H2404" s="182">
        <v>37.700000000000003</v>
      </c>
      <c r="I2404" s="182"/>
      <c r="J2404" s="182">
        <v>15</v>
      </c>
      <c r="K2404" s="182">
        <f t="shared" si="21"/>
        <v>4.2228116710875323</v>
      </c>
      <c r="L2404" s="182">
        <f t="shared" si="23"/>
        <v>10.743478260869566</v>
      </c>
      <c r="M2404" s="182">
        <v>642000000</v>
      </c>
      <c r="N2404" s="182">
        <v>4247000</v>
      </c>
      <c r="O2404" s="182">
        <v>3643000</v>
      </c>
      <c r="P2404" s="182">
        <v>144.9</v>
      </c>
      <c r="Q2404" s="182">
        <v>203100000</v>
      </c>
      <c r="R2404" s="182">
        <v>1951000</v>
      </c>
      <c r="S2404" s="182">
        <v>1276000</v>
      </c>
      <c r="T2404" s="182">
        <v>81.5</v>
      </c>
      <c r="U2404" s="182">
        <v>12700192.675536072</v>
      </c>
      <c r="V2404" s="182">
        <v>5025000000000</v>
      </c>
    </row>
    <row r="2405" spans="1:22">
      <c r="A2405" s="174" t="s">
        <v>4358</v>
      </c>
      <c r="B2405" s="174" t="s">
        <v>4358</v>
      </c>
      <c r="C2405" s="182">
        <f t="shared" si="22"/>
        <v>283.27440000000001</v>
      </c>
      <c r="D2405" s="182">
        <v>36040</v>
      </c>
      <c r="E2405" s="182">
        <v>365.3</v>
      </c>
      <c r="F2405" s="182">
        <v>322.2</v>
      </c>
      <c r="G2405" s="182">
        <v>26.8</v>
      </c>
      <c r="H2405" s="182">
        <v>44.1</v>
      </c>
      <c r="I2405" s="182"/>
      <c r="J2405" s="182">
        <v>15</v>
      </c>
      <c r="K2405" s="182">
        <f t="shared" si="21"/>
        <v>3.6530612244897958</v>
      </c>
      <c r="L2405" s="182">
        <f t="shared" si="23"/>
        <v>9.2201492537313445</v>
      </c>
      <c r="M2405" s="182">
        <v>788700000</v>
      </c>
      <c r="N2405" s="182">
        <v>5105000</v>
      </c>
      <c r="O2405" s="182">
        <v>4318000</v>
      </c>
      <c r="P2405" s="182">
        <v>147.89999999999998</v>
      </c>
      <c r="Q2405" s="182">
        <v>246300000</v>
      </c>
      <c r="R2405" s="182">
        <v>2342000</v>
      </c>
      <c r="S2405" s="182">
        <v>1529000</v>
      </c>
      <c r="T2405" s="182">
        <v>82.699999999999989</v>
      </c>
      <c r="U2405" s="182">
        <v>20318896.047200702</v>
      </c>
      <c r="V2405" s="182">
        <v>6341000000000</v>
      </c>
    </row>
    <row r="2406" spans="1:22">
      <c r="A2406" s="174" t="s">
        <v>4359</v>
      </c>
      <c r="B2406" s="174" t="s">
        <v>4359</v>
      </c>
      <c r="C2406" s="182">
        <f t="shared" si="22"/>
        <v>313.69260000000003</v>
      </c>
      <c r="D2406" s="182">
        <v>39910</v>
      </c>
      <c r="E2406" s="182">
        <v>374</v>
      </c>
      <c r="F2406" s="182">
        <v>325</v>
      </c>
      <c r="G2406" s="182">
        <v>30</v>
      </c>
      <c r="H2406" s="182">
        <v>48.3</v>
      </c>
      <c r="I2406" s="182"/>
      <c r="J2406" s="182">
        <v>15</v>
      </c>
      <c r="K2406" s="182">
        <f t="shared" si="21"/>
        <v>3.3643892339544514</v>
      </c>
      <c r="L2406" s="182">
        <f t="shared" si="23"/>
        <v>8.2466666666666661</v>
      </c>
      <c r="M2406" s="182">
        <v>895600000</v>
      </c>
      <c r="N2406" s="182">
        <v>5716000</v>
      </c>
      <c r="O2406" s="182">
        <v>4789000</v>
      </c>
      <c r="P2406" s="182">
        <v>149.80000000000001</v>
      </c>
      <c r="Q2406" s="182">
        <v>277000000</v>
      </c>
      <c r="R2406" s="182">
        <v>2617000</v>
      </c>
      <c r="S2406" s="182">
        <v>1705000</v>
      </c>
      <c r="T2406" s="182">
        <v>83.3</v>
      </c>
      <c r="U2406" s="182">
        <v>26984782.446472473</v>
      </c>
      <c r="V2406" s="182">
        <v>7329000000000</v>
      </c>
    </row>
    <row r="2407" spans="1:22">
      <c r="A2407" s="174" t="s">
        <v>4360</v>
      </c>
      <c r="B2407" s="174" t="s">
        <v>4360</v>
      </c>
      <c r="C2407" s="182">
        <f t="shared" si="22"/>
        <v>343.63920000000002</v>
      </c>
      <c r="D2407" s="182">
        <v>43720</v>
      </c>
      <c r="E2407" s="182">
        <v>382</v>
      </c>
      <c r="F2407" s="182">
        <v>328</v>
      </c>
      <c r="G2407" s="182">
        <v>32.6</v>
      </c>
      <c r="H2407" s="182">
        <v>52.6</v>
      </c>
      <c r="I2407" s="182"/>
      <c r="J2407" s="182">
        <v>15</v>
      </c>
      <c r="K2407" s="182">
        <f t="shared" si="21"/>
        <v>3.1178707224334601</v>
      </c>
      <c r="L2407" s="182">
        <f t="shared" si="23"/>
        <v>7.5705521472392636</v>
      </c>
      <c r="M2407" s="182">
        <v>1005000000</v>
      </c>
      <c r="N2407" s="182">
        <v>6334000</v>
      </c>
      <c r="O2407" s="182">
        <v>5262000</v>
      </c>
      <c r="P2407" s="182">
        <v>151.6</v>
      </c>
      <c r="Q2407" s="182">
        <v>310200000</v>
      </c>
      <c r="R2407" s="182">
        <v>2907000</v>
      </c>
      <c r="S2407" s="182">
        <v>1892000</v>
      </c>
      <c r="T2407" s="182">
        <v>84.2</v>
      </c>
      <c r="U2407" s="182">
        <v>34915792.951307952</v>
      </c>
      <c r="V2407" s="182">
        <v>8392000000000</v>
      </c>
    </row>
    <row r="2408" spans="1:22">
      <c r="A2408" s="174" t="s">
        <v>4361</v>
      </c>
      <c r="B2408" s="174" t="s">
        <v>4361</v>
      </c>
      <c r="C2408" s="182">
        <f t="shared" si="22"/>
        <v>129.13980000000001</v>
      </c>
      <c r="D2408" s="182">
        <v>16430</v>
      </c>
      <c r="E2408" s="182">
        <v>355.6</v>
      </c>
      <c r="F2408" s="182">
        <v>368.6</v>
      </c>
      <c r="G2408" s="182">
        <v>10.4</v>
      </c>
      <c r="H2408" s="182">
        <v>17.5</v>
      </c>
      <c r="I2408" s="182"/>
      <c r="J2408" s="182">
        <v>15</v>
      </c>
      <c r="K2408" s="182">
        <f t="shared" si="21"/>
        <v>10.531428571428572</v>
      </c>
      <c r="L2408" s="182">
        <f t="shared" si="23"/>
        <v>27.942307692307693</v>
      </c>
      <c r="M2408" s="182">
        <v>402500000</v>
      </c>
      <c r="N2408" s="182">
        <v>2479000</v>
      </c>
      <c r="O2408" s="182">
        <v>2264000</v>
      </c>
      <c r="P2408" s="182">
        <v>156.5</v>
      </c>
      <c r="Q2408" s="182">
        <v>146100000</v>
      </c>
      <c r="R2408" s="182">
        <v>1199000</v>
      </c>
      <c r="S2408" s="182">
        <v>792800</v>
      </c>
      <c r="T2408" s="182">
        <v>94.3</v>
      </c>
      <c r="U2408" s="182">
        <v>1523325.7327481026</v>
      </c>
      <c r="V2408" s="182">
        <v>4174000000000</v>
      </c>
    </row>
    <row r="2409" spans="1:22">
      <c r="A2409" s="174" t="s">
        <v>4362</v>
      </c>
      <c r="B2409" s="174" t="s">
        <v>4362</v>
      </c>
      <c r="C2409" s="182">
        <f t="shared" si="22"/>
        <v>153.11280000000002</v>
      </c>
      <c r="D2409" s="182">
        <v>19480</v>
      </c>
      <c r="E2409" s="182">
        <v>362</v>
      </c>
      <c r="F2409" s="182">
        <v>370.5</v>
      </c>
      <c r="G2409" s="182">
        <v>12.3</v>
      </c>
      <c r="H2409" s="182">
        <v>20.7</v>
      </c>
      <c r="I2409" s="182"/>
      <c r="J2409" s="182">
        <v>15</v>
      </c>
      <c r="K2409" s="182">
        <f t="shared" si="21"/>
        <v>8.9492753623188417</v>
      </c>
      <c r="L2409" s="182">
        <f t="shared" si="23"/>
        <v>23.626016260162601</v>
      </c>
      <c r="M2409" s="182">
        <v>485900000</v>
      </c>
      <c r="N2409" s="182">
        <v>2965000</v>
      </c>
      <c r="O2409" s="182">
        <v>2684000</v>
      </c>
      <c r="P2409" s="182">
        <v>157.89999999999998</v>
      </c>
      <c r="Q2409" s="182">
        <v>175500000</v>
      </c>
      <c r="R2409" s="182">
        <v>1435000</v>
      </c>
      <c r="S2409" s="182">
        <v>947500</v>
      </c>
      <c r="T2409" s="182">
        <v>94.9</v>
      </c>
      <c r="U2409" s="182">
        <v>2501448.2592068524</v>
      </c>
      <c r="V2409" s="182">
        <v>5110000000000</v>
      </c>
    </row>
    <row r="2410" spans="1:22">
      <c r="A2410" s="174" t="s">
        <v>4363</v>
      </c>
      <c r="B2410" s="174" t="s">
        <v>4363</v>
      </c>
      <c r="C2410" s="182">
        <f t="shared" si="22"/>
        <v>177.24300000000002</v>
      </c>
      <c r="D2410" s="182">
        <v>22550</v>
      </c>
      <c r="E2410" s="182">
        <v>368.2</v>
      </c>
      <c r="F2410" s="182">
        <v>372.6</v>
      </c>
      <c r="G2410" s="182">
        <v>14.4</v>
      </c>
      <c r="H2410" s="182">
        <v>23.8</v>
      </c>
      <c r="I2410" s="182"/>
      <c r="J2410" s="182">
        <v>15</v>
      </c>
      <c r="K2410" s="182">
        <f t="shared" si="21"/>
        <v>7.8277310924369754</v>
      </c>
      <c r="L2410" s="182">
        <f t="shared" si="23"/>
        <v>20.180555555555554</v>
      </c>
      <c r="M2410" s="182">
        <v>571200000</v>
      </c>
      <c r="N2410" s="182">
        <v>3455000</v>
      </c>
      <c r="O2410" s="182">
        <v>3103000</v>
      </c>
      <c r="P2410" s="182">
        <v>159.1</v>
      </c>
      <c r="Q2410" s="182">
        <v>205300000</v>
      </c>
      <c r="R2410" s="182">
        <v>1671000</v>
      </c>
      <c r="S2410" s="182">
        <v>1102000</v>
      </c>
      <c r="T2410" s="182">
        <v>95.399999999999991</v>
      </c>
      <c r="U2410" s="182">
        <v>3809804.7713020933</v>
      </c>
      <c r="V2410" s="182">
        <v>6084000000000</v>
      </c>
    </row>
    <row r="2411" spans="1:22">
      <c r="A2411" s="174" t="s">
        <v>4364</v>
      </c>
      <c r="B2411" s="174" t="s">
        <v>4364</v>
      </c>
      <c r="C2411" s="182">
        <f t="shared" si="22"/>
        <v>202.15920000000003</v>
      </c>
      <c r="D2411" s="182">
        <v>25720</v>
      </c>
      <c r="E2411" s="182">
        <v>374.6</v>
      </c>
      <c r="F2411" s="182">
        <v>374.7</v>
      </c>
      <c r="G2411" s="182">
        <v>16.5</v>
      </c>
      <c r="H2411" s="182">
        <v>27</v>
      </c>
      <c r="I2411" s="182"/>
      <c r="J2411" s="182">
        <v>15</v>
      </c>
      <c r="K2411" s="182">
        <f t="shared" si="21"/>
        <v>6.9388888888888891</v>
      </c>
      <c r="L2411" s="182">
        <f t="shared" si="23"/>
        <v>17.612121212121213</v>
      </c>
      <c r="M2411" s="182">
        <v>662600000</v>
      </c>
      <c r="N2411" s="182">
        <v>3972000</v>
      </c>
      <c r="O2411" s="182">
        <v>3538000</v>
      </c>
      <c r="P2411" s="182">
        <v>160.5</v>
      </c>
      <c r="Q2411" s="182">
        <v>236900000</v>
      </c>
      <c r="R2411" s="182">
        <v>1920000</v>
      </c>
      <c r="S2411" s="182">
        <v>1264000</v>
      </c>
      <c r="T2411" s="182">
        <v>96</v>
      </c>
      <c r="U2411" s="182">
        <v>5568838.3699935311</v>
      </c>
      <c r="V2411" s="182">
        <v>7151000000000</v>
      </c>
    </row>
    <row r="2412" spans="1:22">
      <c r="A2412" s="174" t="s">
        <v>4365</v>
      </c>
      <c r="B2412" s="174" t="s">
        <v>4365</v>
      </c>
      <c r="C2412" s="182">
        <f t="shared" si="22"/>
        <v>235.01400000000001</v>
      </c>
      <c r="D2412" s="182">
        <v>29900</v>
      </c>
      <c r="E2412" s="182">
        <v>381</v>
      </c>
      <c r="F2412" s="182">
        <v>394.8</v>
      </c>
      <c r="G2412" s="182">
        <v>18.399999999999999</v>
      </c>
      <c r="H2412" s="182">
        <v>30.2</v>
      </c>
      <c r="I2412" s="182"/>
      <c r="J2412" s="182">
        <v>15</v>
      </c>
      <c r="K2412" s="182">
        <f t="shared" si="21"/>
        <v>6.5364238410596034</v>
      </c>
      <c r="L2412" s="182">
        <f t="shared" si="23"/>
        <v>15.793478260869568</v>
      </c>
      <c r="M2412" s="182">
        <v>790800000</v>
      </c>
      <c r="N2412" s="182">
        <v>4687000</v>
      </c>
      <c r="O2412" s="182">
        <v>4151000</v>
      </c>
      <c r="P2412" s="182">
        <v>162.5</v>
      </c>
      <c r="Q2412" s="182">
        <v>309900000</v>
      </c>
      <c r="R2412" s="182">
        <v>2383000</v>
      </c>
      <c r="S2412" s="182">
        <v>1570000</v>
      </c>
      <c r="T2412" s="182">
        <v>102</v>
      </c>
      <c r="U2412" s="182">
        <v>8107195.1429601517</v>
      </c>
      <c r="V2412" s="182">
        <v>9529000000000</v>
      </c>
    </row>
    <row r="2413" spans="1:22">
      <c r="A2413" s="174" t="s">
        <v>4366</v>
      </c>
      <c r="B2413" s="174" t="s">
        <v>4366</v>
      </c>
      <c r="C2413" s="182">
        <f t="shared" si="22"/>
        <v>287.4402</v>
      </c>
      <c r="D2413" s="182">
        <v>36570</v>
      </c>
      <c r="E2413" s="182">
        <v>393.6</v>
      </c>
      <c r="F2413" s="182">
        <v>399</v>
      </c>
      <c r="G2413" s="182">
        <v>22.6</v>
      </c>
      <c r="H2413" s="182">
        <v>36.5</v>
      </c>
      <c r="I2413" s="182"/>
      <c r="J2413" s="182">
        <v>15</v>
      </c>
      <c r="K2413" s="182">
        <f t="shared" si="21"/>
        <v>5.4657534246575343</v>
      </c>
      <c r="L2413" s="182">
        <f t="shared" si="23"/>
        <v>12.858407079646017</v>
      </c>
      <c r="M2413" s="182">
        <v>998800000</v>
      </c>
      <c r="N2413" s="182">
        <v>5812000</v>
      </c>
      <c r="O2413" s="182">
        <v>5075000</v>
      </c>
      <c r="P2413" s="182">
        <v>165.3</v>
      </c>
      <c r="Q2413" s="182">
        <v>386800000</v>
      </c>
      <c r="R2413" s="182">
        <v>2949000</v>
      </c>
      <c r="S2413" s="182">
        <v>1939000</v>
      </c>
      <c r="T2413" s="182">
        <v>102.8</v>
      </c>
      <c r="U2413" s="182">
        <v>14394060.274383845</v>
      </c>
      <c r="V2413" s="182">
        <v>12320000000000</v>
      </c>
    </row>
    <row r="2414" spans="1:22">
      <c r="A2414" s="174" t="s">
        <v>4367</v>
      </c>
      <c r="B2414" s="174" t="s">
        <v>4367</v>
      </c>
      <c r="C2414" s="182">
        <f t="shared" si="22"/>
        <v>340.33800000000002</v>
      </c>
      <c r="D2414" s="182">
        <v>43300</v>
      </c>
      <c r="E2414" s="182">
        <v>406.4</v>
      </c>
      <c r="F2414" s="182">
        <v>403</v>
      </c>
      <c r="G2414" s="182">
        <v>26.6</v>
      </c>
      <c r="H2414" s="182">
        <v>42.9</v>
      </c>
      <c r="I2414" s="182"/>
      <c r="J2414" s="182">
        <v>15</v>
      </c>
      <c r="K2414" s="182">
        <f t="shared" si="21"/>
        <v>4.6969696969696972</v>
      </c>
      <c r="L2414" s="182">
        <f t="shared" si="23"/>
        <v>10.924812030075186</v>
      </c>
      <c r="M2414" s="182">
        <v>1225000000</v>
      </c>
      <c r="N2414" s="182">
        <v>6999000</v>
      </c>
      <c r="O2414" s="182">
        <v>6031000</v>
      </c>
      <c r="P2414" s="182">
        <v>168.2</v>
      </c>
      <c r="Q2414" s="182">
        <v>468500000</v>
      </c>
      <c r="R2414" s="182">
        <v>3544000</v>
      </c>
      <c r="S2414" s="182">
        <v>2325000</v>
      </c>
      <c r="T2414" s="182">
        <v>104</v>
      </c>
      <c r="U2414" s="182">
        <v>23409864.258583654</v>
      </c>
      <c r="V2414" s="182">
        <v>15460000000000</v>
      </c>
    </row>
    <row r="2415" spans="1:22">
      <c r="A2415" s="174" t="s">
        <v>4368</v>
      </c>
      <c r="B2415" s="174" t="s">
        <v>4368</v>
      </c>
      <c r="C2415" s="182">
        <f t="shared" si="22"/>
        <v>393.47160000000002</v>
      </c>
      <c r="D2415" s="182">
        <v>50060</v>
      </c>
      <c r="E2415" s="182">
        <v>419</v>
      </c>
      <c r="F2415" s="182">
        <v>407</v>
      </c>
      <c r="G2415" s="182">
        <v>30.6</v>
      </c>
      <c r="H2415" s="182">
        <v>49.2</v>
      </c>
      <c r="I2415" s="182"/>
      <c r="J2415" s="182">
        <v>15</v>
      </c>
      <c r="K2415" s="182">
        <f t="shared" si="21"/>
        <v>4.1361788617886175</v>
      </c>
      <c r="L2415" s="182">
        <f t="shared" si="23"/>
        <v>9.4967320261437909</v>
      </c>
      <c r="M2415" s="182">
        <v>1466000000</v>
      </c>
      <c r="N2415" s="182">
        <v>8222000</v>
      </c>
      <c r="O2415" s="182">
        <v>6998000</v>
      </c>
      <c r="P2415" s="182">
        <v>171.1</v>
      </c>
      <c r="Q2415" s="182">
        <v>553700000</v>
      </c>
      <c r="R2415" s="182">
        <v>4154000</v>
      </c>
      <c r="S2415" s="182">
        <v>2721000</v>
      </c>
      <c r="T2415" s="182">
        <v>105.19999999999999</v>
      </c>
      <c r="U2415" s="182">
        <v>35427090.612366475</v>
      </c>
      <c r="V2415" s="182">
        <v>18900000000000</v>
      </c>
    </row>
    <row r="2416" spans="1:22">
      <c r="A2416" s="174" t="s">
        <v>4369</v>
      </c>
      <c r="B2416" s="174" t="s">
        <v>4369</v>
      </c>
      <c r="C2416" s="182">
        <f t="shared" si="22"/>
        <v>467.59140000000002</v>
      </c>
      <c r="D2416" s="182">
        <v>59490</v>
      </c>
      <c r="E2416" s="182">
        <v>436.6</v>
      </c>
      <c r="F2416" s="182">
        <v>412.2</v>
      </c>
      <c r="G2416" s="182">
        <v>35.799999999999997</v>
      </c>
      <c r="H2416" s="182">
        <v>58</v>
      </c>
      <c r="I2416" s="182"/>
      <c r="J2416" s="182">
        <v>15</v>
      </c>
      <c r="K2416" s="182">
        <f t="shared" si="21"/>
        <v>3.5534482758620687</v>
      </c>
      <c r="L2416" s="182">
        <f t="shared" si="23"/>
        <v>8.117318435754191</v>
      </c>
      <c r="M2416" s="182">
        <v>1830000000</v>
      </c>
      <c r="N2416" s="182">
        <v>10000000</v>
      </c>
      <c r="O2416" s="182">
        <v>8383000</v>
      </c>
      <c r="P2416" s="182">
        <v>175.39999999999998</v>
      </c>
      <c r="Q2416" s="182">
        <v>678300000</v>
      </c>
      <c r="R2416" s="182">
        <v>5034000</v>
      </c>
      <c r="S2416" s="182">
        <v>3291000</v>
      </c>
      <c r="T2416" s="182">
        <v>106.8</v>
      </c>
      <c r="U2416" s="182">
        <v>58048948.966765359</v>
      </c>
      <c r="V2416" s="182">
        <v>24260000000000</v>
      </c>
    </row>
    <row r="2417" spans="1:22">
      <c r="A2417" s="174" t="s">
        <v>4370</v>
      </c>
      <c r="B2417" s="174" t="s">
        <v>4370</v>
      </c>
      <c r="C2417" s="182">
        <f t="shared" si="22"/>
        <v>510.11400000000003</v>
      </c>
      <c r="D2417" s="182">
        <v>64900</v>
      </c>
      <c r="E2417" s="182">
        <v>446</v>
      </c>
      <c r="F2417" s="182">
        <v>416</v>
      </c>
      <c r="G2417" s="182">
        <v>39.1</v>
      </c>
      <c r="H2417" s="182">
        <v>62.7</v>
      </c>
      <c r="I2417" s="182"/>
      <c r="J2417" s="182">
        <v>15</v>
      </c>
      <c r="K2417" s="182">
        <f t="shared" si="21"/>
        <v>3.3173843700159487</v>
      </c>
      <c r="L2417" s="182">
        <f t="shared" si="23"/>
        <v>7.4322250639386196</v>
      </c>
      <c r="M2417" s="182">
        <v>2045000000</v>
      </c>
      <c r="N2417" s="182">
        <v>11030000</v>
      </c>
      <c r="O2417" s="182">
        <v>9172000</v>
      </c>
      <c r="P2417" s="182">
        <v>177.5</v>
      </c>
      <c r="Q2417" s="182">
        <v>754000000</v>
      </c>
      <c r="R2417" s="182">
        <v>5552000</v>
      </c>
      <c r="S2417" s="182">
        <v>3625000</v>
      </c>
      <c r="T2417" s="182">
        <v>107.8</v>
      </c>
      <c r="U2417" s="182">
        <v>73918619.013751209</v>
      </c>
      <c r="V2417" s="182">
        <v>27630000000000</v>
      </c>
    </row>
    <row r="2418" spans="1:22">
      <c r="A2418" s="174" t="s">
        <v>4371</v>
      </c>
      <c r="B2418" s="174" t="s">
        <v>4371</v>
      </c>
      <c r="C2418" s="182">
        <f t="shared" si="22"/>
        <v>551.6934</v>
      </c>
      <c r="D2418" s="182">
        <v>70190</v>
      </c>
      <c r="E2418" s="182">
        <v>455.6</v>
      </c>
      <c r="F2418" s="182">
        <v>418.5</v>
      </c>
      <c r="G2418" s="182">
        <v>42.1</v>
      </c>
      <c r="H2418" s="182">
        <v>67.5</v>
      </c>
      <c r="I2418" s="182"/>
      <c r="J2418" s="182">
        <v>15</v>
      </c>
      <c r="K2418" s="182">
        <f t="shared" si="21"/>
        <v>3.1</v>
      </c>
      <c r="L2418" s="182">
        <f t="shared" si="23"/>
        <v>6.9026128266033258</v>
      </c>
      <c r="M2418" s="182">
        <v>2269000000</v>
      </c>
      <c r="N2418" s="182">
        <v>12080000</v>
      </c>
      <c r="O2418" s="182">
        <v>9962000</v>
      </c>
      <c r="P2418" s="182">
        <v>179.8</v>
      </c>
      <c r="Q2418" s="182">
        <v>826700000</v>
      </c>
      <c r="R2418" s="182">
        <v>6058000</v>
      </c>
      <c r="S2418" s="182">
        <v>3951000</v>
      </c>
      <c r="T2418" s="182">
        <v>108.5</v>
      </c>
      <c r="U2418" s="182">
        <v>92350022.024527341</v>
      </c>
      <c r="V2418" s="182">
        <v>31050000000000</v>
      </c>
    </row>
    <row r="2419" spans="1:22">
      <c r="A2419" s="174" t="s">
        <v>4372</v>
      </c>
      <c r="B2419" s="174" t="s">
        <v>4372</v>
      </c>
      <c r="C2419" s="182">
        <f t="shared" si="22"/>
        <v>593.35140000000001</v>
      </c>
      <c r="D2419" s="182">
        <v>75490</v>
      </c>
      <c r="E2419" s="182">
        <v>465</v>
      </c>
      <c r="F2419" s="182">
        <v>421</v>
      </c>
      <c r="G2419" s="182">
        <v>45</v>
      </c>
      <c r="H2419" s="182">
        <v>72.3</v>
      </c>
      <c r="I2419" s="182"/>
      <c r="J2419" s="182">
        <v>15</v>
      </c>
      <c r="K2419" s="182">
        <f t="shared" si="21"/>
        <v>2.9114799446749657</v>
      </c>
      <c r="L2419" s="182">
        <f t="shared" si="23"/>
        <v>6.4533333333333331</v>
      </c>
      <c r="M2419" s="182">
        <v>2502000000</v>
      </c>
      <c r="N2419" s="182">
        <v>13140000</v>
      </c>
      <c r="O2419" s="182">
        <v>10760000</v>
      </c>
      <c r="P2419" s="182">
        <v>182</v>
      </c>
      <c r="Q2419" s="182">
        <v>901700000</v>
      </c>
      <c r="R2419" s="182">
        <v>6574000</v>
      </c>
      <c r="S2419" s="182">
        <v>4284000</v>
      </c>
      <c r="T2419" s="182">
        <v>109.3</v>
      </c>
      <c r="U2419" s="182">
        <v>113542436.45845619</v>
      </c>
      <c r="V2419" s="182">
        <v>34670000000000</v>
      </c>
    </row>
    <row r="2420" spans="1:22">
      <c r="A2420" s="174" t="s">
        <v>4373</v>
      </c>
      <c r="B2420" s="174" t="s">
        <v>4373</v>
      </c>
      <c r="C2420" s="182">
        <f t="shared" si="22"/>
        <v>634.69500000000005</v>
      </c>
      <c r="D2420" s="182">
        <v>80750</v>
      </c>
      <c r="E2420" s="182">
        <v>474.6</v>
      </c>
      <c r="F2420" s="182">
        <v>424</v>
      </c>
      <c r="G2420" s="182">
        <v>47.6</v>
      </c>
      <c r="H2420" s="182">
        <v>77</v>
      </c>
      <c r="I2420" s="182"/>
      <c r="J2420" s="182">
        <v>15</v>
      </c>
      <c r="K2420" s="182">
        <f t="shared" si="21"/>
        <v>2.7532467532467533</v>
      </c>
      <c r="L2420" s="182">
        <f t="shared" si="23"/>
        <v>6.1050420168067232</v>
      </c>
      <c r="M2420" s="182">
        <v>2748000000</v>
      </c>
      <c r="N2420" s="182">
        <v>14240000</v>
      </c>
      <c r="O2420" s="182">
        <v>11580000</v>
      </c>
      <c r="P2420" s="182">
        <v>184.5</v>
      </c>
      <c r="Q2420" s="182">
        <v>981300000</v>
      </c>
      <c r="R2420" s="182">
        <v>7108000</v>
      </c>
      <c r="S2420" s="182">
        <v>4629000</v>
      </c>
      <c r="T2420" s="182">
        <v>110.19999999999999</v>
      </c>
      <c r="U2420" s="182">
        <v>137160328.79968402</v>
      </c>
      <c r="V2420" s="182">
        <v>38660000000000</v>
      </c>
    </row>
    <row r="2421" spans="1:22">
      <c r="A2421" s="174" t="s">
        <v>4374</v>
      </c>
      <c r="B2421" s="174" t="s">
        <v>4374</v>
      </c>
      <c r="C2421" s="182">
        <f t="shared" si="22"/>
        <v>678.63240000000008</v>
      </c>
      <c r="D2421" s="182">
        <v>86340</v>
      </c>
      <c r="E2421" s="182">
        <v>483</v>
      </c>
      <c r="F2421" s="182">
        <v>428</v>
      </c>
      <c r="G2421" s="182">
        <v>51.2</v>
      </c>
      <c r="H2421" s="182">
        <v>81.5</v>
      </c>
      <c r="I2421" s="182"/>
      <c r="J2421" s="182">
        <v>15</v>
      </c>
      <c r="K2421" s="182">
        <f t="shared" si="21"/>
        <v>2.6257668711656441</v>
      </c>
      <c r="L2421" s="182">
        <f t="shared" si="23"/>
        <v>5.6640625</v>
      </c>
      <c r="M2421" s="182">
        <v>2995000000</v>
      </c>
      <c r="N2421" s="182">
        <v>15350000</v>
      </c>
      <c r="O2421" s="182">
        <v>12400000</v>
      </c>
      <c r="P2421" s="182">
        <v>186.20000000000002</v>
      </c>
      <c r="Q2421" s="182">
        <v>1069000000</v>
      </c>
      <c r="R2421" s="182">
        <v>7680000</v>
      </c>
      <c r="S2421" s="182">
        <v>4994000</v>
      </c>
      <c r="T2421" s="182">
        <v>111.30000000000001</v>
      </c>
      <c r="U2421" s="182">
        <v>164479017.97269261</v>
      </c>
      <c r="V2421" s="182">
        <v>42920000000000</v>
      </c>
    </row>
    <row r="2422" spans="1:22">
      <c r="A2422" s="174" t="s">
        <v>4375</v>
      </c>
      <c r="B2422" s="174" t="s">
        <v>4375</v>
      </c>
      <c r="C2422" s="182">
        <f t="shared" si="22"/>
        <v>745.20660000000009</v>
      </c>
      <c r="D2422" s="182">
        <v>94810</v>
      </c>
      <c r="E2422" s="182">
        <v>498</v>
      </c>
      <c r="F2422" s="182">
        <v>432</v>
      </c>
      <c r="G2422" s="182">
        <v>55.6</v>
      </c>
      <c r="H2422" s="182">
        <v>88.9</v>
      </c>
      <c r="I2422" s="182"/>
      <c r="J2422" s="182">
        <v>15</v>
      </c>
      <c r="K2422" s="182">
        <f t="shared" si="21"/>
        <v>2.4296962879640045</v>
      </c>
      <c r="L2422" s="182">
        <f t="shared" si="23"/>
        <v>5.2194244604316546</v>
      </c>
      <c r="M2422" s="182">
        <v>3421000000</v>
      </c>
      <c r="N2422" s="182">
        <v>17170000</v>
      </c>
      <c r="O2422" s="182">
        <v>13740000</v>
      </c>
      <c r="P2422" s="182">
        <v>190</v>
      </c>
      <c r="Q2422" s="182">
        <v>1199000000</v>
      </c>
      <c r="R2422" s="182">
        <v>8549000</v>
      </c>
      <c r="S2422" s="182">
        <v>5552000</v>
      </c>
      <c r="T2422" s="182">
        <v>112.5</v>
      </c>
      <c r="U2422" s="182">
        <v>213687273.87144309</v>
      </c>
      <c r="V2422" s="182">
        <v>49980000000000</v>
      </c>
    </row>
    <row r="2423" spans="1:22">
      <c r="A2423" s="174" t="s">
        <v>4376</v>
      </c>
      <c r="B2423" s="174" t="s">
        <v>4376</v>
      </c>
      <c r="C2423" s="182">
        <f t="shared" si="22"/>
        <v>820.03380000000004</v>
      </c>
      <c r="D2423" s="182">
        <v>104330</v>
      </c>
      <c r="E2423" s="182">
        <v>514</v>
      </c>
      <c r="F2423" s="182">
        <v>437</v>
      </c>
      <c r="G2423" s="182">
        <v>60.5</v>
      </c>
      <c r="H2423" s="182">
        <v>97</v>
      </c>
      <c r="I2423" s="182"/>
      <c r="J2423" s="182">
        <v>15</v>
      </c>
      <c r="K2423" s="182">
        <f t="shared" si="21"/>
        <v>2.2525773195876289</v>
      </c>
      <c r="L2423" s="182">
        <f t="shared" si="23"/>
        <v>4.7933884297520661</v>
      </c>
      <c r="M2423" s="182">
        <v>3922000000</v>
      </c>
      <c r="N2423" s="182">
        <v>19260000</v>
      </c>
      <c r="O2423" s="182">
        <v>15260000</v>
      </c>
      <c r="P2423" s="182">
        <v>193.9</v>
      </c>
      <c r="Q2423" s="182">
        <v>1355000000</v>
      </c>
      <c r="R2423" s="182">
        <v>9561000</v>
      </c>
      <c r="S2423" s="182">
        <v>6203000</v>
      </c>
      <c r="T2423" s="182">
        <v>114</v>
      </c>
      <c r="U2423" s="182">
        <v>278489909.01284921</v>
      </c>
      <c r="V2423" s="182">
        <v>58650000000000</v>
      </c>
    </row>
    <row r="2424" spans="1:22">
      <c r="A2424" s="174" t="s">
        <v>4377</v>
      </c>
      <c r="B2424" s="174" t="s">
        <v>4377</v>
      </c>
      <c r="C2424" s="182">
        <f t="shared" si="22"/>
        <v>903.27120000000002</v>
      </c>
      <c r="D2424" s="182">
        <v>114920</v>
      </c>
      <c r="E2424" s="182">
        <v>531</v>
      </c>
      <c r="F2424" s="182">
        <v>442</v>
      </c>
      <c r="G2424" s="182">
        <v>65.900000000000006</v>
      </c>
      <c r="H2424" s="182">
        <v>106</v>
      </c>
      <c r="I2424" s="182"/>
      <c r="J2424" s="182">
        <v>15</v>
      </c>
      <c r="K2424" s="182">
        <f t="shared" si="21"/>
        <v>2.0849056603773586</v>
      </c>
      <c r="L2424" s="182">
        <f t="shared" si="23"/>
        <v>4.3854324734446131</v>
      </c>
      <c r="M2424" s="182">
        <v>4502000000</v>
      </c>
      <c r="N2424" s="182">
        <v>21620000</v>
      </c>
      <c r="O2424" s="182">
        <v>16960000</v>
      </c>
      <c r="P2424" s="182">
        <v>197.89999999999998</v>
      </c>
      <c r="Q2424" s="182">
        <v>1533000000</v>
      </c>
      <c r="R2424" s="182">
        <v>10710000</v>
      </c>
      <c r="S2424" s="182">
        <v>6938000</v>
      </c>
      <c r="T2424" s="182">
        <v>115.5</v>
      </c>
      <c r="U2424" s="182">
        <v>364215364.45846772</v>
      </c>
      <c r="V2424" s="182">
        <v>68890000000000</v>
      </c>
    </row>
    <row r="2425" spans="1:22">
      <c r="A2425" s="174" t="s">
        <v>4378</v>
      </c>
      <c r="B2425" s="174" t="s">
        <v>4378</v>
      </c>
      <c r="C2425" s="182">
        <f t="shared" si="22"/>
        <v>992.24640000000022</v>
      </c>
      <c r="D2425" s="182">
        <v>126240.00000000001</v>
      </c>
      <c r="E2425" s="182">
        <v>550</v>
      </c>
      <c r="F2425" s="182">
        <v>448</v>
      </c>
      <c r="G2425" s="182">
        <v>71.900000000000006</v>
      </c>
      <c r="H2425" s="182">
        <v>115</v>
      </c>
      <c r="I2425" s="182"/>
      <c r="J2425" s="182">
        <v>15</v>
      </c>
      <c r="K2425" s="182">
        <f t="shared" si="21"/>
        <v>1.9478260869565218</v>
      </c>
      <c r="L2425" s="182">
        <f t="shared" si="23"/>
        <v>4.0333796940194713</v>
      </c>
      <c r="M2425" s="182">
        <v>5189000000</v>
      </c>
      <c r="N2425" s="182">
        <v>24280000</v>
      </c>
      <c r="O2425" s="182">
        <v>18870000</v>
      </c>
      <c r="P2425" s="182">
        <v>202.7</v>
      </c>
      <c r="Q2425" s="182">
        <v>1734000000</v>
      </c>
      <c r="R2425" s="182">
        <v>11960000</v>
      </c>
      <c r="S2425" s="182">
        <v>7739000</v>
      </c>
      <c r="T2425" s="182">
        <v>117.2</v>
      </c>
      <c r="U2425" s="182">
        <v>469142304.81440109</v>
      </c>
      <c r="V2425" s="182">
        <v>81530000000000</v>
      </c>
    </row>
    <row r="2426" spans="1:22">
      <c r="A2426" s="174" t="s">
        <v>4379</v>
      </c>
      <c r="B2426" s="174" t="s">
        <v>4379</v>
      </c>
      <c r="C2426" s="182">
        <f t="shared" si="22"/>
        <v>1089.2388000000001</v>
      </c>
      <c r="D2426" s="182">
        <v>138580</v>
      </c>
      <c r="E2426" s="182">
        <v>569</v>
      </c>
      <c r="F2426" s="182">
        <v>454</v>
      </c>
      <c r="G2426" s="182">
        <v>78</v>
      </c>
      <c r="H2426" s="182">
        <v>125</v>
      </c>
      <c r="I2426" s="182"/>
      <c r="J2426" s="182">
        <v>15</v>
      </c>
      <c r="K2426" s="182">
        <f t="shared" si="21"/>
        <v>1.8160000000000001</v>
      </c>
      <c r="L2426" s="182">
        <f t="shared" si="23"/>
        <v>3.7051282051282053</v>
      </c>
      <c r="M2426" s="182">
        <v>5957000000</v>
      </c>
      <c r="N2426" s="182">
        <v>27210000</v>
      </c>
      <c r="O2426" s="182">
        <v>20940000</v>
      </c>
      <c r="P2426" s="182">
        <v>207.3</v>
      </c>
      <c r="Q2426" s="182">
        <v>1962000000</v>
      </c>
      <c r="R2426" s="182">
        <v>13380000</v>
      </c>
      <c r="S2426" s="182">
        <v>8645000</v>
      </c>
      <c r="T2426" s="182">
        <v>119</v>
      </c>
      <c r="U2426" s="182">
        <v>605011945.85396194</v>
      </c>
      <c r="V2426" s="182">
        <v>96080000000000</v>
      </c>
    </row>
    <row r="2427" spans="1:22">
      <c r="A2427" s="174" t="s">
        <v>4380</v>
      </c>
      <c r="B2427" s="174" t="s">
        <v>4380</v>
      </c>
      <c r="C2427" s="182">
        <f t="shared" si="22"/>
        <v>1202.9730000000002</v>
      </c>
      <c r="D2427" s="182">
        <v>153050</v>
      </c>
      <c r="E2427" s="182">
        <v>580</v>
      </c>
      <c r="F2427" s="182">
        <v>471</v>
      </c>
      <c r="G2427" s="182">
        <v>95</v>
      </c>
      <c r="H2427" s="182">
        <v>130</v>
      </c>
      <c r="I2427" s="182"/>
      <c r="J2427" s="182">
        <v>15</v>
      </c>
      <c r="K2427" s="182">
        <f t="shared" si="21"/>
        <v>1.8115384615384615</v>
      </c>
      <c r="L2427" s="182">
        <f t="shared" si="23"/>
        <v>3.0526315789473686</v>
      </c>
      <c r="M2427" s="182">
        <v>6636000000</v>
      </c>
      <c r="N2427" s="182">
        <v>30020000</v>
      </c>
      <c r="O2427" s="182">
        <v>22880000</v>
      </c>
      <c r="P2427" s="182">
        <v>208.2</v>
      </c>
      <c r="Q2427" s="182">
        <v>2287000000</v>
      </c>
      <c r="R2427" s="182">
        <v>15150000</v>
      </c>
      <c r="S2427" s="182">
        <v>9712000</v>
      </c>
      <c r="T2427" s="182">
        <v>122.2</v>
      </c>
      <c r="U2427" s="182">
        <v>762194816.84773874</v>
      </c>
      <c r="V2427" s="182">
        <v>114600000000000</v>
      </c>
    </row>
    <row r="2428" spans="1:22">
      <c r="A2428" s="174" t="s">
        <v>4381</v>
      </c>
      <c r="B2428" s="174" t="s">
        <v>4381</v>
      </c>
      <c r="C2428" s="182">
        <f t="shared" si="22"/>
        <v>1300.5942</v>
      </c>
      <c r="D2428" s="182">
        <v>165470</v>
      </c>
      <c r="E2428" s="182">
        <v>600</v>
      </c>
      <c r="F2428" s="182">
        <v>476</v>
      </c>
      <c r="G2428" s="182">
        <v>100</v>
      </c>
      <c r="H2428" s="182">
        <v>140</v>
      </c>
      <c r="I2428" s="182"/>
      <c r="J2428" s="182">
        <v>15</v>
      </c>
      <c r="K2428" s="182">
        <f t="shared" si="21"/>
        <v>1.7</v>
      </c>
      <c r="L2428" s="182">
        <f t="shared" si="23"/>
        <v>2.9</v>
      </c>
      <c r="M2428" s="182">
        <v>7546000000</v>
      </c>
      <c r="N2428" s="182">
        <v>33250000</v>
      </c>
      <c r="O2428" s="182">
        <v>25150000</v>
      </c>
      <c r="P2428" s="182">
        <v>213.5</v>
      </c>
      <c r="Q2428" s="182">
        <v>2544000000</v>
      </c>
      <c r="R2428" s="182">
        <v>16670000</v>
      </c>
      <c r="S2428" s="182">
        <v>10690000</v>
      </c>
      <c r="T2428" s="182">
        <v>124</v>
      </c>
      <c r="U2428" s="182">
        <v>943612149.45172977</v>
      </c>
      <c r="V2428" s="182">
        <v>133100000000000</v>
      </c>
    </row>
    <row r="2429" spans="1:22">
      <c r="A2429" s="175" t="s">
        <v>5052</v>
      </c>
      <c r="B2429" s="175" t="s">
        <v>5052</v>
      </c>
      <c r="C2429" s="183">
        <f t="shared" si="22"/>
        <v>157.98600000000002</v>
      </c>
      <c r="D2429" s="184">
        <v>20100</v>
      </c>
      <c r="E2429" s="184">
        <v>327</v>
      </c>
      <c r="F2429" s="184">
        <v>311</v>
      </c>
      <c r="G2429" s="184">
        <v>15.7</v>
      </c>
      <c r="H2429" s="184">
        <v>25</v>
      </c>
      <c r="I2429" s="184"/>
      <c r="J2429" s="184">
        <v>16.5</v>
      </c>
      <c r="K2429" s="184">
        <v>17.7</v>
      </c>
      <c r="L2429" s="184">
        <v>5.91</v>
      </c>
      <c r="M2429" s="183">
        <v>388000000</v>
      </c>
      <c r="N2429" s="183">
        <v>2680000</v>
      </c>
      <c r="O2429" s="183">
        <v>2370000</v>
      </c>
      <c r="P2429" s="184">
        <v>139</v>
      </c>
      <c r="Q2429" s="183">
        <v>125000000</v>
      </c>
      <c r="R2429" s="183">
        <v>1230000</v>
      </c>
      <c r="S2429" s="183">
        <v>807000</v>
      </c>
      <c r="T2429" s="184">
        <v>78.900000000000006</v>
      </c>
      <c r="U2429" s="183">
        <v>3810000</v>
      </c>
      <c r="V2429" s="183">
        <v>2860000000000</v>
      </c>
    </row>
    <row r="2430" spans="1:22">
      <c r="A2430" s="175" t="s">
        <v>5053</v>
      </c>
      <c r="B2430" s="175" t="s">
        <v>5053</v>
      </c>
      <c r="C2430" s="183">
        <f t="shared" si="22"/>
        <v>137.55000000000001</v>
      </c>
      <c r="D2430" s="184">
        <v>17500</v>
      </c>
      <c r="E2430" s="184">
        <v>321</v>
      </c>
      <c r="F2430" s="184">
        <v>309</v>
      </c>
      <c r="G2430" s="184">
        <v>13.8</v>
      </c>
      <c r="H2430" s="184">
        <v>21.7</v>
      </c>
      <c r="I2430" s="184"/>
      <c r="J2430" s="184">
        <v>16.5</v>
      </c>
      <c r="K2430" s="184">
        <v>20.100000000000001</v>
      </c>
      <c r="L2430" s="184">
        <v>6.8</v>
      </c>
      <c r="M2430" s="183">
        <v>329000000</v>
      </c>
      <c r="N2430" s="183">
        <v>2300000</v>
      </c>
      <c r="O2430" s="183">
        <v>2050000</v>
      </c>
      <c r="P2430" s="184">
        <v>137</v>
      </c>
      <c r="Q2430" s="183">
        <v>107000000</v>
      </c>
      <c r="R2430" s="183">
        <v>1050000</v>
      </c>
      <c r="S2430" s="183">
        <v>691000</v>
      </c>
      <c r="T2430" s="184">
        <v>78.2</v>
      </c>
      <c r="U2430" s="183">
        <v>2520000</v>
      </c>
      <c r="V2430" s="183">
        <v>2390000000000</v>
      </c>
    </row>
    <row r="2431" spans="1:22">
      <c r="A2431" s="175" t="s">
        <v>5054</v>
      </c>
      <c r="B2431" s="175" t="s">
        <v>5054</v>
      </c>
      <c r="C2431" s="183">
        <f t="shared" si="22"/>
        <v>117.9</v>
      </c>
      <c r="D2431" s="184">
        <v>15000</v>
      </c>
      <c r="E2431" s="184">
        <v>315</v>
      </c>
      <c r="F2431" s="184">
        <v>307</v>
      </c>
      <c r="G2431" s="184">
        <v>11.9</v>
      </c>
      <c r="H2431" s="184">
        <v>18.7</v>
      </c>
      <c r="I2431" s="184"/>
      <c r="J2431" s="184">
        <v>16.5</v>
      </c>
      <c r="K2431" s="184">
        <v>23.3</v>
      </c>
      <c r="L2431" s="184">
        <v>7.89</v>
      </c>
      <c r="M2431" s="183">
        <v>277000000</v>
      </c>
      <c r="N2431" s="183">
        <v>1960000</v>
      </c>
      <c r="O2431" s="183">
        <v>1760000</v>
      </c>
      <c r="P2431" s="184">
        <v>136</v>
      </c>
      <c r="Q2431" s="183">
        <v>90200000</v>
      </c>
      <c r="R2431" s="183">
        <v>893000</v>
      </c>
      <c r="S2431" s="183">
        <v>588000</v>
      </c>
      <c r="T2431" s="184">
        <v>77.5</v>
      </c>
      <c r="U2431" s="183">
        <v>1630000</v>
      </c>
      <c r="V2431" s="183">
        <v>1980000000000</v>
      </c>
    </row>
    <row r="2432" spans="1:22">
      <c r="A2432" s="175" t="s">
        <v>5055</v>
      </c>
      <c r="B2432" s="175" t="s">
        <v>5055</v>
      </c>
      <c r="C2432" s="183">
        <f t="shared" si="22"/>
        <v>97.464000000000013</v>
      </c>
      <c r="D2432" s="184">
        <v>12400</v>
      </c>
      <c r="E2432" s="184">
        <v>308</v>
      </c>
      <c r="F2432" s="184">
        <v>305</v>
      </c>
      <c r="G2432" s="184">
        <v>9.9</v>
      </c>
      <c r="H2432" s="184">
        <v>15.4</v>
      </c>
      <c r="I2432" s="184"/>
      <c r="J2432" s="184">
        <v>16.5</v>
      </c>
      <c r="K2432" s="184">
        <v>28</v>
      </c>
      <c r="L2432" s="184">
        <v>9.58</v>
      </c>
      <c r="M2432" s="183">
        <v>223000000</v>
      </c>
      <c r="N2432" s="183">
        <v>1600000</v>
      </c>
      <c r="O2432" s="183">
        <v>1450000</v>
      </c>
      <c r="P2432" s="184">
        <v>134</v>
      </c>
      <c r="Q2432" s="183">
        <v>72900000</v>
      </c>
      <c r="R2432" s="183">
        <v>725000</v>
      </c>
      <c r="S2432" s="183">
        <v>478000</v>
      </c>
      <c r="T2432" s="184">
        <v>76.7</v>
      </c>
      <c r="U2432" s="183">
        <v>928000</v>
      </c>
      <c r="V2432" s="183">
        <v>1560000000000</v>
      </c>
    </row>
    <row r="2433" spans="1:22">
      <c r="A2433" s="175" t="s">
        <v>5056</v>
      </c>
      <c r="B2433" s="175" t="s">
        <v>5056</v>
      </c>
      <c r="C2433" s="183">
        <f t="shared" si="22"/>
        <v>89.604000000000013</v>
      </c>
      <c r="D2433" s="184">
        <v>11400</v>
      </c>
      <c r="E2433" s="184">
        <v>260</v>
      </c>
      <c r="F2433" s="184">
        <v>256</v>
      </c>
      <c r="G2433" s="184">
        <v>10.5</v>
      </c>
      <c r="H2433" s="184">
        <v>17.3</v>
      </c>
      <c r="I2433" s="184"/>
      <c r="J2433" s="184">
        <v>14</v>
      </c>
      <c r="K2433" s="184">
        <v>21.5</v>
      </c>
      <c r="L2433" s="184">
        <v>7.1</v>
      </c>
      <c r="M2433" s="183">
        <v>143000000</v>
      </c>
      <c r="N2433" s="183">
        <v>1230000</v>
      </c>
      <c r="O2433" s="183">
        <v>1100000</v>
      </c>
      <c r="P2433" s="184">
        <v>112</v>
      </c>
      <c r="Q2433" s="183">
        <v>48400000</v>
      </c>
      <c r="R2433" s="183">
        <v>575000</v>
      </c>
      <c r="S2433" s="183">
        <v>378000</v>
      </c>
      <c r="T2433" s="184">
        <v>65.2</v>
      </c>
      <c r="U2433" s="183">
        <v>1040000</v>
      </c>
      <c r="V2433" s="183">
        <v>713000000000</v>
      </c>
    </row>
    <row r="2434" spans="1:22">
      <c r="A2434" s="175" t="s">
        <v>5057</v>
      </c>
      <c r="B2434" s="175" t="s">
        <v>5057</v>
      </c>
      <c r="C2434" s="183">
        <f t="shared" si="22"/>
        <v>73.255200000000002</v>
      </c>
      <c r="D2434" s="184">
        <v>9320</v>
      </c>
      <c r="E2434" s="184">
        <v>254</v>
      </c>
      <c r="F2434" s="184">
        <v>254</v>
      </c>
      <c r="G2434" s="184">
        <v>8.6</v>
      </c>
      <c r="H2434" s="184">
        <v>14.2</v>
      </c>
      <c r="I2434" s="184"/>
      <c r="J2434" s="184">
        <v>14</v>
      </c>
      <c r="K2434" s="184">
        <v>26.2</v>
      </c>
      <c r="L2434" s="184">
        <v>8.64</v>
      </c>
      <c r="M2434" s="183">
        <v>114000000</v>
      </c>
      <c r="N2434" s="183">
        <v>992000</v>
      </c>
      <c r="O2434" s="183">
        <v>897000</v>
      </c>
      <c r="P2434" s="184">
        <v>111</v>
      </c>
      <c r="Q2434" s="183">
        <v>38800000</v>
      </c>
      <c r="R2434" s="183">
        <v>463000</v>
      </c>
      <c r="S2434" s="183">
        <v>306000</v>
      </c>
      <c r="T2434" s="184">
        <v>64.5</v>
      </c>
      <c r="U2434" s="183">
        <v>586000</v>
      </c>
      <c r="V2434" s="183">
        <v>557000000000</v>
      </c>
    </row>
    <row r="2435" spans="1:22">
      <c r="A2435" s="175" t="s">
        <v>5058</v>
      </c>
      <c r="B2435" s="175" t="s">
        <v>5058</v>
      </c>
      <c r="C2435" s="183">
        <f t="shared" si="22"/>
        <v>59.893200000000007</v>
      </c>
      <c r="D2435" s="184">
        <v>7620</v>
      </c>
      <c r="E2435" s="184">
        <v>210</v>
      </c>
      <c r="F2435" s="184">
        <v>205</v>
      </c>
      <c r="G2435" s="184">
        <v>9.3000000000000007</v>
      </c>
      <c r="H2435" s="184">
        <v>14.2</v>
      </c>
      <c r="I2435" s="184"/>
      <c r="J2435" s="184">
        <v>11.4</v>
      </c>
      <c r="K2435" s="184">
        <v>19.5</v>
      </c>
      <c r="L2435" s="184">
        <v>6.89</v>
      </c>
      <c r="M2435" s="183">
        <v>61300000</v>
      </c>
      <c r="N2435" s="183">
        <v>656000</v>
      </c>
      <c r="O2435" s="183">
        <v>584000</v>
      </c>
      <c r="P2435" s="184">
        <v>89.7</v>
      </c>
      <c r="Q2435" s="183">
        <v>20400000</v>
      </c>
      <c r="R2435" s="183">
        <v>303000</v>
      </c>
      <c r="S2435" s="183">
        <v>199000</v>
      </c>
      <c r="T2435" s="184">
        <v>51.7</v>
      </c>
      <c r="U2435" s="183">
        <v>477000</v>
      </c>
      <c r="V2435" s="183">
        <v>195000000000</v>
      </c>
    </row>
    <row r="2436" spans="1:22">
      <c r="A2436" s="175" t="s">
        <v>5059</v>
      </c>
      <c r="B2436" s="175" t="s">
        <v>5059</v>
      </c>
      <c r="C2436" s="183">
        <f t="shared" si="22"/>
        <v>52.347600000000007</v>
      </c>
      <c r="D2436" s="184">
        <v>6660</v>
      </c>
      <c r="E2436" s="184">
        <v>206</v>
      </c>
      <c r="F2436" s="184">
        <v>204</v>
      </c>
      <c r="G2436" s="184">
        <v>8</v>
      </c>
      <c r="H2436" s="184">
        <v>12.5</v>
      </c>
      <c r="I2436" s="184"/>
      <c r="J2436" s="184">
        <v>11.4</v>
      </c>
      <c r="K2436" s="184">
        <v>22.7</v>
      </c>
      <c r="L2436" s="184">
        <v>7.84</v>
      </c>
      <c r="M2436" s="183">
        <v>52800000</v>
      </c>
      <c r="N2436" s="183">
        <v>570000</v>
      </c>
      <c r="O2436" s="183">
        <v>512000</v>
      </c>
      <c r="P2436" s="184">
        <v>89.1</v>
      </c>
      <c r="Q2436" s="183">
        <v>17700000</v>
      </c>
      <c r="R2436" s="183">
        <v>264000</v>
      </c>
      <c r="S2436" s="183">
        <v>174000</v>
      </c>
      <c r="T2436" s="184">
        <v>51.5</v>
      </c>
      <c r="U2436" s="183">
        <v>325000</v>
      </c>
      <c r="V2436" s="183">
        <v>166000000000</v>
      </c>
    </row>
    <row r="2437" spans="1:22">
      <c r="A2437" s="175" t="s">
        <v>5060</v>
      </c>
      <c r="B2437" s="175" t="s">
        <v>5060</v>
      </c>
      <c r="C2437" s="183">
        <f t="shared" si="22"/>
        <v>46.374000000000002</v>
      </c>
      <c r="D2437" s="184">
        <v>5900</v>
      </c>
      <c r="E2437" s="184">
        <v>203</v>
      </c>
      <c r="F2437" s="184">
        <v>203</v>
      </c>
      <c r="G2437" s="184">
        <v>7.3</v>
      </c>
      <c r="H2437" s="184">
        <v>11</v>
      </c>
      <c r="I2437" s="184"/>
      <c r="J2437" s="184">
        <v>11.4</v>
      </c>
      <c r="K2437" s="184">
        <v>24.8</v>
      </c>
      <c r="L2437" s="184">
        <v>8.9</v>
      </c>
      <c r="M2437" s="183">
        <v>45900000</v>
      </c>
      <c r="N2437" s="183">
        <v>500000</v>
      </c>
      <c r="O2437" s="183">
        <v>451000</v>
      </c>
      <c r="P2437" s="184">
        <v>88.2</v>
      </c>
      <c r="Q2437" s="183">
        <v>15300000</v>
      </c>
      <c r="R2437" s="183">
        <v>230000</v>
      </c>
      <c r="S2437" s="183">
        <v>151000</v>
      </c>
      <c r="T2437" s="184">
        <v>51</v>
      </c>
      <c r="U2437" s="183">
        <v>228000</v>
      </c>
      <c r="V2437" s="183">
        <v>142000000000</v>
      </c>
    </row>
    <row r="2438" spans="1:22">
      <c r="A2438" s="175" t="s">
        <v>5061</v>
      </c>
      <c r="B2438" s="175" t="s">
        <v>5061</v>
      </c>
      <c r="C2438" s="183">
        <f t="shared" ref="C2438:C2469" si="24">D2438*0.00786</f>
        <v>37.177800000000005</v>
      </c>
      <c r="D2438" s="184">
        <v>4730</v>
      </c>
      <c r="E2438" s="184">
        <v>162</v>
      </c>
      <c r="F2438" s="184">
        <v>154</v>
      </c>
      <c r="G2438" s="184">
        <v>8.1</v>
      </c>
      <c r="H2438" s="184">
        <v>11.5</v>
      </c>
      <c r="I2438" s="184"/>
      <c r="J2438" s="184">
        <v>8.9</v>
      </c>
      <c r="K2438" s="184">
        <v>17.100000000000001</v>
      </c>
      <c r="L2438" s="184">
        <v>6.34</v>
      </c>
      <c r="M2438" s="183">
        <v>22200000</v>
      </c>
      <c r="N2438" s="183">
        <v>310000</v>
      </c>
      <c r="O2438" s="183">
        <v>274000</v>
      </c>
      <c r="P2438" s="184">
        <v>68.400000000000006</v>
      </c>
      <c r="Q2438" s="183">
        <v>7010000</v>
      </c>
      <c r="R2438" s="183">
        <v>139000</v>
      </c>
      <c r="S2438" s="183">
        <v>91000</v>
      </c>
      <c r="T2438" s="184">
        <v>38.5</v>
      </c>
      <c r="U2438" s="183">
        <v>197000</v>
      </c>
      <c r="V2438" s="183">
        <v>39600000000</v>
      </c>
    </row>
    <row r="2439" spans="1:22">
      <c r="A2439" s="175" t="s">
        <v>5062</v>
      </c>
      <c r="B2439" s="175" t="s">
        <v>5062</v>
      </c>
      <c r="C2439" s="183">
        <f t="shared" si="24"/>
        <v>30.339600000000004</v>
      </c>
      <c r="D2439" s="184">
        <v>3860</v>
      </c>
      <c r="E2439" s="184">
        <v>158</v>
      </c>
      <c r="F2439" s="184">
        <v>153</v>
      </c>
      <c r="G2439" s="184">
        <v>6.6</v>
      </c>
      <c r="H2439" s="184">
        <v>9.4</v>
      </c>
      <c r="I2439" s="184"/>
      <c r="J2439" s="184">
        <v>8.9</v>
      </c>
      <c r="K2439" s="184">
        <v>21</v>
      </c>
      <c r="L2439" s="184">
        <v>7.79</v>
      </c>
      <c r="M2439" s="183">
        <v>17600000</v>
      </c>
      <c r="N2439" s="183">
        <v>250000</v>
      </c>
      <c r="O2439" s="183">
        <v>223000</v>
      </c>
      <c r="P2439" s="184">
        <v>67.5</v>
      </c>
      <c r="Q2439" s="183">
        <v>5620000</v>
      </c>
      <c r="R2439" s="183">
        <v>112000</v>
      </c>
      <c r="S2439" s="183">
        <v>73400</v>
      </c>
      <c r="T2439" s="184">
        <v>38.1</v>
      </c>
      <c r="U2439" s="183">
        <v>109000</v>
      </c>
      <c r="V2439" s="183">
        <v>30800000000</v>
      </c>
    </row>
    <row r="2440" spans="1:22">
      <c r="A2440" s="175" t="s">
        <v>5063</v>
      </c>
      <c r="B2440" s="175" t="s">
        <v>5063</v>
      </c>
      <c r="C2440" s="183">
        <f t="shared" si="24"/>
        <v>23.422800000000002</v>
      </c>
      <c r="D2440" s="184">
        <v>2980</v>
      </c>
      <c r="E2440" s="184">
        <v>152</v>
      </c>
      <c r="F2440" s="184">
        <v>152</v>
      </c>
      <c r="G2440" s="184">
        <v>6.1</v>
      </c>
      <c r="H2440" s="184">
        <v>6.8</v>
      </c>
      <c r="I2440" s="184"/>
      <c r="J2440" s="184">
        <v>8.9</v>
      </c>
      <c r="K2440" s="184">
        <v>22.8</v>
      </c>
      <c r="L2440" s="184">
        <v>10.7</v>
      </c>
      <c r="M2440" s="183">
        <v>12600000</v>
      </c>
      <c r="N2440" s="183">
        <v>184000</v>
      </c>
      <c r="O2440" s="183">
        <v>166000</v>
      </c>
      <c r="P2440" s="184">
        <v>65.099999999999994</v>
      </c>
      <c r="Q2440" s="183">
        <v>3980000</v>
      </c>
      <c r="R2440" s="183">
        <v>80200</v>
      </c>
      <c r="S2440" s="183">
        <v>52400</v>
      </c>
      <c r="T2440" s="184">
        <v>36.6</v>
      </c>
      <c r="U2440" s="183">
        <v>50200</v>
      </c>
      <c r="V2440" s="183">
        <v>21100000000</v>
      </c>
    </row>
    <row r="2441" spans="1:22">
      <c r="A2441" s="175" t="s">
        <v>5064</v>
      </c>
      <c r="B2441" s="175" t="s">
        <v>5064</v>
      </c>
      <c r="C2441" s="183">
        <f t="shared" si="24"/>
        <v>14.855400000000001</v>
      </c>
      <c r="D2441" s="184">
        <v>1890</v>
      </c>
      <c r="E2441" s="184">
        <v>97</v>
      </c>
      <c r="F2441" s="184">
        <v>99</v>
      </c>
      <c r="G2441" s="184">
        <v>5</v>
      </c>
      <c r="H2441" s="184">
        <v>7</v>
      </c>
      <c r="I2441" s="184"/>
      <c r="J2441" s="184">
        <v>10</v>
      </c>
      <c r="K2441" s="184">
        <v>16.600000000000001</v>
      </c>
      <c r="L2441" s="184">
        <v>6.71</v>
      </c>
      <c r="M2441" s="183">
        <v>3180000</v>
      </c>
      <c r="N2441" s="183">
        <v>74400</v>
      </c>
      <c r="O2441" s="183">
        <v>65600</v>
      </c>
      <c r="P2441" s="184">
        <v>41.1</v>
      </c>
      <c r="Q2441" s="183">
        <v>1140000</v>
      </c>
      <c r="R2441" s="183">
        <v>35200</v>
      </c>
      <c r="S2441" s="183">
        <v>22900</v>
      </c>
      <c r="T2441" s="184">
        <v>24.5</v>
      </c>
      <c r="U2441" s="183">
        <v>34900</v>
      </c>
      <c r="V2441" s="183">
        <v>2300000000</v>
      </c>
    </row>
    <row r="2442" spans="1:22">
      <c r="A2442" s="175" t="s">
        <v>5065</v>
      </c>
      <c r="B2442" s="175" t="s">
        <v>5065</v>
      </c>
      <c r="C2442" s="183">
        <f t="shared" si="24"/>
        <v>125.76</v>
      </c>
      <c r="D2442" s="184">
        <v>16000</v>
      </c>
      <c r="E2442" s="184">
        <v>612</v>
      </c>
      <c r="F2442" s="184">
        <v>229</v>
      </c>
      <c r="G2442" s="184">
        <v>11.9</v>
      </c>
      <c r="H2442" s="184">
        <v>19.600000000000001</v>
      </c>
      <c r="I2442" s="184"/>
      <c r="J2442" s="184">
        <v>14</v>
      </c>
      <c r="K2442" s="184">
        <v>48.1</v>
      </c>
      <c r="L2442" s="184">
        <v>5.54</v>
      </c>
      <c r="M2442" s="183">
        <v>986000000</v>
      </c>
      <c r="N2442" s="183">
        <v>3680000</v>
      </c>
      <c r="O2442" s="183">
        <v>3230000</v>
      </c>
      <c r="P2442" s="184">
        <v>249</v>
      </c>
      <c r="Q2442" s="183">
        <v>39300000</v>
      </c>
      <c r="R2442" s="183">
        <v>536000</v>
      </c>
      <c r="S2442" s="183">
        <v>343000</v>
      </c>
      <c r="T2442" s="184">
        <v>49.6</v>
      </c>
      <c r="U2442" s="183">
        <v>1560000</v>
      </c>
      <c r="V2442" s="183">
        <v>3450000000000</v>
      </c>
    </row>
    <row r="2443" spans="1:22">
      <c r="A2443" s="175" t="s">
        <v>5066</v>
      </c>
      <c r="B2443" s="175" t="s">
        <v>5066</v>
      </c>
      <c r="C2443" s="183">
        <f t="shared" si="24"/>
        <v>113.97000000000001</v>
      </c>
      <c r="D2443" s="184">
        <v>14500</v>
      </c>
      <c r="E2443" s="184">
        <v>607</v>
      </c>
      <c r="F2443" s="184">
        <v>228</v>
      </c>
      <c r="G2443" s="184">
        <v>11.2</v>
      </c>
      <c r="H2443" s="184">
        <v>17.3</v>
      </c>
      <c r="I2443" s="184"/>
      <c r="J2443" s="184">
        <v>14</v>
      </c>
      <c r="K2443" s="184">
        <v>51.1</v>
      </c>
      <c r="L2443" s="184">
        <v>6.27</v>
      </c>
      <c r="M2443" s="183">
        <v>875000000</v>
      </c>
      <c r="N2443" s="183">
        <v>3290000</v>
      </c>
      <c r="O2443" s="183">
        <v>2880000</v>
      </c>
      <c r="P2443" s="184">
        <v>246</v>
      </c>
      <c r="Q2443" s="183">
        <v>34300000</v>
      </c>
      <c r="R2443" s="183">
        <v>469000</v>
      </c>
      <c r="S2443" s="183">
        <v>300000</v>
      </c>
      <c r="T2443" s="184">
        <v>48.7</v>
      </c>
      <c r="U2443" s="183">
        <v>1140000</v>
      </c>
      <c r="V2443" s="183">
        <v>2980000000000</v>
      </c>
    </row>
    <row r="2444" spans="1:22">
      <c r="A2444" s="175" t="s">
        <v>4633</v>
      </c>
      <c r="B2444" s="175" t="s">
        <v>4633</v>
      </c>
      <c r="C2444" s="183">
        <f t="shared" si="24"/>
        <v>102.18</v>
      </c>
      <c r="D2444" s="184">
        <v>13000</v>
      </c>
      <c r="E2444" s="184">
        <v>602</v>
      </c>
      <c r="F2444" s="184">
        <v>228</v>
      </c>
      <c r="G2444" s="184">
        <v>10.6</v>
      </c>
      <c r="H2444" s="184">
        <v>14.8</v>
      </c>
      <c r="I2444" s="184"/>
      <c r="J2444" s="184">
        <v>14</v>
      </c>
      <c r="K2444" s="184">
        <v>54</v>
      </c>
      <c r="L2444" s="184">
        <v>7.34</v>
      </c>
      <c r="M2444" s="183">
        <v>761000000</v>
      </c>
      <c r="N2444" s="183">
        <v>2900000</v>
      </c>
      <c r="O2444" s="183">
        <v>2530000</v>
      </c>
      <c r="P2444" s="184">
        <v>242</v>
      </c>
      <c r="Q2444" s="183">
        <v>29300000</v>
      </c>
      <c r="R2444" s="183">
        <v>402000</v>
      </c>
      <c r="S2444" s="183">
        <v>257000</v>
      </c>
      <c r="T2444" s="184">
        <v>47.5</v>
      </c>
      <c r="U2444" s="183">
        <v>790000</v>
      </c>
      <c r="V2444" s="183">
        <v>2530000000000</v>
      </c>
    </row>
    <row r="2445" spans="1:22">
      <c r="A2445" s="175" t="s">
        <v>5067</v>
      </c>
      <c r="B2445" s="175" t="s">
        <v>5067</v>
      </c>
      <c r="C2445" s="183">
        <f t="shared" si="24"/>
        <v>92.748000000000005</v>
      </c>
      <c r="D2445" s="184">
        <v>11800</v>
      </c>
      <c r="E2445" s="184">
        <v>533</v>
      </c>
      <c r="F2445" s="184">
        <v>209</v>
      </c>
      <c r="G2445" s="184">
        <v>10.199999999999999</v>
      </c>
      <c r="H2445" s="184">
        <v>15.6</v>
      </c>
      <c r="I2445" s="184"/>
      <c r="J2445" s="184">
        <v>14</v>
      </c>
      <c r="K2445" s="184">
        <v>49.2</v>
      </c>
      <c r="L2445" s="184">
        <v>6.37</v>
      </c>
      <c r="M2445" s="183">
        <v>554000000</v>
      </c>
      <c r="N2445" s="183">
        <v>2370000</v>
      </c>
      <c r="O2445" s="183">
        <v>2080000</v>
      </c>
      <c r="P2445" s="184">
        <v>217</v>
      </c>
      <c r="Q2445" s="183">
        <v>23800000</v>
      </c>
      <c r="R2445" s="183">
        <v>355000</v>
      </c>
      <c r="S2445" s="183">
        <v>228000</v>
      </c>
      <c r="T2445" s="184">
        <v>44.9</v>
      </c>
      <c r="U2445" s="183">
        <v>775000</v>
      </c>
      <c r="V2445" s="183">
        <v>1590000000000</v>
      </c>
    </row>
    <row r="2446" spans="1:22">
      <c r="A2446" s="175" t="s">
        <v>5068</v>
      </c>
      <c r="B2446" s="175" t="s">
        <v>5068</v>
      </c>
      <c r="C2446" s="183">
        <f t="shared" si="24"/>
        <v>82.53</v>
      </c>
      <c r="D2446" s="184">
        <v>10500</v>
      </c>
      <c r="E2446" s="184">
        <v>528</v>
      </c>
      <c r="F2446" s="184">
        <v>209</v>
      </c>
      <c r="G2446" s="184">
        <v>9.6</v>
      </c>
      <c r="H2446" s="184">
        <v>13.2</v>
      </c>
      <c r="I2446" s="184"/>
      <c r="J2446" s="184">
        <v>14</v>
      </c>
      <c r="K2446" s="184">
        <v>52.3</v>
      </c>
      <c r="L2446" s="184">
        <v>7.55</v>
      </c>
      <c r="M2446" s="183">
        <v>477000000</v>
      </c>
      <c r="N2446" s="183">
        <v>2070000</v>
      </c>
      <c r="O2446" s="183">
        <v>1810000</v>
      </c>
      <c r="P2446" s="184">
        <v>213</v>
      </c>
      <c r="Q2446" s="183">
        <v>20100000</v>
      </c>
      <c r="R2446" s="183">
        <v>301000</v>
      </c>
      <c r="S2446" s="183">
        <v>193000</v>
      </c>
      <c r="T2446" s="184">
        <v>43.8</v>
      </c>
      <c r="U2446" s="183">
        <v>526000</v>
      </c>
      <c r="V2446" s="183">
        <v>1330000000000</v>
      </c>
    </row>
    <row r="2447" spans="1:22">
      <c r="A2447" s="175" t="s">
        <v>5069</v>
      </c>
      <c r="B2447" s="175" t="s">
        <v>5069</v>
      </c>
      <c r="C2447" s="183">
        <f t="shared" si="24"/>
        <v>82.53</v>
      </c>
      <c r="D2447" s="184">
        <v>10500</v>
      </c>
      <c r="E2447" s="184">
        <v>460</v>
      </c>
      <c r="F2447" s="184">
        <v>191</v>
      </c>
      <c r="G2447" s="184">
        <v>9.9</v>
      </c>
      <c r="H2447" s="184">
        <v>16</v>
      </c>
      <c r="I2447" s="184"/>
      <c r="J2447" s="184">
        <v>11.4</v>
      </c>
      <c r="K2447" s="184">
        <v>43.3</v>
      </c>
      <c r="L2447" s="184">
        <v>5.66</v>
      </c>
      <c r="M2447" s="183">
        <v>372000000</v>
      </c>
      <c r="N2447" s="183">
        <v>1840000</v>
      </c>
      <c r="O2447" s="183">
        <v>1610000</v>
      </c>
      <c r="P2447" s="184">
        <v>188</v>
      </c>
      <c r="Q2447" s="183">
        <v>18600000</v>
      </c>
      <c r="R2447" s="183">
        <v>303000</v>
      </c>
      <c r="S2447" s="183">
        <v>195000</v>
      </c>
      <c r="T2447" s="184">
        <v>42.2</v>
      </c>
      <c r="U2447" s="183">
        <v>701000</v>
      </c>
      <c r="V2447" s="183">
        <v>919000000000</v>
      </c>
    </row>
    <row r="2448" spans="1:22">
      <c r="A2448" s="175" t="s">
        <v>5070</v>
      </c>
      <c r="B2448" s="175" t="s">
        <v>5070</v>
      </c>
      <c r="C2448" s="183">
        <f t="shared" si="24"/>
        <v>74.827200000000005</v>
      </c>
      <c r="D2448" s="184">
        <v>9520</v>
      </c>
      <c r="E2448" s="184">
        <v>457</v>
      </c>
      <c r="F2448" s="184">
        <v>190</v>
      </c>
      <c r="G2448" s="184">
        <v>9.1</v>
      </c>
      <c r="H2448" s="184">
        <v>14.5</v>
      </c>
      <c r="I2448" s="184"/>
      <c r="J2448" s="184">
        <v>11.4</v>
      </c>
      <c r="K2448" s="184">
        <v>47.1</v>
      </c>
      <c r="L2448" s="184">
        <v>6.24</v>
      </c>
      <c r="M2448" s="183">
        <v>335000000</v>
      </c>
      <c r="N2448" s="183">
        <v>1660000</v>
      </c>
      <c r="O2448" s="183">
        <v>1460000</v>
      </c>
      <c r="P2448" s="184">
        <v>188</v>
      </c>
      <c r="Q2448" s="183">
        <v>16600000.000000002</v>
      </c>
      <c r="R2448" s="183">
        <v>271000</v>
      </c>
      <c r="S2448" s="183">
        <v>175000</v>
      </c>
      <c r="T2448" s="184">
        <v>41.8</v>
      </c>
      <c r="U2448" s="183">
        <v>530000</v>
      </c>
      <c r="V2448" s="183">
        <v>815000000000</v>
      </c>
    </row>
    <row r="2449" spans="1:22">
      <c r="A2449" s="175" t="s">
        <v>4636</v>
      </c>
      <c r="B2449" s="175" t="s">
        <v>4636</v>
      </c>
      <c r="C2449" s="183">
        <f t="shared" si="24"/>
        <v>67.438800000000001</v>
      </c>
      <c r="D2449" s="184">
        <v>8580</v>
      </c>
      <c r="E2449" s="184">
        <v>454</v>
      </c>
      <c r="F2449" s="184">
        <v>190</v>
      </c>
      <c r="G2449" s="184">
        <v>8.5</v>
      </c>
      <c r="H2449" s="184">
        <v>12.7</v>
      </c>
      <c r="I2449" s="184"/>
      <c r="J2449" s="184">
        <v>11.4</v>
      </c>
      <c r="K2449" s="184">
        <v>50.4</v>
      </c>
      <c r="L2449" s="184">
        <v>7.15</v>
      </c>
      <c r="M2449" s="183">
        <v>296000000</v>
      </c>
      <c r="N2449" s="183">
        <v>1480000</v>
      </c>
      <c r="O2449" s="183">
        <v>1300000</v>
      </c>
      <c r="P2449" s="184">
        <v>186</v>
      </c>
      <c r="Q2449" s="183">
        <v>14500000</v>
      </c>
      <c r="R2449" s="183">
        <v>238000</v>
      </c>
      <c r="S2449" s="183">
        <v>153000</v>
      </c>
      <c r="T2449" s="184">
        <v>41.2</v>
      </c>
      <c r="U2449" s="183">
        <v>378000</v>
      </c>
      <c r="V2449" s="183">
        <v>708000000000</v>
      </c>
    </row>
    <row r="2450" spans="1:22">
      <c r="A2450" s="175" t="s">
        <v>5071</v>
      </c>
      <c r="B2450" s="175" t="s">
        <v>5071</v>
      </c>
      <c r="C2450" s="183">
        <f t="shared" si="24"/>
        <v>60.050400000000003</v>
      </c>
      <c r="D2450" s="184">
        <v>7640</v>
      </c>
      <c r="E2450" s="184">
        <v>406</v>
      </c>
      <c r="F2450" s="184">
        <v>178</v>
      </c>
      <c r="G2450" s="184">
        <v>7.8</v>
      </c>
      <c r="H2450" s="184">
        <v>12.8</v>
      </c>
      <c r="I2450" s="184"/>
      <c r="J2450" s="184">
        <v>11.4</v>
      </c>
      <c r="K2450" s="184">
        <v>48.8</v>
      </c>
      <c r="L2450" s="184">
        <v>6.65</v>
      </c>
      <c r="M2450" s="183">
        <v>216000000</v>
      </c>
      <c r="N2450" s="183">
        <v>1200000</v>
      </c>
      <c r="O2450" s="183">
        <v>1060000</v>
      </c>
      <c r="P2450" s="184">
        <v>168</v>
      </c>
      <c r="Q2450" s="183">
        <v>12100000</v>
      </c>
      <c r="R2450" s="183">
        <v>209000</v>
      </c>
      <c r="S2450" s="183">
        <v>135000</v>
      </c>
      <c r="T2450" s="184">
        <v>39.700000000000003</v>
      </c>
      <c r="U2450" s="183">
        <v>337000</v>
      </c>
      <c r="V2450" s="183">
        <v>467000000000</v>
      </c>
    </row>
    <row r="2451" spans="1:22">
      <c r="A2451" s="175" t="s">
        <v>5072</v>
      </c>
      <c r="B2451" s="175" t="s">
        <v>5072</v>
      </c>
      <c r="C2451" s="183">
        <f t="shared" si="24"/>
        <v>54.155400000000007</v>
      </c>
      <c r="D2451" s="184">
        <v>6890</v>
      </c>
      <c r="E2451" s="184">
        <v>403</v>
      </c>
      <c r="F2451" s="184">
        <v>178</v>
      </c>
      <c r="G2451" s="184">
        <v>7.6</v>
      </c>
      <c r="H2451" s="184">
        <v>10.9</v>
      </c>
      <c r="I2451" s="184"/>
      <c r="J2451" s="184">
        <v>11.4</v>
      </c>
      <c r="K2451" s="184">
        <v>50.1</v>
      </c>
      <c r="L2451" s="184">
        <v>7.82</v>
      </c>
      <c r="M2451" s="183">
        <v>188000000</v>
      </c>
      <c r="N2451" s="183">
        <v>1060000</v>
      </c>
      <c r="O2451" s="183">
        <v>933000</v>
      </c>
      <c r="P2451" s="184">
        <v>165</v>
      </c>
      <c r="Q2451" s="183">
        <v>10300000</v>
      </c>
      <c r="R2451" s="183">
        <v>179000</v>
      </c>
      <c r="S2451" s="183">
        <v>115000</v>
      </c>
      <c r="T2451" s="184">
        <v>38.6</v>
      </c>
      <c r="U2451" s="183">
        <v>234000</v>
      </c>
      <c r="V2451" s="183">
        <v>394000000000</v>
      </c>
    </row>
    <row r="2452" spans="1:22">
      <c r="A2452" s="175" t="s">
        <v>5073</v>
      </c>
      <c r="B2452" s="175" t="s">
        <v>5073</v>
      </c>
      <c r="C2452" s="183">
        <f t="shared" si="24"/>
        <v>56.906400000000005</v>
      </c>
      <c r="D2452" s="184">
        <v>7240</v>
      </c>
      <c r="E2452" s="184">
        <v>359</v>
      </c>
      <c r="F2452" s="184">
        <v>172</v>
      </c>
      <c r="G2452" s="184">
        <v>8</v>
      </c>
      <c r="H2452" s="184">
        <v>13</v>
      </c>
      <c r="I2452" s="184"/>
      <c r="J2452" s="184">
        <v>11.4</v>
      </c>
      <c r="K2452" s="184">
        <v>41.6</v>
      </c>
      <c r="L2452" s="184">
        <v>6.31</v>
      </c>
      <c r="M2452" s="183">
        <v>161000000</v>
      </c>
      <c r="N2452" s="183">
        <v>1010000</v>
      </c>
      <c r="O2452" s="183">
        <v>899000</v>
      </c>
      <c r="P2452" s="184">
        <v>149</v>
      </c>
      <c r="Q2452" s="183">
        <v>11000000</v>
      </c>
      <c r="R2452" s="183">
        <v>198000</v>
      </c>
      <c r="S2452" s="183">
        <v>128000</v>
      </c>
      <c r="T2452" s="184">
        <v>39</v>
      </c>
      <c r="U2452" s="183">
        <v>338000</v>
      </c>
      <c r="V2452" s="183">
        <v>330000000000</v>
      </c>
    </row>
    <row r="2453" spans="1:22">
      <c r="A2453" s="193" t="s">
        <v>5074</v>
      </c>
      <c r="B2453" s="175" t="s">
        <v>5074</v>
      </c>
      <c r="C2453" s="183">
        <f t="shared" si="24"/>
        <v>50.854200000000006</v>
      </c>
      <c r="D2453" s="184">
        <v>6470</v>
      </c>
      <c r="E2453" s="184">
        <v>356</v>
      </c>
      <c r="F2453" s="184">
        <v>171</v>
      </c>
      <c r="G2453" s="184">
        <v>7.3</v>
      </c>
      <c r="H2453" s="184">
        <v>11.5</v>
      </c>
      <c r="I2453" s="184"/>
      <c r="J2453" s="184">
        <v>11.4</v>
      </c>
      <c r="K2453" s="184">
        <v>45.6</v>
      </c>
      <c r="L2453" s="184">
        <v>7.12</v>
      </c>
      <c r="M2453" s="183">
        <v>142000000</v>
      </c>
      <c r="N2453" s="183">
        <v>897000</v>
      </c>
      <c r="O2453" s="183">
        <v>798000</v>
      </c>
      <c r="P2453" s="184">
        <v>148</v>
      </c>
      <c r="Q2453" s="183">
        <v>9600000</v>
      </c>
      <c r="R2453" s="183">
        <v>173000</v>
      </c>
      <c r="S2453" s="183">
        <v>112000</v>
      </c>
      <c r="T2453" s="184">
        <v>38.5</v>
      </c>
      <c r="U2453" s="183">
        <v>241000</v>
      </c>
      <c r="V2453" s="183">
        <v>284000000000</v>
      </c>
    </row>
    <row r="2454" spans="1:22">
      <c r="A2454" s="175" t="s">
        <v>5075</v>
      </c>
      <c r="B2454" s="175" t="s">
        <v>5075</v>
      </c>
      <c r="C2454" s="183">
        <f t="shared" si="24"/>
        <v>44.959200000000003</v>
      </c>
      <c r="D2454" s="184">
        <v>5720</v>
      </c>
      <c r="E2454" s="184">
        <v>352</v>
      </c>
      <c r="F2454" s="184">
        <v>171</v>
      </c>
      <c r="G2454" s="184">
        <v>6.9</v>
      </c>
      <c r="H2454" s="184">
        <v>9.6999999999999993</v>
      </c>
      <c r="I2454" s="184"/>
      <c r="J2454" s="184">
        <v>11.4</v>
      </c>
      <c r="K2454" s="184">
        <v>48.2</v>
      </c>
      <c r="L2454" s="184">
        <v>8.4600000000000009</v>
      </c>
      <c r="M2454" s="183">
        <v>121000000</v>
      </c>
      <c r="N2454" s="183">
        <v>777000</v>
      </c>
      <c r="O2454" s="183">
        <v>689000</v>
      </c>
      <c r="P2454" s="184">
        <v>146</v>
      </c>
      <c r="Q2454" s="183">
        <v>8100000</v>
      </c>
      <c r="R2454" s="183">
        <v>146000</v>
      </c>
      <c r="S2454" s="183">
        <v>94700</v>
      </c>
      <c r="T2454" s="184">
        <v>37.6</v>
      </c>
      <c r="U2454" s="183">
        <v>161000</v>
      </c>
      <c r="V2454" s="183">
        <v>237000000000</v>
      </c>
    </row>
    <row r="2455" spans="1:22">
      <c r="A2455" s="175" t="s">
        <v>5076</v>
      </c>
      <c r="B2455" s="175" t="s">
        <v>5076</v>
      </c>
      <c r="C2455" s="183">
        <f t="shared" si="24"/>
        <v>46.609800000000007</v>
      </c>
      <c r="D2455" s="184">
        <v>5930</v>
      </c>
      <c r="E2455" s="184">
        <v>307</v>
      </c>
      <c r="F2455" s="184">
        <v>166</v>
      </c>
      <c r="G2455" s="184">
        <v>6.7</v>
      </c>
      <c r="H2455" s="184">
        <v>11.8</v>
      </c>
      <c r="I2455" s="184"/>
      <c r="J2455" s="184">
        <v>11.4</v>
      </c>
      <c r="K2455" s="184">
        <v>42.3</v>
      </c>
      <c r="L2455" s="184">
        <v>6.75</v>
      </c>
      <c r="M2455" s="183">
        <v>100000000</v>
      </c>
      <c r="N2455" s="183">
        <v>729000</v>
      </c>
      <c r="O2455" s="183">
        <v>654000</v>
      </c>
      <c r="P2455" s="184">
        <v>130</v>
      </c>
      <c r="Q2455" s="183">
        <v>9010000</v>
      </c>
      <c r="R2455" s="183">
        <v>166000</v>
      </c>
      <c r="S2455" s="183">
        <v>109000</v>
      </c>
      <c r="T2455" s="184">
        <v>39</v>
      </c>
      <c r="U2455" s="183">
        <v>233000</v>
      </c>
      <c r="V2455" s="183">
        <v>197000000000</v>
      </c>
    </row>
    <row r="2456" spans="1:22">
      <c r="A2456" s="175" t="s">
        <v>5077</v>
      </c>
      <c r="B2456" s="175" t="s">
        <v>5077</v>
      </c>
      <c r="C2456" s="183">
        <f t="shared" si="24"/>
        <v>40.950600000000001</v>
      </c>
      <c r="D2456" s="184">
        <v>5210</v>
      </c>
      <c r="E2456" s="184">
        <v>304</v>
      </c>
      <c r="F2456" s="184">
        <v>165</v>
      </c>
      <c r="G2456" s="184">
        <v>6.1</v>
      </c>
      <c r="H2456" s="184">
        <v>10.199999999999999</v>
      </c>
      <c r="I2456" s="184"/>
      <c r="J2456" s="184">
        <v>11.4</v>
      </c>
      <c r="K2456" s="184">
        <v>46.5</v>
      </c>
      <c r="L2456" s="184">
        <v>7.79</v>
      </c>
      <c r="M2456" s="183">
        <v>86400000</v>
      </c>
      <c r="N2456" s="183">
        <v>633000</v>
      </c>
      <c r="O2456" s="183">
        <v>569000</v>
      </c>
      <c r="P2456" s="184">
        <v>129</v>
      </c>
      <c r="Q2456" s="183">
        <v>7650000</v>
      </c>
      <c r="R2456" s="183">
        <v>142000</v>
      </c>
      <c r="S2456" s="183">
        <v>92700</v>
      </c>
      <c r="T2456" s="184">
        <v>38.299999999999997</v>
      </c>
      <c r="U2456" s="183">
        <v>157000</v>
      </c>
      <c r="V2456" s="183">
        <v>165000000000</v>
      </c>
    </row>
    <row r="2457" spans="1:22">
      <c r="A2457" s="175" t="s">
        <v>5078</v>
      </c>
      <c r="B2457" s="175" t="s">
        <v>5078</v>
      </c>
      <c r="C2457" s="183">
        <f t="shared" si="24"/>
        <v>32.068800000000003</v>
      </c>
      <c r="D2457" s="184">
        <v>4080</v>
      </c>
      <c r="E2457" s="184">
        <v>298</v>
      </c>
      <c r="F2457" s="184">
        <v>149</v>
      </c>
      <c r="G2457" s="184">
        <v>5.5</v>
      </c>
      <c r="H2457" s="184">
        <v>8</v>
      </c>
      <c r="I2457" s="184"/>
      <c r="J2457" s="184">
        <v>13</v>
      </c>
      <c r="K2457" s="184">
        <v>51.3</v>
      </c>
      <c r="L2457" s="184">
        <v>8.9700000000000006</v>
      </c>
      <c r="M2457" s="183">
        <v>63200000</v>
      </c>
      <c r="N2457" s="183">
        <v>475000</v>
      </c>
      <c r="O2457" s="183">
        <v>424000</v>
      </c>
      <c r="P2457" s="184">
        <v>124</v>
      </c>
      <c r="Q2457" s="183">
        <v>4420000</v>
      </c>
      <c r="R2457" s="183">
        <v>91800</v>
      </c>
      <c r="S2457" s="183">
        <v>59300</v>
      </c>
      <c r="T2457" s="184">
        <v>32.9</v>
      </c>
      <c r="U2457" s="183">
        <v>86500</v>
      </c>
      <c r="V2457" s="183">
        <v>92900000000</v>
      </c>
    </row>
    <row r="2458" spans="1:22">
      <c r="A2458" s="175" t="s">
        <v>5079</v>
      </c>
      <c r="B2458" s="175" t="s">
        <v>5079</v>
      </c>
      <c r="C2458" s="183">
        <f t="shared" si="24"/>
        <v>37.335000000000001</v>
      </c>
      <c r="D2458" s="184">
        <v>4750</v>
      </c>
      <c r="E2458" s="184">
        <v>256</v>
      </c>
      <c r="F2458" s="184">
        <v>146</v>
      </c>
      <c r="G2458" s="184">
        <v>6.4</v>
      </c>
      <c r="H2458" s="184">
        <v>10.9</v>
      </c>
      <c r="I2458" s="184"/>
      <c r="J2458" s="184">
        <v>8.9</v>
      </c>
      <c r="K2458" s="184">
        <v>36.6</v>
      </c>
      <c r="L2458" s="184">
        <v>6.4</v>
      </c>
      <c r="M2458" s="183">
        <v>55700000</v>
      </c>
      <c r="N2458" s="183">
        <v>486000</v>
      </c>
      <c r="O2458" s="183">
        <v>435000</v>
      </c>
      <c r="P2458" s="184">
        <v>108</v>
      </c>
      <c r="Q2458" s="183">
        <v>5660000</v>
      </c>
      <c r="R2458" s="183">
        <v>119000</v>
      </c>
      <c r="S2458" s="183">
        <v>77500</v>
      </c>
      <c r="T2458" s="184">
        <v>34.5</v>
      </c>
      <c r="U2458" s="183">
        <v>158000</v>
      </c>
      <c r="V2458" s="183">
        <v>85200000000</v>
      </c>
    </row>
    <row r="2459" spans="1:22">
      <c r="A2459" s="175" t="s">
        <v>5080</v>
      </c>
      <c r="B2459" s="175" t="s">
        <v>5080</v>
      </c>
      <c r="C2459" s="183">
        <f t="shared" si="24"/>
        <v>31.518600000000003</v>
      </c>
      <c r="D2459" s="184">
        <v>4010</v>
      </c>
      <c r="E2459" s="184">
        <v>252</v>
      </c>
      <c r="F2459" s="184">
        <v>146</v>
      </c>
      <c r="G2459" s="184">
        <v>6.1</v>
      </c>
      <c r="H2459" s="184">
        <v>8.6</v>
      </c>
      <c r="I2459" s="184"/>
      <c r="J2459" s="184">
        <v>8.9</v>
      </c>
      <c r="K2459" s="184">
        <v>38.4</v>
      </c>
      <c r="L2459" s="184">
        <v>8.1300000000000008</v>
      </c>
      <c r="M2459" s="183">
        <v>44500000</v>
      </c>
      <c r="N2459" s="183">
        <v>397000</v>
      </c>
      <c r="O2459" s="183">
        <v>354000</v>
      </c>
      <c r="P2459" s="184">
        <v>105</v>
      </c>
      <c r="Q2459" s="183">
        <v>4470000</v>
      </c>
      <c r="R2459" s="183">
        <v>94200</v>
      </c>
      <c r="S2459" s="183">
        <v>61200</v>
      </c>
      <c r="T2459" s="184">
        <v>33.4</v>
      </c>
      <c r="U2459" s="183">
        <v>89300</v>
      </c>
      <c r="V2459" s="183">
        <v>65900000000.000008</v>
      </c>
    </row>
    <row r="2460" spans="1:22">
      <c r="A2460" s="175" t="s">
        <v>4601</v>
      </c>
      <c r="B2460" s="175" t="s">
        <v>4601</v>
      </c>
      <c r="C2460" s="183">
        <f t="shared" si="24"/>
        <v>25.702200000000001</v>
      </c>
      <c r="D2460" s="184">
        <v>3270</v>
      </c>
      <c r="E2460" s="184">
        <v>248</v>
      </c>
      <c r="F2460" s="184">
        <v>124</v>
      </c>
      <c r="G2460" s="184">
        <v>5</v>
      </c>
      <c r="H2460" s="184">
        <v>8</v>
      </c>
      <c r="I2460" s="184"/>
      <c r="J2460" s="184">
        <v>12</v>
      </c>
      <c r="K2460" s="184">
        <v>46.4</v>
      </c>
      <c r="L2460" s="184">
        <v>7.44</v>
      </c>
      <c r="M2460" s="183">
        <v>35400000</v>
      </c>
      <c r="N2460" s="183">
        <v>319000</v>
      </c>
      <c r="O2460" s="183">
        <v>285000</v>
      </c>
      <c r="P2460" s="184">
        <v>104</v>
      </c>
      <c r="Q2460" s="183">
        <v>2550000</v>
      </c>
      <c r="R2460" s="183">
        <v>63600</v>
      </c>
      <c r="S2460" s="183">
        <v>41100</v>
      </c>
      <c r="T2460" s="184">
        <v>27.9</v>
      </c>
      <c r="U2460" s="183">
        <v>67400</v>
      </c>
      <c r="V2460" s="183">
        <v>36700000000</v>
      </c>
    </row>
    <row r="2461" spans="1:22">
      <c r="A2461" s="175" t="s">
        <v>5081</v>
      </c>
      <c r="B2461" s="175" t="s">
        <v>5081</v>
      </c>
      <c r="C2461" s="183">
        <f t="shared" si="24"/>
        <v>30.025200000000002</v>
      </c>
      <c r="D2461" s="184">
        <v>3820</v>
      </c>
      <c r="E2461" s="184">
        <v>207</v>
      </c>
      <c r="F2461" s="184">
        <v>134</v>
      </c>
      <c r="G2461" s="184">
        <v>6.3</v>
      </c>
      <c r="H2461" s="184">
        <v>9.6</v>
      </c>
      <c r="I2461" s="184"/>
      <c r="J2461" s="184">
        <v>8.9</v>
      </c>
      <c r="K2461" s="184">
        <v>29.8</v>
      </c>
      <c r="L2461" s="184">
        <v>6.65</v>
      </c>
      <c r="M2461" s="183">
        <v>29100000</v>
      </c>
      <c r="N2461" s="183">
        <v>316000</v>
      </c>
      <c r="O2461" s="183">
        <v>281000</v>
      </c>
      <c r="P2461" s="184">
        <v>87.3</v>
      </c>
      <c r="Q2461" s="183">
        <v>3860000</v>
      </c>
      <c r="R2461" s="183">
        <v>88400</v>
      </c>
      <c r="S2461" s="183">
        <v>57500</v>
      </c>
      <c r="T2461" s="184">
        <v>31.8</v>
      </c>
      <c r="U2461" s="183">
        <v>105000</v>
      </c>
      <c r="V2461" s="183">
        <v>37600000000</v>
      </c>
    </row>
    <row r="2462" spans="1:22">
      <c r="A2462" s="175" t="s">
        <v>5082</v>
      </c>
      <c r="B2462" s="175" t="s">
        <v>5082</v>
      </c>
      <c r="C2462" s="183">
        <f t="shared" si="24"/>
        <v>25.387800000000002</v>
      </c>
      <c r="D2462" s="184">
        <v>3230</v>
      </c>
      <c r="E2462" s="184">
        <v>203</v>
      </c>
      <c r="F2462" s="184">
        <v>133</v>
      </c>
      <c r="G2462" s="184">
        <v>5.8</v>
      </c>
      <c r="H2462" s="184">
        <v>7.8</v>
      </c>
      <c r="I2462" s="184"/>
      <c r="J2462" s="184">
        <v>8.9</v>
      </c>
      <c r="K2462" s="184">
        <v>32.299999999999997</v>
      </c>
      <c r="L2462" s="184">
        <v>8.15</v>
      </c>
      <c r="M2462" s="183">
        <v>23600000</v>
      </c>
      <c r="N2462" s="183">
        <v>260000</v>
      </c>
      <c r="O2462" s="183">
        <v>232000</v>
      </c>
      <c r="P2462" s="184">
        <v>85.4</v>
      </c>
      <c r="Q2462" s="183">
        <v>3060000</v>
      </c>
      <c r="R2462" s="183">
        <v>70900</v>
      </c>
      <c r="S2462" s="183">
        <v>46100</v>
      </c>
      <c r="T2462" s="184">
        <v>30.8</v>
      </c>
      <c r="U2462" s="183">
        <v>62700</v>
      </c>
      <c r="V2462" s="183">
        <v>29200000000</v>
      </c>
    </row>
    <row r="2463" spans="1:22">
      <c r="A2463" s="175" t="s">
        <v>5083</v>
      </c>
      <c r="B2463" s="175" t="s">
        <v>5083</v>
      </c>
      <c r="C2463" s="183">
        <f t="shared" si="24"/>
        <v>22.558200000000003</v>
      </c>
      <c r="D2463" s="184">
        <v>2870</v>
      </c>
      <c r="E2463" s="184">
        <v>202</v>
      </c>
      <c r="F2463" s="184">
        <v>133</v>
      </c>
      <c r="G2463" s="184">
        <v>5</v>
      </c>
      <c r="H2463" s="184">
        <v>7</v>
      </c>
      <c r="I2463" s="184"/>
      <c r="J2463" s="184">
        <v>8.9</v>
      </c>
      <c r="K2463" s="184">
        <v>37.5</v>
      </c>
      <c r="L2463" s="184">
        <v>9.14</v>
      </c>
      <c r="M2463" s="183">
        <v>21000000</v>
      </c>
      <c r="N2463" s="183">
        <v>231000</v>
      </c>
      <c r="O2463" s="183">
        <v>208000</v>
      </c>
      <c r="P2463" s="184">
        <v>85.5</v>
      </c>
      <c r="Q2463" s="183">
        <v>2750000</v>
      </c>
      <c r="R2463" s="183">
        <v>63400</v>
      </c>
      <c r="S2463" s="183">
        <v>41300</v>
      </c>
      <c r="T2463" s="184">
        <v>31</v>
      </c>
      <c r="U2463" s="183">
        <v>45000</v>
      </c>
      <c r="V2463" s="183">
        <v>26000000000</v>
      </c>
    </row>
    <row r="2464" spans="1:22">
      <c r="A2464" s="175" t="s">
        <v>5084</v>
      </c>
      <c r="B2464" s="175" t="s">
        <v>5084</v>
      </c>
      <c r="C2464" s="183">
        <f t="shared" si="24"/>
        <v>18.235200000000003</v>
      </c>
      <c r="D2464" s="184">
        <v>2320</v>
      </c>
      <c r="E2464" s="184">
        <v>198</v>
      </c>
      <c r="F2464" s="184">
        <v>99</v>
      </c>
      <c r="G2464" s="184">
        <v>4.5</v>
      </c>
      <c r="H2464" s="184">
        <v>7</v>
      </c>
      <c r="I2464" s="184"/>
      <c r="J2464" s="184">
        <v>11</v>
      </c>
      <c r="K2464" s="184">
        <v>40.9</v>
      </c>
      <c r="L2464" s="184">
        <v>6.75</v>
      </c>
      <c r="M2464" s="183">
        <v>15800000</v>
      </c>
      <c r="N2464" s="183">
        <v>180000</v>
      </c>
      <c r="O2464" s="183">
        <v>160000</v>
      </c>
      <c r="P2464" s="184">
        <v>82.6</v>
      </c>
      <c r="Q2464" s="183">
        <v>1140000</v>
      </c>
      <c r="R2464" s="183">
        <v>35700</v>
      </c>
      <c r="S2464" s="183">
        <v>23000</v>
      </c>
      <c r="T2464" s="184">
        <v>22.1</v>
      </c>
      <c r="U2464" s="183">
        <v>38600</v>
      </c>
      <c r="V2464" s="183">
        <v>10400000000</v>
      </c>
    </row>
    <row r="2465" spans="1:22">
      <c r="A2465" s="175" t="s">
        <v>5085</v>
      </c>
      <c r="B2465" s="175" t="s">
        <v>5085</v>
      </c>
      <c r="C2465" s="183">
        <f t="shared" si="24"/>
        <v>22.165200000000002</v>
      </c>
      <c r="D2465" s="184">
        <v>2820</v>
      </c>
      <c r="E2465" s="184">
        <v>179</v>
      </c>
      <c r="F2465" s="184">
        <v>90</v>
      </c>
      <c r="G2465" s="184">
        <v>6</v>
      </c>
      <c r="H2465" s="184">
        <v>10</v>
      </c>
      <c r="I2465" s="184"/>
      <c r="J2465" s="184">
        <v>8.9</v>
      </c>
      <c r="K2465" s="184">
        <v>26.5</v>
      </c>
      <c r="L2465" s="184">
        <v>4.2</v>
      </c>
      <c r="M2465" s="183">
        <v>15300000</v>
      </c>
      <c r="N2465" s="183">
        <v>195000</v>
      </c>
      <c r="O2465" s="183">
        <v>171000</v>
      </c>
      <c r="P2465" s="184">
        <v>73.599999999999994</v>
      </c>
      <c r="Q2465" s="183">
        <v>1220000</v>
      </c>
      <c r="R2465" s="183">
        <v>42300</v>
      </c>
      <c r="S2465" s="183">
        <v>27100</v>
      </c>
      <c r="T2465" s="184">
        <v>20.8</v>
      </c>
      <c r="U2465" s="183">
        <v>81600</v>
      </c>
      <c r="V2465" s="183">
        <v>8710000000</v>
      </c>
    </row>
    <row r="2466" spans="1:22">
      <c r="A2466" s="175" t="s">
        <v>5086</v>
      </c>
      <c r="B2466" s="175" t="s">
        <v>5086</v>
      </c>
      <c r="C2466" s="183">
        <f t="shared" si="24"/>
        <v>18.078000000000003</v>
      </c>
      <c r="D2466" s="184">
        <v>2300</v>
      </c>
      <c r="E2466" s="184">
        <v>175</v>
      </c>
      <c r="F2466" s="184">
        <v>90</v>
      </c>
      <c r="G2466" s="184">
        <v>5</v>
      </c>
      <c r="H2466" s="184">
        <v>8</v>
      </c>
      <c r="I2466" s="184"/>
      <c r="J2466" s="184">
        <v>8.9</v>
      </c>
      <c r="K2466" s="184">
        <v>31.8</v>
      </c>
      <c r="L2466" s="184">
        <v>5.31</v>
      </c>
      <c r="M2466" s="183">
        <v>12100000</v>
      </c>
      <c r="N2466" s="183">
        <v>157000</v>
      </c>
      <c r="O2466" s="183">
        <v>139000</v>
      </c>
      <c r="P2466" s="184">
        <v>72.599999999999994</v>
      </c>
      <c r="Q2466" s="183">
        <v>975000</v>
      </c>
      <c r="R2466" s="183">
        <v>33700</v>
      </c>
      <c r="S2466" s="183">
        <v>21700</v>
      </c>
      <c r="T2466" s="184">
        <v>20.6</v>
      </c>
      <c r="U2466" s="183">
        <v>44800</v>
      </c>
      <c r="V2466" s="183">
        <v>6800000000</v>
      </c>
    </row>
    <row r="2467" spans="1:22">
      <c r="A2467" s="175" t="s">
        <v>5087</v>
      </c>
      <c r="B2467" s="175" t="s">
        <v>5087</v>
      </c>
      <c r="C2467" s="183">
        <f t="shared" si="24"/>
        <v>16.034400000000002</v>
      </c>
      <c r="D2467" s="184">
        <v>2040</v>
      </c>
      <c r="E2467" s="184">
        <v>173</v>
      </c>
      <c r="F2467" s="184">
        <v>90</v>
      </c>
      <c r="G2467" s="184">
        <v>4.5</v>
      </c>
      <c r="H2467" s="184">
        <v>7</v>
      </c>
      <c r="I2467" s="184"/>
      <c r="J2467" s="184">
        <v>8.9</v>
      </c>
      <c r="K2467" s="184">
        <v>35.299999999999997</v>
      </c>
      <c r="L2467" s="184">
        <v>6.11</v>
      </c>
      <c r="M2467" s="183">
        <v>10600000</v>
      </c>
      <c r="N2467" s="183">
        <v>138000</v>
      </c>
      <c r="O2467" s="183">
        <v>123000</v>
      </c>
      <c r="P2467" s="184">
        <v>72</v>
      </c>
      <c r="Q2467" s="183">
        <v>853000</v>
      </c>
      <c r="R2467" s="183">
        <v>29400</v>
      </c>
      <c r="S2467" s="183">
        <v>19000</v>
      </c>
      <c r="T2467" s="184">
        <v>20.399999999999999</v>
      </c>
      <c r="U2467" s="183">
        <v>31500</v>
      </c>
      <c r="V2467" s="183">
        <v>5880000000</v>
      </c>
    </row>
    <row r="2468" spans="1:22">
      <c r="A2468" s="175" t="s">
        <v>5088</v>
      </c>
      <c r="B2468" s="175" t="s">
        <v>5088</v>
      </c>
      <c r="C2468" s="183">
        <f t="shared" si="24"/>
        <v>18.078000000000003</v>
      </c>
      <c r="D2468" s="184">
        <v>2300</v>
      </c>
      <c r="E2468" s="184">
        <v>155</v>
      </c>
      <c r="F2468" s="184">
        <v>75</v>
      </c>
      <c r="G2468" s="184">
        <v>6</v>
      </c>
      <c r="H2468" s="184">
        <v>9.5</v>
      </c>
      <c r="I2468" s="184"/>
      <c r="J2468" s="184">
        <v>8</v>
      </c>
      <c r="K2468" s="184">
        <v>22.7</v>
      </c>
      <c r="L2468" s="184">
        <v>3.63</v>
      </c>
      <c r="M2468" s="183">
        <v>9050000</v>
      </c>
      <c r="N2468" s="183">
        <v>135000</v>
      </c>
      <c r="O2468" s="183">
        <v>117000</v>
      </c>
      <c r="P2468" s="184">
        <v>62.8</v>
      </c>
      <c r="Q2468" s="183">
        <v>672000</v>
      </c>
      <c r="R2468" s="183">
        <v>28200</v>
      </c>
      <c r="S2468" s="183">
        <v>17900</v>
      </c>
      <c r="T2468" s="184">
        <v>17.100000000000001</v>
      </c>
      <c r="U2468" s="183">
        <v>60500</v>
      </c>
      <c r="V2468" s="183">
        <v>3560000000</v>
      </c>
    </row>
    <row r="2469" spans="1:22">
      <c r="A2469" s="175" t="s">
        <v>5089</v>
      </c>
      <c r="B2469" s="175" t="s">
        <v>5089</v>
      </c>
      <c r="C2469" s="183">
        <f t="shared" si="24"/>
        <v>13.990800000000002</v>
      </c>
      <c r="D2469" s="184">
        <v>1780</v>
      </c>
      <c r="E2469" s="184">
        <v>150</v>
      </c>
      <c r="F2469" s="184">
        <v>75</v>
      </c>
      <c r="G2469" s="184">
        <v>5</v>
      </c>
      <c r="H2469" s="184">
        <v>7</v>
      </c>
      <c r="I2469" s="184"/>
      <c r="J2469" s="184">
        <v>8</v>
      </c>
      <c r="K2469" s="184">
        <v>27.2</v>
      </c>
      <c r="L2469" s="184">
        <v>5</v>
      </c>
      <c r="M2469" s="183">
        <v>6660000</v>
      </c>
      <c r="N2469" s="183">
        <v>102000</v>
      </c>
      <c r="O2469" s="183">
        <v>88800</v>
      </c>
      <c r="P2469" s="184">
        <v>61.1</v>
      </c>
      <c r="Q2469" s="183">
        <v>495000</v>
      </c>
      <c r="R2469" s="183">
        <v>20800</v>
      </c>
      <c r="S2469" s="183">
        <v>13200</v>
      </c>
      <c r="T2469" s="184">
        <v>16.600000000000001</v>
      </c>
      <c r="U2469" s="183">
        <v>28100</v>
      </c>
      <c r="V2469" s="183">
        <v>2530000000</v>
      </c>
    </row>
    <row r="2470" spans="1:22">
      <c r="A2470" s="176" t="s">
        <v>5090</v>
      </c>
      <c r="B2470" s="176" t="s">
        <v>5090</v>
      </c>
      <c r="C2470" s="185">
        <v>16.899999999999999</v>
      </c>
      <c r="D2470" s="185">
        <v>2159</v>
      </c>
      <c r="E2470" s="186">
        <v>100</v>
      </c>
      <c r="F2470" s="185">
        <v>100</v>
      </c>
      <c r="G2470" s="185">
        <v>6</v>
      </c>
      <c r="H2470" s="185">
        <v>8</v>
      </c>
      <c r="I2470" s="185"/>
      <c r="J2470" s="185">
        <v>8</v>
      </c>
      <c r="K2470" s="185">
        <f>F2470/2/H2470</f>
        <v>6.25</v>
      </c>
      <c r="L2470" s="185">
        <f>(E2470-2*H2470-2*J2470)/G2470</f>
        <v>11.333333333333334</v>
      </c>
      <c r="M2470" s="185">
        <v>3780000</v>
      </c>
      <c r="N2470" s="185">
        <v>86000</v>
      </c>
      <c r="O2470" s="185">
        <v>76000</v>
      </c>
      <c r="P2470" s="185">
        <v>41.8</v>
      </c>
      <c r="Q2470" s="185">
        <v>1340000</v>
      </c>
      <c r="R2470" s="185">
        <v>41000</v>
      </c>
      <c r="S2470" s="185">
        <v>27000</v>
      </c>
      <c r="T2470" s="185">
        <v>24.900000000000002</v>
      </c>
      <c r="U2470" s="185"/>
      <c r="V2470" s="185"/>
    </row>
    <row r="2471" spans="1:22">
      <c r="A2471" s="176" t="s">
        <v>5091</v>
      </c>
      <c r="B2471" s="176" t="s">
        <v>5091</v>
      </c>
      <c r="C2471" s="185">
        <v>23.6</v>
      </c>
      <c r="D2471" s="185">
        <v>3000</v>
      </c>
      <c r="E2471" s="186">
        <v>125</v>
      </c>
      <c r="F2471" s="185">
        <v>125</v>
      </c>
      <c r="G2471" s="185">
        <v>6.5</v>
      </c>
      <c r="H2471" s="185">
        <v>9</v>
      </c>
      <c r="I2471" s="185"/>
      <c r="J2471" s="185">
        <v>8</v>
      </c>
      <c r="K2471" s="185">
        <f t="shared" ref="K2471:K2534" si="25">F2471/2/H2471</f>
        <v>6.9444444444444446</v>
      </c>
      <c r="L2471" s="185">
        <f t="shared" ref="L2471:L2534" si="26">(E2471-2*H2471-2*J2471)/G2471</f>
        <v>14</v>
      </c>
      <c r="M2471" s="185">
        <v>8390000</v>
      </c>
      <c r="N2471" s="185">
        <v>152000</v>
      </c>
      <c r="O2471" s="185">
        <v>134000</v>
      </c>
      <c r="P2471" s="185">
        <v>52.9</v>
      </c>
      <c r="Q2471" s="185">
        <v>2930000</v>
      </c>
      <c r="R2471" s="185">
        <v>72000</v>
      </c>
      <c r="S2471" s="185">
        <v>47000</v>
      </c>
      <c r="T2471" s="185">
        <v>31.299999999999997</v>
      </c>
      <c r="U2471" s="185"/>
      <c r="V2471" s="185"/>
    </row>
    <row r="2472" spans="1:22">
      <c r="A2472" s="176" t="s">
        <v>5092</v>
      </c>
      <c r="B2472" s="176" t="s">
        <v>5092</v>
      </c>
      <c r="C2472" s="185">
        <v>14</v>
      </c>
      <c r="D2472" s="185">
        <v>1785.0000000000002</v>
      </c>
      <c r="E2472" s="185">
        <v>150</v>
      </c>
      <c r="F2472" s="185">
        <v>75</v>
      </c>
      <c r="G2472" s="185">
        <v>5</v>
      </c>
      <c r="H2472" s="185">
        <v>7</v>
      </c>
      <c r="I2472" s="185"/>
      <c r="J2472" s="185">
        <v>8</v>
      </c>
      <c r="K2472" s="185">
        <f t="shared" si="25"/>
        <v>5.3571428571428568</v>
      </c>
      <c r="L2472" s="185">
        <f t="shared" si="26"/>
        <v>24</v>
      </c>
      <c r="M2472" s="185">
        <v>6660000</v>
      </c>
      <c r="N2472" s="185">
        <v>102000</v>
      </c>
      <c r="O2472" s="185">
        <v>89000</v>
      </c>
      <c r="P2472" s="185">
        <v>61.1</v>
      </c>
      <c r="Q2472" s="185">
        <v>500000</v>
      </c>
      <c r="R2472" s="185">
        <v>21000</v>
      </c>
      <c r="S2472" s="185">
        <v>13000</v>
      </c>
      <c r="T2472" s="185">
        <v>16.599999999999998</v>
      </c>
      <c r="U2472" s="185"/>
      <c r="V2472" s="185"/>
    </row>
    <row r="2473" spans="1:22">
      <c r="A2473" s="176" t="s">
        <v>5093</v>
      </c>
      <c r="B2473" s="176" t="s">
        <v>5093</v>
      </c>
      <c r="C2473" s="185">
        <v>20.7</v>
      </c>
      <c r="D2473" s="185">
        <v>2635</v>
      </c>
      <c r="E2473" s="185">
        <v>148</v>
      </c>
      <c r="F2473" s="185">
        <v>100</v>
      </c>
      <c r="G2473" s="185">
        <v>6</v>
      </c>
      <c r="H2473" s="185">
        <v>9</v>
      </c>
      <c r="I2473" s="185"/>
      <c r="J2473" s="185">
        <v>8</v>
      </c>
      <c r="K2473" s="185">
        <f t="shared" si="25"/>
        <v>5.5555555555555554</v>
      </c>
      <c r="L2473" s="185">
        <f t="shared" si="26"/>
        <v>19</v>
      </c>
      <c r="M2473" s="185">
        <v>10000000</v>
      </c>
      <c r="N2473" s="185">
        <v>154000</v>
      </c>
      <c r="O2473" s="185">
        <v>135000</v>
      </c>
      <c r="P2473" s="185">
        <v>61.7</v>
      </c>
      <c r="Q2473" s="185">
        <v>1500000</v>
      </c>
      <c r="R2473" s="185">
        <v>46000</v>
      </c>
      <c r="S2473" s="185">
        <v>30000</v>
      </c>
      <c r="T2473" s="185">
        <v>23.900000000000002</v>
      </c>
      <c r="U2473" s="185"/>
      <c r="V2473" s="185"/>
    </row>
    <row r="2474" spans="1:22">
      <c r="A2474" s="176" t="s">
        <v>5094</v>
      </c>
      <c r="B2474" s="176" t="s">
        <v>5094</v>
      </c>
      <c r="C2474" s="185">
        <v>31.1</v>
      </c>
      <c r="D2474" s="185">
        <v>3935</v>
      </c>
      <c r="E2474" s="185">
        <v>150</v>
      </c>
      <c r="F2474" s="185">
        <v>150</v>
      </c>
      <c r="G2474" s="185">
        <v>7</v>
      </c>
      <c r="H2474" s="185">
        <v>10</v>
      </c>
      <c r="I2474" s="185"/>
      <c r="J2474" s="185">
        <v>8</v>
      </c>
      <c r="K2474" s="185">
        <f t="shared" si="25"/>
        <v>7.5</v>
      </c>
      <c r="L2474" s="185">
        <f t="shared" si="26"/>
        <v>16.285714285714285</v>
      </c>
      <c r="M2474" s="185">
        <v>16200000</v>
      </c>
      <c r="N2474" s="185">
        <v>243000</v>
      </c>
      <c r="O2474" s="185">
        <v>216000</v>
      </c>
      <c r="P2474" s="185">
        <v>64</v>
      </c>
      <c r="Q2474" s="185">
        <v>5630000</v>
      </c>
      <c r="R2474" s="185">
        <v>114000</v>
      </c>
      <c r="S2474" s="185">
        <v>75000</v>
      </c>
      <c r="T2474" s="185">
        <v>37.700000000000003</v>
      </c>
      <c r="U2474" s="185"/>
      <c r="V2474" s="185"/>
    </row>
    <row r="2475" spans="1:22">
      <c r="A2475" s="176" t="s">
        <v>5095</v>
      </c>
      <c r="B2475" s="176" t="s">
        <v>5095</v>
      </c>
      <c r="C2475" s="185">
        <v>18</v>
      </c>
      <c r="D2475" s="185">
        <v>2290</v>
      </c>
      <c r="E2475" s="185">
        <v>175</v>
      </c>
      <c r="F2475" s="185">
        <v>90</v>
      </c>
      <c r="G2475" s="185">
        <v>5</v>
      </c>
      <c r="H2475" s="185">
        <v>8</v>
      </c>
      <c r="I2475" s="185"/>
      <c r="J2475" s="185">
        <v>8</v>
      </c>
      <c r="K2475" s="185">
        <f t="shared" si="25"/>
        <v>5.625</v>
      </c>
      <c r="L2475" s="185">
        <f t="shared" si="26"/>
        <v>28.6</v>
      </c>
      <c r="M2475" s="185">
        <v>12100000</v>
      </c>
      <c r="N2475" s="185">
        <v>156000</v>
      </c>
      <c r="O2475" s="185">
        <v>138000</v>
      </c>
      <c r="P2475" s="185">
        <v>72.599999999999994</v>
      </c>
      <c r="Q2475" s="185">
        <v>980000</v>
      </c>
      <c r="R2475" s="185">
        <v>34000</v>
      </c>
      <c r="S2475" s="185">
        <v>22000</v>
      </c>
      <c r="T2475" s="185">
        <v>20.6</v>
      </c>
      <c r="U2475" s="185"/>
      <c r="V2475" s="185"/>
    </row>
    <row r="2476" spans="1:22">
      <c r="A2476" s="176" t="s">
        <v>5096</v>
      </c>
      <c r="B2476" s="176" t="s">
        <v>5096</v>
      </c>
      <c r="C2476" s="185">
        <v>40.4</v>
      </c>
      <c r="D2476" s="185">
        <v>5142</v>
      </c>
      <c r="E2476" s="185">
        <v>175</v>
      </c>
      <c r="F2476" s="185">
        <v>175</v>
      </c>
      <c r="G2476" s="185">
        <v>7.5</v>
      </c>
      <c r="H2476" s="185">
        <v>11</v>
      </c>
      <c r="I2476" s="185"/>
      <c r="J2476" s="185">
        <v>13</v>
      </c>
      <c r="K2476" s="185">
        <f t="shared" si="25"/>
        <v>7.9545454545454541</v>
      </c>
      <c r="L2476" s="185">
        <f t="shared" si="26"/>
        <v>16.933333333333334</v>
      </c>
      <c r="M2476" s="185">
        <v>29000000</v>
      </c>
      <c r="N2476" s="185">
        <v>371000</v>
      </c>
      <c r="O2476" s="185">
        <v>331000</v>
      </c>
      <c r="P2476" s="185">
        <v>75</v>
      </c>
      <c r="Q2476" s="185">
        <v>9840000</v>
      </c>
      <c r="R2476" s="185">
        <v>171000</v>
      </c>
      <c r="S2476" s="185">
        <v>112000</v>
      </c>
      <c r="T2476" s="185">
        <v>43.7</v>
      </c>
      <c r="U2476" s="185"/>
      <c r="V2476" s="185"/>
    </row>
    <row r="2477" spans="1:22">
      <c r="A2477" s="176" t="s">
        <v>5097</v>
      </c>
      <c r="B2477" s="176" t="s">
        <v>5097</v>
      </c>
      <c r="C2477" s="185">
        <v>17.8</v>
      </c>
      <c r="D2477" s="185">
        <v>2269</v>
      </c>
      <c r="E2477" s="185">
        <v>198</v>
      </c>
      <c r="F2477" s="185">
        <v>99</v>
      </c>
      <c r="G2477" s="185">
        <v>4.5</v>
      </c>
      <c r="H2477" s="185">
        <v>7</v>
      </c>
      <c r="I2477" s="185"/>
      <c r="J2477" s="185">
        <v>8</v>
      </c>
      <c r="K2477" s="185">
        <f t="shared" si="25"/>
        <v>7.0714285714285712</v>
      </c>
      <c r="L2477" s="185">
        <f t="shared" si="26"/>
        <v>37.333333333333336</v>
      </c>
      <c r="M2477" s="185">
        <v>15400000</v>
      </c>
      <c r="N2477" s="185">
        <v>176000</v>
      </c>
      <c r="O2477" s="185">
        <v>156000</v>
      </c>
      <c r="P2477" s="185">
        <v>82.5</v>
      </c>
      <c r="Q2477" s="185">
        <v>1130000</v>
      </c>
      <c r="R2477" s="185">
        <v>35000</v>
      </c>
      <c r="S2477" s="185">
        <v>23000</v>
      </c>
      <c r="T2477" s="185">
        <v>22.400000000000002</v>
      </c>
      <c r="U2477" s="185"/>
      <c r="V2477" s="185"/>
    </row>
    <row r="2478" spans="1:22">
      <c r="A2478" s="176" t="s">
        <v>5098</v>
      </c>
      <c r="B2478" s="176" t="s">
        <v>5098</v>
      </c>
      <c r="C2478" s="185">
        <v>20.9</v>
      </c>
      <c r="D2478" s="185">
        <v>2667</v>
      </c>
      <c r="E2478" s="185">
        <v>200</v>
      </c>
      <c r="F2478" s="185">
        <v>100</v>
      </c>
      <c r="G2478" s="185">
        <v>5.5</v>
      </c>
      <c r="H2478" s="185">
        <v>8</v>
      </c>
      <c r="I2478" s="185"/>
      <c r="J2478" s="185">
        <v>8</v>
      </c>
      <c r="K2478" s="185">
        <f t="shared" si="25"/>
        <v>6.25</v>
      </c>
      <c r="L2478" s="185">
        <f t="shared" si="26"/>
        <v>30.545454545454547</v>
      </c>
      <c r="M2478" s="185">
        <v>18100000</v>
      </c>
      <c r="N2478" s="185">
        <v>205000</v>
      </c>
      <c r="O2478" s="185">
        <v>181000</v>
      </c>
      <c r="P2478" s="185">
        <v>82.300000000000011</v>
      </c>
      <c r="Q2478" s="185">
        <v>1340000</v>
      </c>
      <c r="R2478" s="185">
        <v>42000</v>
      </c>
      <c r="S2478" s="185">
        <v>27000</v>
      </c>
      <c r="T2478" s="185">
        <v>22.400000000000002</v>
      </c>
      <c r="U2478" s="185"/>
      <c r="V2478" s="185"/>
    </row>
    <row r="2479" spans="1:22">
      <c r="A2479" s="176" t="s">
        <v>5099</v>
      </c>
      <c r="B2479" s="176" t="s">
        <v>5099</v>
      </c>
      <c r="C2479" s="185">
        <v>29.9</v>
      </c>
      <c r="D2479" s="185">
        <v>3811</v>
      </c>
      <c r="E2479" s="185">
        <v>194</v>
      </c>
      <c r="F2479" s="185">
        <v>150</v>
      </c>
      <c r="G2479" s="185">
        <v>6</v>
      </c>
      <c r="H2479" s="185">
        <v>9</v>
      </c>
      <c r="I2479" s="185"/>
      <c r="J2479" s="185">
        <v>8</v>
      </c>
      <c r="K2479" s="185">
        <f t="shared" si="25"/>
        <v>8.3333333333333339</v>
      </c>
      <c r="L2479" s="185">
        <f t="shared" si="26"/>
        <v>26.666666666666668</v>
      </c>
      <c r="M2479" s="185">
        <v>26300000</v>
      </c>
      <c r="N2479" s="185">
        <v>301000</v>
      </c>
      <c r="O2479" s="185">
        <v>271000</v>
      </c>
      <c r="P2479" s="185">
        <v>83</v>
      </c>
      <c r="Q2479" s="185">
        <v>5070000</v>
      </c>
      <c r="R2479" s="185">
        <v>103000</v>
      </c>
      <c r="S2479" s="185">
        <v>68000</v>
      </c>
      <c r="T2479" s="185">
        <v>36.5</v>
      </c>
      <c r="U2479" s="185"/>
      <c r="V2479" s="185"/>
    </row>
    <row r="2480" spans="1:22">
      <c r="A2480" s="176" t="s">
        <v>4745</v>
      </c>
      <c r="B2480" s="176" t="s">
        <v>4745</v>
      </c>
      <c r="C2480" s="185">
        <v>49.9</v>
      </c>
      <c r="D2480" s="185">
        <v>6353</v>
      </c>
      <c r="E2480" s="185">
        <v>200</v>
      </c>
      <c r="F2480" s="185">
        <v>200</v>
      </c>
      <c r="G2480" s="185">
        <v>8</v>
      </c>
      <c r="H2480" s="185">
        <v>12</v>
      </c>
      <c r="I2480" s="185"/>
      <c r="J2480" s="185">
        <v>13</v>
      </c>
      <c r="K2480" s="185">
        <f t="shared" si="25"/>
        <v>8.3333333333333339</v>
      </c>
      <c r="L2480" s="185">
        <f t="shared" si="26"/>
        <v>18.75</v>
      </c>
      <c r="M2480" s="185">
        <v>47200000</v>
      </c>
      <c r="N2480" s="185">
        <v>526000</v>
      </c>
      <c r="O2480" s="185">
        <v>472000</v>
      </c>
      <c r="P2480" s="185">
        <v>86.199999999999989</v>
      </c>
      <c r="Q2480" s="185">
        <v>16000000</v>
      </c>
      <c r="R2480" s="185">
        <v>243000</v>
      </c>
      <c r="S2480" s="185">
        <v>160000</v>
      </c>
      <c r="T2480" s="185">
        <v>50.199999999999996</v>
      </c>
      <c r="U2480" s="185"/>
      <c r="V2480" s="185"/>
    </row>
    <row r="2481" spans="1:22">
      <c r="A2481" s="176" t="s">
        <v>5100</v>
      </c>
      <c r="B2481" s="176" t="s">
        <v>5100</v>
      </c>
      <c r="C2481" s="185">
        <v>56.2</v>
      </c>
      <c r="D2481" s="185">
        <v>7153</v>
      </c>
      <c r="E2481" s="185">
        <v>200</v>
      </c>
      <c r="F2481" s="185">
        <v>204</v>
      </c>
      <c r="G2481" s="185">
        <v>12</v>
      </c>
      <c r="H2481" s="185">
        <v>12</v>
      </c>
      <c r="I2481" s="185"/>
      <c r="J2481" s="185">
        <v>13</v>
      </c>
      <c r="K2481" s="185">
        <f t="shared" si="25"/>
        <v>8.5</v>
      </c>
      <c r="L2481" s="185">
        <f t="shared" si="26"/>
        <v>12.5</v>
      </c>
      <c r="M2481" s="185">
        <v>49800000</v>
      </c>
      <c r="N2481" s="185">
        <v>566000</v>
      </c>
      <c r="O2481" s="185">
        <v>498000</v>
      </c>
      <c r="P2481" s="185">
        <v>83.5</v>
      </c>
      <c r="Q2481" s="185">
        <v>17000000</v>
      </c>
      <c r="R2481" s="185">
        <v>257000</v>
      </c>
      <c r="S2481" s="185">
        <v>167000</v>
      </c>
      <c r="T2481" s="185">
        <v>48.8</v>
      </c>
      <c r="U2481" s="185"/>
      <c r="V2481" s="185"/>
    </row>
    <row r="2482" spans="1:22">
      <c r="A2482" s="176" t="s">
        <v>5101</v>
      </c>
      <c r="B2482" s="176" t="s">
        <v>5101</v>
      </c>
      <c r="C2482" s="185">
        <v>25.1</v>
      </c>
      <c r="D2482" s="185">
        <v>3199</v>
      </c>
      <c r="E2482" s="185">
        <v>248</v>
      </c>
      <c r="F2482" s="185">
        <v>124</v>
      </c>
      <c r="G2482" s="185">
        <v>5</v>
      </c>
      <c r="H2482" s="185">
        <v>8</v>
      </c>
      <c r="I2482" s="185"/>
      <c r="J2482" s="185">
        <v>8</v>
      </c>
      <c r="K2482" s="185">
        <f t="shared" si="25"/>
        <v>7.75</v>
      </c>
      <c r="L2482" s="185">
        <f t="shared" si="26"/>
        <v>43.2</v>
      </c>
      <c r="M2482" s="185">
        <v>34500000</v>
      </c>
      <c r="N2482" s="185">
        <v>312000</v>
      </c>
      <c r="O2482" s="185">
        <v>278000</v>
      </c>
      <c r="P2482" s="185">
        <v>104</v>
      </c>
      <c r="Q2482" s="185">
        <v>2550000</v>
      </c>
      <c r="R2482" s="185">
        <v>63000</v>
      </c>
      <c r="S2482" s="185">
        <v>41000</v>
      </c>
      <c r="T2482" s="185">
        <v>28.2</v>
      </c>
      <c r="U2482" s="185"/>
      <c r="V2482" s="185"/>
    </row>
    <row r="2483" spans="1:22">
      <c r="A2483" s="176" t="s">
        <v>5102</v>
      </c>
      <c r="B2483" s="176" t="s">
        <v>5102</v>
      </c>
      <c r="C2483" s="185">
        <v>29</v>
      </c>
      <c r="D2483" s="185">
        <v>3697</v>
      </c>
      <c r="E2483" s="185">
        <v>250</v>
      </c>
      <c r="F2483" s="185">
        <v>125</v>
      </c>
      <c r="G2483" s="185">
        <v>6</v>
      </c>
      <c r="H2483" s="185">
        <v>9</v>
      </c>
      <c r="I2483" s="185"/>
      <c r="J2483" s="185">
        <v>8</v>
      </c>
      <c r="K2483" s="185">
        <f t="shared" si="25"/>
        <v>6.9444444444444446</v>
      </c>
      <c r="L2483" s="185">
        <f t="shared" si="26"/>
        <v>36</v>
      </c>
      <c r="M2483" s="185">
        <v>39600000</v>
      </c>
      <c r="N2483" s="185">
        <v>358000</v>
      </c>
      <c r="O2483" s="185">
        <v>317000</v>
      </c>
      <c r="P2483" s="185">
        <v>104</v>
      </c>
      <c r="Q2483" s="185">
        <v>2940000</v>
      </c>
      <c r="R2483" s="185">
        <v>73000</v>
      </c>
      <c r="S2483" s="185">
        <v>47000</v>
      </c>
      <c r="T2483" s="185">
        <v>28.2</v>
      </c>
      <c r="U2483" s="185"/>
      <c r="V2483" s="185"/>
    </row>
    <row r="2484" spans="1:22">
      <c r="A2484" s="176" t="s">
        <v>5103</v>
      </c>
      <c r="B2484" s="176" t="s">
        <v>5103</v>
      </c>
      <c r="C2484" s="185">
        <v>43.6</v>
      </c>
      <c r="D2484" s="185">
        <v>5549</v>
      </c>
      <c r="E2484" s="185">
        <v>244</v>
      </c>
      <c r="F2484" s="185">
        <v>175</v>
      </c>
      <c r="G2484" s="185">
        <v>7</v>
      </c>
      <c r="H2484" s="185">
        <v>11</v>
      </c>
      <c r="I2484" s="185"/>
      <c r="J2484" s="185">
        <v>13</v>
      </c>
      <c r="K2484" s="185">
        <f t="shared" si="25"/>
        <v>7.9545454545454541</v>
      </c>
      <c r="L2484" s="185">
        <f t="shared" si="26"/>
        <v>28</v>
      </c>
      <c r="M2484" s="185">
        <v>60400000</v>
      </c>
      <c r="N2484" s="185">
        <v>551000</v>
      </c>
      <c r="O2484" s="185">
        <v>495000</v>
      </c>
      <c r="P2484" s="185">
        <v>104</v>
      </c>
      <c r="Q2484" s="185">
        <v>9840000</v>
      </c>
      <c r="R2484" s="185">
        <v>172000</v>
      </c>
      <c r="S2484" s="185">
        <v>112000</v>
      </c>
      <c r="T2484" s="185">
        <v>42.1</v>
      </c>
      <c r="U2484" s="185"/>
      <c r="V2484" s="185"/>
    </row>
    <row r="2485" spans="1:22">
      <c r="A2485" s="176" t="s">
        <v>5104</v>
      </c>
      <c r="B2485" s="176" t="s">
        <v>5104</v>
      </c>
      <c r="C2485" s="185">
        <v>63.8</v>
      </c>
      <c r="D2485" s="185">
        <v>8131</v>
      </c>
      <c r="E2485" s="185">
        <v>244</v>
      </c>
      <c r="F2485" s="185">
        <v>252</v>
      </c>
      <c r="G2485" s="185">
        <v>11</v>
      </c>
      <c r="H2485" s="185">
        <v>11</v>
      </c>
      <c r="I2485" s="185"/>
      <c r="J2485" s="185">
        <v>13</v>
      </c>
      <c r="K2485" s="185">
        <f t="shared" si="25"/>
        <v>11.454545454545455</v>
      </c>
      <c r="L2485" s="185">
        <f t="shared" si="26"/>
        <v>17.818181818181817</v>
      </c>
      <c r="M2485" s="185">
        <v>87000000</v>
      </c>
      <c r="N2485" s="185">
        <v>797000</v>
      </c>
      <c r="O2485" s="185">
        <v>713000</v>
      </c>
      <c r="P2485" s="185">
        <v>103</v>
      </c>
      <c r="Q2485" s="185">
        <v>29400000</v>
      </c>
      <c r="R2485" s="185">
        <v>353000</v>
      </c>
      <c r="S2485" s="185">
        <v>233000</v>
      </c>
      <c r="T2485" s="185">
        <v>60.099999999999994</v>
      </c>
      <c r="U2485" s="185"/>
      <c r="V2485" s="185"/>
    </row>
    <row r="2486" spans="1:22">
      <c r="A2486" s="176" t="s">
        <v>5105</v>
      </c>
      <c r="B2486" s="176" t="s">
        <v>5105</v>
      </c>
      <c r="C2486" s="185">
        <v>71.8</v>
      </c>
      <c r="D2486" s="185">
        <v>9143</v>
      </c>
      <c r="E2486" s="185">
        <v>250</v>
      </c>
      <c r="F2486" s="185">
        <v>250</v>
      </c>
      <c r="G2486" s="185">
        <v>9</v>
      </c>
      <c r="H2486" s="185">
        <v>14</v>
      </c>
      <c r="I2486" s="185"/>
      <c r="J2486" s="185">
        <v>13</v>
      </c>
      <c r="K2486" s="185">
        <f t="shared" si="25"/>
        <v>8.9285714285714288</v>
      </c>
      <c r="L2486" s="185">
        <f t="shared" si="26"/>
        <v>21.777777777777779</v>
      </c>
      <c r="M2486" s="185">
        <v>107000000</v>
      </c>
      <c r="N2486" s="185">
        <v>953000</v>
      </c>
      <c r="O2486" s="185">
        <v>860000</v>
      </c>
      <c r="P2486" s="185">
        <v>108</v>
      </c>
      <c r="Q2486" s="185">
        <v>36500000</v>
      </c>
      <c r="R2486" s="185">
        <v>443000</v>
      </c>
      <c r="S2486" s="185">
        <v>292000</v>
      </c>
      <c r="T2486" s="185">
        <v>63.2</v>
      </c>
      <c r="U2486" s="185"/>
      <c r="V2486" s="185"/>
    </row>
    <row r="2487" spans="1:22">
      <c r="A2487" s="176" t="s">
        <v>5106</v>
      </c>
      <c r="B2487" s="176" t="s">
        <v>5106</v>
      </c>
      <c r="C2487" s="185">
        <v>81.599999999999994</v>
      </c>
      <c r="D2487" s="185">
        <v>10390</v>
      </c>
      <c r="E2487" s="185">
        <v>250</v>
      </c>
      <c r="F2487" s="185">
        <v>255</v>
      </c>
      <c r="G2487" s="185">
        <v>14</v>
      </c>
      <c r="H2487" s="185">
        <v>14</v>
      </c>
      <c r="I2487" s="185"/>
      <c r="J2487" s="185">
        <v>13</v>
      </c>
      <c r="K2487" s="185">
        <f t="shared" si="25"/>
        <v>9.1071428571428577</v>
      </c>
      <c r="L2487" s="185">
        <f t="shared" si="26"/>
        <v>14</v>
      </c>
      <c r="M2487" s="185">
        <v>114000000</v>
      </c>
      <c r="N2487" s="185">
        <v>1030000</v>
      </c>
      <c r="O2487" s="185">
        <v>912000</v>
      </c>
      <c r="P2487" s="185">
        <v>105</v>
      </c>
      <c r="Q2487" s="185">
        <v>38800000</v>
      </c>
      <c r="R2487" s="185">
        <v>467000</v>
      </c>
      <c r="S2487" s="185">
        <v>304000</v>
      </c>
      <c r="T2487" s="185">
        <v>61.1</v>
      </c>
      <c r="U2487" s="185"/>
      <c r="V2487" s="185"/>
    </row>
    <row r="2488" spans="1:22">
      <c r="A2488" s="176" t="s">
        <v>5107</v>
      </c>
      <c r="B2488" s="176" t="s">
        <v>5107</v>
      </c>
      <c r="C2488" s="185">
        <v>32</v>
      </c>
      <c r="D2488" s="185">
        <v>4079.9999999999995</v>
      </c>
      <c r="E2488" s="185">
        <v>298</v>
      </c>
      <c r="F2488" s="185">
        <v>149</v>
      </c>
      <c r="G2488" s="185">
        <v>5.5</v>
      </c>
      <c r="H2488" s="185">
        <v>8</v>
      </c>
      <c r="I2488" s="185"/>
      <c r="J2488" s="185">
        <v>13</v>
      </c>
      <c r="K2488" s="185">
        <f t="shared" si="25"/>
        <v>9.3125</v>
      </c>
      <c r="L2488" s="185">
        <f t="shared" si="26"/>
        <v>46.545454545454547</v>
      </c>
      <c r="M2488" s="185">
        <v>63200000</v>
      </c>
      <c r="N2488" s="185">
        <v>475000</v>
      </c>
      <c r="O2488" s="185">
        <v>424000</v>
      </c>
      <c r="P2488" s="185">
        <v>124</v>
      </c>
      <c r="Q2488" s="185">
        <v>4420000</v>
      </c>
      <c r="R2488" s="185">
        <v>91000</v>
      </c>
      <c r="S2488" s="185">
        <v>59000</v>
      </c>
      <c r="T2488" s="185">
        <v>32.9</v>
      </c>
      <c r="U2488" s="185"/>
      <c r="V2488" s="185"/>
    </row>
    <row r="2489" spans="1:22">
      <c r="A2489" s="176" t="s">
        <v>4713</v>
      </c>
      <c r="B2489" s="176" t="s">
        <v>4713</v>
      </c>
      <c r="C2489" s="185">
        <v>36.700000000000003</v>
      </c>
      <c r="D2489" s="185">
        <v>4678</v>
      </c>
      <c r="E2489" s="185">
        <v>300</v>
      </c>
      <c r="F2489" s="185">
        <v>150</v>
      </c>
      <c r="G2489" s="185">
        <v>6.5</v>
      </c>
      <c r="H2489" s="185">
        <v>9</v>
      </c>
      <c r="I2489" s="185"/>
      <c r="J2489" s="185">
        <v>13</v>
      </c>
      <c r="K2489" s="185">
        <f t="shared" si="25"/>
        <v>8.3333333333333339</v>
      </c>
      <c r="L2489" s="185">
        <f t="shared" si="26"/>
        <v>39.384615384615387</v>
      </c>
      <c r="M2489" s="185">
        <v>72100000</v>
      </c>
      <c r="N2489" s="185">
        <v>543000</v>
      </c>
      <c r="O2489" s="185">
        <v>481000</v>
      </c>
      <c r="P2489" s="185">
        <v>124</v>
      </c>
      <c r="Q2489" s="185">
        <v>5080000</v>
      </c>
      <c r="R2489" s="185">
        <v>105000</v>
      </c>
      <c r="S2489" s="185">
        <v>68000</v>
      </c>
      <c r="T2489" s="185">
        <v>32.9</v>
      </c>
      <c r="U2489" s="185"/>
      <c r="V2489" s="185"/>
    </row>
    <row r="2490" spans="1:22">
      <c r="A2490" s="176" t="s">
        <v>4711</v>
      </c>
      <c r="B2490" s="176" t="s">
        <v>4711</v>
      </c>
      <c r="C2490" s="185">
        <v>55.8</v>
      </c>
      <c r="D2490" s="185">
        <v>7105</v>
      </c>
      <c r="E2490" s="185">
        <v>294</v>
      </c>
      <c r="F2490" s="185">
        <v>200</v>
      </c>
      <c r="G2490" s="185">
        <v>8</v>
      </c>
      <c r="H2490" s="185">
        <v>12</v>
      </c>
      <c r="I2490" s="185"/>
      <c r="J2490" s="185">
        <v>13</v>
      </c>
      <c r="K2490" s="185">
        <f t="shared" si="25"/>
        <v>8.3333333333333339</v>
      </c>
      <c r="L2490" s="185">
        <f t="shared" si="26"/>
        <v>30.5</v>
      </c>
      <c r="M2490" s="185">
        <v>111000000</v>
      </c>
      <c r="N2490" s="185">
        <v>842000</v>
      </c>
      <c r="O2490" s="185">
        <v>756000</v>
      </c>
      <c r="P2490" s="185">
        <v>125</v>
      </c>
      <c r="Q2490" s="185">
        <v>16000000</v>
      </c>
      <c r="R2490" s="185">
        <v>245000</v>
      </c>
      <c r="S2490" s="185">
        <v>160000</v>
      </c>
      <c r="T2490" s="185">
        <v>47.5</v>
      </c>
      <c r="U2490" s="185"/>
      <c r="V2490" s="185"/>
    </row>
    <row r="2491" spans="1:22">
      <c r="A2491" s="176" t="s">
        <v>5108</v>
      </c>
      <c r="B2491" s="176" t="s">
        <v>5108</v>
      </c>
      <c r="C2491" s="185">
        <v>64.400000000000006</v>
      </c>
      <c r="D2491" s="185">
        <v>8210</v>
      </c>
      <c r="E2491" s="185">
        <v>294</v>
      </c>
      <c r="F2491" s="185">
        <v>250</v>
      </c>
      <c r="G2491" s="185">
        <v>8</v>
      </c>
      <c r="H2491" s="185">
        <v>12</v>
      </c>
      <c r="I2491" s="185"/>
      <c r="J2491" s="185">
        <v>13</v>
      </c>
      <c r="K2491" s="185">
        <f t="shared" si="25"/>
        <v>10.416666666666666</v>
      </c>
      <c r="L2491" s="185">
        <f t="shared" si="26"/>
        <v>30.5</v>
      </c>
      <c r="M2491" s="185">
        <v>138500000</v>
      </c>
      <c r="N2491" s="185">
        <v>1016000</v>
      </c>
      <c r="O2491" s="185">
        <v>923000</v>
      </c>
      <c r="P2491" s="185">
        <v>0</v>
      </c>
      <c r="Q2491" s="185">
        <v>31300000</v>
      </c>
      <c r="R2491" s="185">
        <v>379000</v>
      </c>
      <c r="S2491" s="185">
        <v>250000</v>
      </c>
      <c r="T2491" s="185">
        <v>0</v>
      </c>
      <c r="U2491" s="185"/>
      <c r="V2491" s="185"/>
    </row>
    <row r="2492" spans="1:22">
      <c r="A2492" s="176" t="s">
        <v>5109</v>
      </c>
      <c r="B2492" s="176" t="s">
        <v>5109</v>
      </c>
      <c r="C2492" s="185">
        <v>83.4</v>
      </c>
      <c r="D2492" s="185">
        <v>10630</v>
      </c>
      <c r="E2492" s="185">
        <v>294</v>
      </c>
      <c r="F2492" s="185">
        <v>302</v>
      </c>
      <c r="G2492" s="185">
        <v>12</v>
      </c>
      <c r="H2492" s="185">
        <v>12</v>
      </c>
      <c r="I2492" s="185"/>
      <c r="J2492" s="185">
        <v>13</v>
      </c>
      <c r="K2492" s="185">
        <f t="shared" si="25"/>
        <v>12.583333333333334</v>
      </c>
      <c r="L2492" s="185">
        <f t="shared" si="26"/>
        <v>20.333333333333332</v>
      </c>
      <c r="M2492" s="185">
        <v>166000000</v>
      </c>
      <c r="N2492" s="185">
        <v>1260000</v>
      </c>
      <c r="O2492" s="185">
        <v>1130000</v>
      </c>
      <c r="P2492" s="185">
        <v>125</v>
      </c>
      <c r="Q2492" s="185">
        <v>55100000</v>
      </c>
      <c r="R2492" s="185">
        <v>558000</v>
      </c>
      <c r="S2492" s="185">
        <v>365000</v>
      </c>
      <c r="T2492" s="185">
        <v>72</v>
      </c>
      <c r="U2492" s="185"/>
      <c r="V2492" s="185"/>
    </row>
    <row r="2493" spans="1:22">
      <c r="A2493" s="176" t="s">
        <v>5110</v>
      </c>
      <c r="B2493" s="176" t="s">
        <v>5110</v>
      </c>
      <c r="C2493" s="185">
        <v>93</v>
      </c>
      <c r="D2493" s="185">
        <v>11840</v>
      </c>
      <c r="E2493" s="185">
        <v>300</v>
      </c>
      <c r="F2493" s="185">
        <v>300</v>
      </c>
      <c r="G2493" s="185">
        <v>10</v>
      </c>
      <c r="H2493" s="185">
        <v>15</v>
      </c>
      <c r="I2493" s="185"/>
      <c r="J2493" s="185">
        <v>13</v>
      </c>
      <c r="K2493" s="185">
        <f t="shared" si="25"/>
        <v>10</v>
      </c>
      <c r="L2493" s="185">
        <f t="shared" si="26"/>
        <v>24.4</v>
      </c>
      <c r="M2493" s="185">
        <v>202000000</v>
      </c>
      <c r="N2493" s="185">
        <v>1480000</v>
      </c>
      <c r="O2493" s="185">
        <v>1350000</v>
      </c>
      <c r="P2493" s="185">
        <v>131</v>
      </c>
      <c r="Q2493" s="185">
        <v>67500000</v>
      </c>
      <c r="R2493" s="185">
        <v>682000</v>
      </c>
      <c r="S2493" s="185">
        <v>450000</v>
      </c>
      <c r="T2493" s="185">
        <v>75.5</v>
      </c>
      <c r="U2493" s="185"/>
      <c r="V2493" s="185"/>
    </row>
    <row r="2494" spans="1:22">
      <c r="A2494" s="176" t="s">
        <v>5111</v>
      </c>
      <c r="B2494" s="176" t="s">
        <v>5111</v>
      </c>
      <c r="C2494" s="185">
        <v>105</v>
      </c>
      <c r="D2494" s="185">
        <v>13340</v>
      </c>
      <c r="E2494" s="185">
        <v>300</v>
      </c>
      <c r="F2494" s="185">
        <v>305</v>
      </c>
      <c r="G2494" s="185">
        <v>15</v>
      </c>
      <c r="H2494" s="185">
        <v>15</v>
      </c>
      <c r="I2494" s="185"/>
      <c r="J2494" s="185">
        <v>13</v>
      </c>
      <c r="K2494" s="185">
        <f t="shared" si="25"/>
        <v>10.166666666666666</v>
      </c>
      <c r="L2494" s="185">
        <f t="shared" si="26"/>
        <v>16.266666666666666</v>
      </c>
      <c r="M2494" s="185">
        <v>213000000</v>
      </c>
      <c r="N2494" s="185">
        <v>1600000</v>
      </c>
      <c r="O2494" s="185">
        <v>1420000</v>
      </c>
      <c r="P2494" s="185">
        <v>126</v>
      </c>
      <c r="Q2494" s="185">
        <v>71000000</v>
      </c>
      <c r="R2494" s="185">
        <v>714000</v>
      </c>
      <c r="S2494" s="185">
        <v>466000</v>
      </c>
      <c r="T2494" s="185">
        <v>73</v>
      </c>
      <c r="U2494" s="185"/>
      <c r="V2494" s="185"/>
    </row>
    <row r="2495" spans="1:22">
      <c r="A2495" s="176" t="s">
        <v>5112</v>
      </c>
      <c r="B2495" s="176" t="s">
        <v>5112</v>
      </c>
      <c r="C2495" s="185">
        <v>105</v>
      </c>
      <c r="D2495" s="185">
        <v>13350</v>
      </c>
      <c r="E2495" s="185">
        <v>304</v>
      </c>
      <c r="F2495" s="185">
        <v>301</v>
      </c>
      <c r="G2495" s="185">
        <v>11</v>
      </c>
      <c r="H2495" s="185">
        <v>17</v>
      </c>
      <c r="I2495" s="185"/>
      <c r="J2495" s="185">
        <v>13</v>
      </c>
      <c r="K2495" s="185">
        <f t="shared" si="25"/>
        <v>8.8529411764705888</v>
      </c>
      <c r="L2495" s="185">
        <f t="shared" si="26"/>
        <v>22.181818181818183</v>
      </c>
      <c r="M2495" s="185">
        <v>232000000</v>
      </c>
      <c r="N2495" s="185">
        <v>1690000</v>
      </c>
      <c r="O2495" s="185">
        <v>1520000</v>
      </c>
      <c r="P2495" s="185">
        <v>132</v>
      </c>
      <c r="Q2495" s="185">
        <v>77300000</v>
      </c>
      <c r="R2495" s="185">
        <v>779000</v>
      </c>
      <c r="S2495" s="185">
        <v>514000</v>
      </c>
      <c r="T2495" s="185">
        <v>76.100000000000009</v>
      </c>
      <c r="U2495" s="185"/>
      <c r="V2495" s="185"/>
    </row>
    <row r="2496" spans="1:22">
      <c r="A2496" s="176" t="s">
        <v>5113</v>
      </c>
      <c r="B2496" s="176" t="s">
        <v>5113</v>
      </c>
      <c r="C2496" s="185">
        <v>129</v>
      </c>
      <c r="D2496" s="185">
        <v>16380.000000000002</v>
      </c>
      <c r="E2496" s="185">
        <v>312</v>
      </c>
      <c r="F2496" s="185">
        <v>303</v>
      </c>
      <c r="G2496" s="185">
        <v>13</v>
      </c>
      <c r="H2496" s="185">
        <v>21</v>
      </c>
      <c r="I2496" s="185"/>
      <c r="J2496" s="185">
        <v>13</v>
      </c>
      <c r="K2496" s="185">
        <f t="shared" si="25"/>
        <v>7.2142857142857144</v>
      </c>
      <c r="L2496" s="185">
        <f t="shared" si="26"/>
        <v>18.76923076923077</v>
      </c>
      <c r="M2496" s="185">
        <v>294000000</v>
      </c>
      <c r="N2496" s="185">
        <v>2110000</v>
      </c>
      <c r="O2496" s="185">
        <v>1880000</v>
      </c>
      <c r="P2496" s="185">
        <v>134</v>
      </c>
      <c r="Q2496" s="185">
        <v>97500000</v>
      </c>
      <c r="R2496" s="185">
        <v>976000</v>
      </c>
      <c r="S2496" s="185">
        <v>644000</v>
      </c>
      <c r="T2496" s="185">
        <v>77.2</v>
      </c>
      <c r="U2496" s="185"/>
      <c r="V2496" s="185"/>
    </row>
    <row r="2497" spans="1:22">
      <c r="A2497" s="176" t="s">
        <v>5114</v>
      </c>
      <c r="B2497" s="176" t="s">
        <v>5114</v>
      </c>
      <c r="C2497" s="185">
        <v>153</v>
      </c>
      <c r="D2497" s="185">
        <v>19470</v>
      </c>
      <c r="E2497" s="185">
        <v>318</v>
      </c>
      <c r="F2497" s="185">
        <v>307</v>
      </c>
      <c r="G2497" s="185">
        <v>17</v>
      </c>
      <c r="H2497" s="185">
        <v>24</v>
      </c>
      <c r="I2497" s="185"/>
      <c r="J2497" s="185">
        <v>13</v>
      </c>
      <c r="K2497" s="185">
        <f t="shared" si="25"/>
        <v>6.395833333333333</v>
      </c>
      <c r="L2497" s="185">
        <f t="shared" si="26"/>
        <v>14.352941176470589</v>
      </c>
      <c r="M2497" s="185">
        <v>350000000</v>
      </c>
      <c r="N2497" s="185">
        <v>2500000</v>
      </c>
      <c r="O2497" s="185">
        <v>2200000</v>
      </c>
      <c r="P2497" s="185">
        <v>134</v>
      </c>
      <c r="Q2497" s="185">
        <v>116000000</v>
      </c>
      <c r="R2497" s="185">
        <v>1150000</v>
      </c>
      <c r="S2497" s="185">
        <v>756000</v>
      </c>
      <c r="T2497" s="185">
        <v>77.2</v>
      </c>
      <c r="U2497" s="185"/>
      <c r="V2497" s="185"/>
    </row>
    <row r="2498" spans="1:22">
      <c r="A2498" s="176" t="s">
        <v>5115</v>
      </c>
      <c r="B2498" s="176" t="s">
        <v>5115</v>
      </c>
      <c r="C2498" s="185">
        <v>180</v>
      </c>
      <c r="D2498" s="185">
        <v>22910</v>
      </c>
      <c r="E2498" s="185">
        <v>326</v>
      </c>
      <c r="F2498" s="185">
        <v>310</v>
      </c>
      <c r="G2498" s="185">
        <v>20</v>
      </c>
      <c r="H2498" s="185">
        <v>28</v>
      </c>
      <c r="I2498" s="185"/>
      <c r="J2498" s="185">
        <v>13</v>
      </c>
      <c r="K2498" s="185">
        <f t="shared" si="25"/>
        <v>5.5357142857142856</v>
      </c>
      <c r="L2498" s="185">
        <f t="shared" si="26"/>
        <v>12.2</v>
      </c>
      <c r="M2498" s="185">
        <v>422000000</v>
      </c>
      <c r="N2498" s="185">
        <v>2970000</v>
      </c>
      <c r="O2498" s="185">
        <v>2590000</v>
      </c>
      <c r="P2498" s="185">
        <v>136</v>
      </c>
      <c r="Q2498" s="185">
        <v>139000000</v>
      </c>
      <c r="R2498" s="185">
        <v>1370000</v>
      </c>
      <c r="S2498" s="185">
        <v>900000</v>
      </c>
      <c r="T2498" s="185">
        <v>78</v>
      </c>
      <c r="U2498" s="185"/>
      <c r="V2498" s="185"/>
    </row>
    <row r="2499" spans="1:22">
      <c r="A2499" s="176" t="s">
        <v>5116</v>
      </c>
      <c r="B2499" s="176" t="s">
        <v>5116</v>
      </c>
      <c r="C2499" s="185">
        <v>41.2</v>
      </c>
      <c r="D2499" s="185">
        <v>5245</v>
      </c>
      <c r="E2499" s="185">
        <v>346</v>
      </c>
      <c r="F2499" s="185">
        <v>174</v>
      </c>
      <c r="G2499" s="185">
        <v>6</v>
      </c>
      <c r="H2499" s="185">
        <v>9</v>
      </c>
      <c r="I2499" s="185"/>
      <c r="J2499" s="185">
        <v>13</v>
      </c>
      <c r="K2499" s="185">
        <f t="shared" si="25"/>
        <v>9.6666666666666661</v>
      </c>
      <c r="L2499" s="185">
        <f t="shared" si="26"/>
        <v>50.333333333333336</v>
      </c>
      <c r="M2499" s="185">
        <v>110000000</v>
      </c>
      <c r="N2499" s="185">
        <v>713000</v>
      </c>
      <c r="O2499" s="185">
        <v>638000</v>
      </c>
      <c r="P2499" s="185">
        <v>145</v>
      </c>
      <c r="Q2499" s="185">
        <v>7910000</v>
      </c>
      <c r="R2499" s="185">
        <v>140000</v>
      </c>
      <c r="S2499" s="185">
        <v>91000</v>
      </c>
      <c r="T2499" s="185">
        <v>38.799999999999997</v>
      </c>
      <c r="U2499" s="185"/>
      <c r="V2499" s="185"/>
    </row>
    <row r="2500" spans="1:22">
      <c r="A2500" s="176" t="s">
        <v>5117</v>
      </c>
      <c r="B2500" s="176" t="s">
        <v>5117</v>
      </c>
      <c r="C2500" s="185">
        <v>49.4</v>
      </c>
      <c r="D2500" s="185">
        <v>6291</v>
      </c>
      <c r="E2500" s="185">
        <v>350</v>
      </c>
      <c r="F2500" s="185">
        <v>175</v>
      </c>
      <c r="G2500" s="185">
        <v>7</v>
      </c>
      <c r="H2500" s="185">
        <v>11</v>
      </c>
      <c r="I2500" s="185"/>
      <c r="J2500" s="185">
        <v>13</v>
      </c>
      <c r="K2500" s="185">
        <f t="shared" si="25"/>
        <v>7.9545454545454541</v>
      </c>
      <c r="L2500" s="185">
        <f t="shared" si="26"/>
        <v>43.142857142857146</v>
      </c>
      <c r="M2500" s="185">
        <v>135000000</v>
      </c>
      <c r="N2500" s="185">
        <v>865000</v>
      </c>
      <c r="O2500" s="185">
        <v>771000</v>
      </c>
      <c r="P2500" s="185">
        <v>146</v>
      </c>
      <c r="Q2500" s="185">
        <v>9840000</v>
      </c>
      <c r="R2500" s="185">
        <v>173000</v>
      </c>
      <c r="S2500" s="185">
        <v>112000</v>
      </c>
      <c r="T2500" s="185">
        <v>39.6</v>
      </c>
      <c r="U2500" s="185"/>
      <c r="V2500" s="185"/>
    </row>
    <row r="2501" spans="1:22">
      <c r="A2501" s="176" t="s">
        <v>5118</v>
      </c>
      <c r="B2501" s="176" t="s">
        <v>5118</v>
      </c>
      <c r="C2501" s="185">
        <v>67.599999999999994</v>
      </c>
      <c r="D2501" s="185">
        <v>8617</v>
      </c>
      <c r="E2501" s="185">
        <v>336</v>
      </c>
      <c r="F2501" s="185">
        <v>249</v>
      </c>
      <c r="G2501" s="185">
        <v>8</v>
      </c>
      <c r="H2501" s="185">
        <v>12</v>
      </c>
      <c r="I2501" s="185"/>
      <c r="J2501" s="185">
        <v>13</v>
      </c>
      <c r="K2501" s="185">
        <f t="shared" si="25"/>
        <v>10.375</v>
      </c>
      <c r="L2501" s="185">
        <f t="shared" si="26"/>
        <v>35.75</v>
      </c>
      <c r="M2501" s="185">
        <v>181000000</v>
      </c>
      <c r="N2501" s="185">
        <v>1190000</v>
      </c>
      <c r="O2501" s="185">
        <v>1070000</v>
      </c>
      <c r="P2501" s="185">
        <v>145</v>
      </c>
      <c r="Q2501" s="185">
        <v>30900000</v>
      </c>
      <c r="R2501" s="185">
        <v>378000</v>
      </c>
      <c r="S2501" s="185">
        <v>248000</v>
      </c>
      <c r="T2501" s="185">
        <v>59.900000000000006</v>
      </c>
      <c r="U2501" s="185"/>
      <c r="V2501" s="185"/>
    </row>
    <row r="2502" spans="1:22">
      <c r="A2502" s="176" t="s">
        <v>5119</v>
      </c>
      <c r="B2502" s="176" t="s">
        <v>5119</v>
      </c>
      <c r="C2502" s="185">
        <v>78.099999999999994</v>
      </c>
      <c r="D2502" s="185">
        <v>9953</v>
      </c>
      <c r="E2502" s="185">
        <v>340</v>
      </c>
      <c r="F2502" s="185">
        <v>250</v>
      </c>
      <c r="G2502" s="185">
        <v>9</v>
      </c>
      <c r="H2502" s="185">
        <v>14</v>
      </c>
      <c r="I2502" s="185"/>
      <c r="J2502" s="185">
        <v>13</v>
      </c>
      <c r="K2502" s="185">
        <f t="shared" si="25"/>
        <v>8.9285714285714288</v>
      </c>
      <c r="L2502" s="185">
        <f t="shared" si="26"/>
        <v>31.777777777777779</v>
      </c>
      <c r="M2502" s="185">
        <v>212000000</v>
      </c>
      <c r="N2502" s="185">
        <v>1380000</v>
      </c>
      <c r="O2502" s="185">
        <v>1250000</v>
      </c>
      <c r="P2502" s="185">
        <v>146</v>
      </c>
      <c r="Q2502" s="185">
        <v>36500000</v>
      </c>
      <c r="R2502" s="185">
        <v>444000</v>
      </c>
      <c r="S2502" s="185">
        <v>292000</v>
      </c>
      <c r="T2502" s="185">
        <v>60.5</v>
      </c>
      <c r="U2502" s="185"/>
      <c r="V2502" s="185"/>
    </row>
    <row r="2503" spans="1:22">
      <c r="A2503" s="176" t="s">
        <v>5120</v>
      </c>
      <c r="B2503" s="176" t="s">
        <v>5120</v>
      </c>
      <c r="C2503" s="185">
        <v>103</v>
      </c>
      <c r="D2503" s="185">
        <v>13150</v>
      </c>
      <c r="E2503" s="185">
        <v>350</v>
      </c>
      <c r="F2503" s="185">
        <v>252</v>
      </c>
      <c r="G2503" s="185">
        <v>11</v>
      </c>
      <c r="H2503" s="185">
        <v>19</v>
      </c>
      <c r="I2503" s="185"/>
      <c r="J2503" s="185">
        <v>13</v>
      </c>
      <c r="K2503" s="185">
        <f t="shared" si="25"/>
        <v>6.6315789473684212</v>
      </c>
      <c r="L2503" s="185">
        <f t="shared" si="26"/>
        <v>26</v>
      </c>
      <c r="M2503" s="185">
        <v>294000000</v>
      </c>
      <c r="N2503" s="185">
        <v>1880000</v>
      </c>
      <c r="O2503" s="185">
        <v>1680000</v>
      </c>
      <c r="P2503" s="185">
        <v>150</v>
      </c>
      <c r="Q2503" s="185">
        <v>50800000</v>
      </c>
      <c r="R2503" s="185">
        <v>614000</v>
      </c>
      <c r="S2503" s="185">
        <v>403000</v>
      </c>
      <c r="T2503" s="185">
        <v>62.1</v>
      </c>
      <c r="U2503" s="185"/>
      <c r="V2503" s="185"/>
    </row>
    <row r="2504" spans="1:22">
      <c r="A2504" s="176" t="s">
        <v>5121</v>
      </c>
      <c r="B2504" s="176" t="s">
        <v>5121</v>
      </c>
      <c r="C2504" s="185">
        <v>126</v>
      </c>
      <c r="D2504" s="185">
        <v>16090</v>
      </c>
      <c r="E2504" s="185">
        <v>356</v>
      </c>
      <c r="F2504" s="185">
        <v>256</v>
      </c>
      <c r="G2504" s="185">
        <v>15</v>
      </c>
      <c r="H2504" s="185">
        <v>22</v>
      </c>
      <c r="I2504" s="185"/>
      <c r="J2504" s="185">
        <v>13</v>
      </c>
      <c r="K2504" s="185">
        <f t="shared" si="25"/>
        <v>5.8181818181818183</v>
      </c>
      <c r="L2504" s="185">
        <f t="shared" si="26"/>
        <v>19.066666666666666</v>
      </c>
      <c r="M2504" s="185">
        <v>356000000</v>
      </c>
      <c r="N2504" s="185">
        <v>2270000</v>
      </c>
      <c r="O2504" s="185">
        <v>2000000</v>
      </c>
      <c r="P2504" s="185">
        <v>149</v>
      </c>
      <c r="Q2504" s="185">
        <v>61700000</v>
      </c>
      <c r="R2504" s="185">
        <v>740000</v>
      </c>
      <c r="S2504" s="185">
        <v>482000</v>
      </c>
      <c r="T2504" s="185">
        <v>61.900000000000006</v>
      </c>
      <c r="U2504" s="185"/>
      <c r="V2504" s="185"/>
    </row>
    <row r="2505" spans="1:22">
      <c r="A2505" s="176" t="s">
        <v>5122</v>
      </c>
      <c r="B2505" s="176" t="s">
        <v>5122</v>
      </c>
      <c r="C2505" s="185">
        <v>148</v>
      </c>
      <c r="D2505" s="185">
        <v>18870</v>
      </c>
      <c r="E2505" s="185">
        <v>364</v>
      </c>
      <c r="F2505" s="185">
        <v>258</v>
      </c>
      <c r="G2505" s="185">
        <v>17</v>
      </c>
      <c r="H2505" s="185">
        <v>26</v>
      </c>
      <c r="I2505" s="185"/>
      <c r="J2505" s="185">
        <v>13</v>
      </c>
      <c r="K2505" s="185">
        <f t="shared" si="25"/>
        <v>4.9615384615384617</v>
      </c>
      <c r="L2505" s="185">
        <f t="shared" si="26"/>
        <v>16.823529411764707</v>
      </c>
      <c r="M2505" s="185">
        <v>430000000</v>
      </c>
      <c r="N2505" s="185">
        <v>2700000</v>
      </c>
      <c r="O2505" s="185">
        <v>2370000</v>
      </c>
      <c r="P2505" s="185">
        <v>151</v>
      </c>
      <c r="Q2505" s="185">
        <v>74700000</v>
      </c>
      <c r="R2505" s="185">
        <v>889000</v>
      </c>
      <c r="S2505" s="185">
        <v>579000</v>
      </c>
      <c r="T2505" s="185">
        <v>62.9</v>
      </c>
      <c r="U2505" s="185"/>
      <c r="V2505" s="185"/>
    </row>
    <row r="2506" spans="1:22">
      <c r="A2506" s="176" t="s">
        <v>5118</v>
      </c>
      <c r="B2506" s="176" t="s">
        <v>5118</v>
      </c>
      <c r="C2506" s="185">
        <v>67.599999999999994</v>
      </c>
      <c r="D2506" s="185">
        <v>8617</v>
      </c>
      <c r="E2506" s="185">
        <v>336</v>
      </c>
      <c r="F2506" s="185">
        <v>249</v>
      </c>
      <c r="G2506" s="185">
        <v>8</v>
      </c>
      <c r="H2506" s="185">
        <v>12</v>
      </c>
      <c r="I2506" s="185"/>
      <c r="J2506" s="185">
        <v>13</v>
      </c>
      <c r="K2506" s="185">
        <f t="shared" si="25"/>
        <v>10.375</v>
      </c>
      <c r="L2506" s="185">
        <f t="shared" si="26"/>
        <v>35.75</v>
      </c>
      <c r="M2506" s="185">
        <v>181000000</v>
      </c>
      <c r="N2506" s="185">
        <v>1190000</v>
      </c>
      <c r="O2506" s="185">
        <v>1070000</v>
      </c>
      <c r="P2506" s="185">
        <v>145</v>
      </c>
      <c r="Q2506" s="185">
        <v>30900000</v>
      </c>
      <c r="R2506" s="185">
        <v>378000</v>
      </c>
      <c r="S2506" s="185">
        <v>248000</v>
      </c>
      <c r="T2506" s="185">
        <v>59.900000000000006</v>
      </c>
      <c r="U2506" s="185"/>
      <c r="V2506" s="185"/>
    </row>
    <row r="2507" spans="1:22">
      <c r="A2507" s="176" t="s">
        <v>5119</v>
      </c>
      <c r="B2507" s="176" t="s">
        <v>5119</v>
      </c>
      <c r="C2507" s="185">
        <v>78.099999999999994</v>
      </c>
      <c r="D2507" s="185">
        <v>9953</v>
      </c>
      <c r="E2507" s="185">
        <v>340</v>
      </c>
      <c r="F2507" s="185">
        <v>250</v>
      </c>
      <c r="G2507" s="185">
        <v>9</v>
      </c>
      <c r="H2507" s="185">
        <v>14</v>
      </c>
      <c r="I2507" s="185"/>
      <c r="J2507" s="185">
        <v>13</v>
      </c>
      <c r="K2507" s="185">
        <f t="shared" si="25"/>
        <v>8.9285714285714288</v>
      </c>
      <c r="L2507" s="185">
        <f t="shared" si="26"/>
        <v>31.777777777777779</v>
      </c>
      <c r="M2507" s="185">
        <v>212000000</v>
      </c>
      <c r="N2507" s="185">
        <v>1380000</v>
      </c>
      <c r="O2507" s="185">
        <v>1250000</v>
      </c>
      <c r="P2507" s="185">
        <v>146</v>
      </c>
      <c r="Q2507" s="185">
        <v>36500000</v>
      </c>
      <c r="R2507" s="185">
        <v>444000</v>
      </c>
      <c r="S2507" s="185">
        <v>292000</v>
      </c>
      <c r="T2507" s="185">
        <v>60.5</v>
      </c>
      <c r="U2507" s="185"/>
      <c r="V2507" s="185"/>
    </row>
    <row r="2508" spans="1:22">
      <c r="A2508" s="176" t="s">
        <v>5120</v>
      </c>
      <c r="B2508" s="176" t="s">
        <v>5120</v>
      </c>
      <c r="C2508" s="185">
        <v>103</v>
      </c>
      <c r="D2508" s="185">
        <v>13150</v>
      </c>
      <c r="E2508" s="185">
        <v>350</v>
      </c>
      <c r="F2508" s="185">
        <v>252</v>
      </c>
      <c r="G2508" s="185">
        <v>11</v>
      </c>
      <c r="H2508" s="185">
        <v>19</v>
      </c>
      <c r="I2508" s="185"/>
      <c r="J2508" s="185">
        <v>13</v>
      </c>
      <c r="K2508" s="185">
        <f t="shared" si="25"/>
        <v>6.6315789473684212</v>
      </c>
      <c r="L2508" s="185">
        <f t="shared" si="26"/>
        <v>26</v>
      </c>
      <c r="M2508" s="185">
        <v>294000000</v>
      </c>
      <c r="N2508" s="185">
        <v>1880000</v>
      </c>
      <c r="O2508" s="185">
        <v>1680000</v>
      </c>
      <c r="P2508" s="185">
        <v>150</v>
      </c>
      <c r="Q2508" s="185">
        <v>50800000</v>
      </c>
      <c r="R2508" s="185">
        <v>614000</v>
      </c>
      <c r="S2508" s="185">
        <v>403000</v>
      </c>
      <c r="T2508" s="185">
        <v>62.1</v>
      </c>
      <c r="U2508" s="185"/>
      <c r="V2508" s="185"/>
    </row>
    <row r="2509" spans="1:22">
      <c r="A2509" s="176" t="s">
        <v>5121</v>
      </c>
      <c r="B2509" s="176" t="s">
        <v>5121</v>
      </c>
      <c r="C2509" s="185">
        <v>126</v>
      </c>
      <c r="D2509" s="185">
        <v>16090</v>
      </c>
      <c r="E2509" s="185">
        <v>356</v>
      </c>
      <c r="F2509" s="185">
        <v>256</v>
      </c>
      <c r="G2509" s="185">
        <v>15</v>
      </c>
      <c r="H2509" s="185">
        <v>22</v>
      </c>
      <c r="I2509" s="185"/>
      <c r="J2509" s="185">
        <v>13</v>
      </c>
      <c r="K2509" s="185">
        <f t="shared" si="25"/>
        <v>5.8181818181818183</v>
      </c>
      <c r="L2509" s="185">
        <f t="shared" si="26"/>
        <v>19.066666666666666</v>
      </c>
      <c r="M2509" s="185">
        <v>356000000</v>
      </c>
      <c r="N2509" s="185">
        <v>2270000</v>
      </c>
      <c r="O2509" s="185">
        <v>2000000</v>
      </c>
      <c r="P2509" s="185">
        <v>149</v>
      </c>
      <c r="Q2509" s="185">
        <v>61700000</v>
      </c>
      <c r="R2509" s="185">
        <v>740000</v>
      </c>
      <c r="S2509" s="185">
        <v>482000</v>
      </c>
      <c r="T2509" s="185">
        <v>61.900000000000006</v>
      </c>
      <c r="U2509" s="185"/>
      <c r="V2509" s="185"/>
    </row>
    <row r="2510" spans="1:22">
      <c r="A2510" s="176" t="s">
        <v>5122</v>
      </c>
      <c r="B2510" s="176" t="s">
        <v>5122</v>
      </c>
      <c r="C2510" s="185">
        <v>148</v>
      </c>
      <c r="D2510" s="185">
        <v>18870</v>
      </c>
      <c r="E2510" s="185">
        <v>364</v>
      </c>
      <c r="F2510" s="185">
        <v>258</v>
      </c>
      <c r="G2510" s="185">
        <v>17</v>
      </c>
      <c r="H2510" s="185">
        <v>26</v>
      </c>
      <c r="I2510" s="185"/>
      <c r="J2510" s="185">
        <v>13</v>
      </c>
      <c r="K2510" s="185">
        <f t="shared" si="25"/>
        <v>4.9615384615384617</v>
      </c>
      <c r="L2510" s="185">
        <f t="shared" si="26"/>
        <v>16.823529411764707</v>
      </c>
      <c r="M2510" s="185">
        <v>430000000</v>
      </c>
      <c r="N2510" s="185">
        <v>2700000</v>
      </c>
      <c r="O2510" s="185">
        <v>2370000</v>
      </c>
      <c r="P2510" s="185">
        <v>151</v>
      </c>
      <c r="Q2510" s="185">
        <v>74700000</v>
      </c>
      <c r="R2510" s="185">
        <v>889000</v>
      </c>
      <c r="S2510" s="185">
        <v>579000</v>
      </c>
      <c r="T2510" s="185">
        <v>62.9</v>
      </c>
      <c r="U2510" s="185"/>
      <c r="V2510" s="185"/>
    </row>
    <row r="2511" spans="1:22">
      <c r="A2511" s="176" t="s">
        <v>5123</v>
      </c>
      <c r="B2511" s="176" t="s">
        <v>5123</v>
      </c>
      <c r="C2511" s="185">
        <v>105</v>
      </c>
      <c r="D2511" s="185">
        <v>13330.000000000002</v>
      </c>
      <c r="E2511" s="185">
        <v>338</v>
      </c>
      <c r="F2511" s="185">
        <v>351</v>
      </c>
      <c r="G2511" s="185">
        <v>13</v>
      </c>
      <c r="H2511" s="185">
        <v>13</v>
      </c>
      <c r="I2511" s="185"/>
      <c r="J2511" s="185">
        <v>13</v>
      </c>
      <c r="K2511" s="185">
        <f t="shared" si="25"/>
        <v>13.5</v>
      </c>
      <c r="L2511" s="185">
        <f t="shared" si="26"/>
        <v>22</v>
      </c>
      <c r="M2511" s="185">
        <v>277000000</v>
      </c>
      <c r="N2511" s="185">
        <v>1820000</v>
      </c>
      <c r="O2511" s="185">
        <v>1640000</v>
      </c>
      <c r="P2511" s="185">
        <v>144</v>
      </c>
      <c r="Q2511" s="185">
        <v>93800000</v>
      </c>
      <c r="R2511" s="185">
        <v>815000</v>
      </c>
      <c r="S2511" s="185">
        <v>534000</v>
      </c>
      <c r="T2511" s="185">
        <v>83.9</v>
      </c>
      <c r="U2511" s="185"/>
      <c r="V2511" s="185"/>
    </row>
    <row r="2512" spans="1:22">
      <c r="A2512" s="176" t="s">
        <v>5124</v>
      </c>
      <c r="B2512" s="176" t="s">
        <v>5124</v>
      </c>
      <c r="C2512" s="185">
        <v>113</v>
      </c>
      <c r="D2512" s="185">
        <v>14400</v>
      </c>
      <c r="E2512" s="185">
        <v>344</v>
      </c>
      <c r="F2512" s="185">
        <v>348</v>
      </c>
      <c r="G2512" s="185">
        <v>10</v>
      </c>
      <c r="H2512" s="185">
        <v>16</v>
      </c>
      <c r="I2512" s="185"/>
      <c r="J2512" s="185">
        <v>13</v>
      </c>
      <c r="K2512" s="185">
        <f t="shared" si="25"/>
        <v>10.875</v>
      </c>
      <c r="L2512" s="185">
        <f t="shared" si="26"/>
        <v>28.6</v>
      </c>
      <c r="M2512" s="185">
        <v>328000000</v>
      </c>
      <c r="N2512" s="185">
        <v>2090000</v>
      </c>
      <c r="O2512" s="185">
        <v>1910000</v>
      </c>
      <c r="P2512" s="185">
        <v>151</v>
      </c>
      <c r="Q2512" s="185">
        <v>112000000</v>
      </c>
      <c r="R2512" s="185">
        <v>977000</v>
      </c>
      <c r="S2512" s="185">
        <v>646000</v>
      </c>
      <c r="T2512" s="185">
        <v>88.4</v>
      </c>
      <c r="U2512" s="185"/>
      <c r="V2512" s="185"/>
    </row>
    <row r="2513" spans="1:22">
      <c r="A2513" s="176" t="s">
        <v>5125</v>
      </c>
      <c r="B2513" s="176" t="s">
        <v>5125</v>
      </c>
      <c r="C2513" s="185">
        <v>129</v>
      </c>
      <c r="D2513" s="185">
        <v>16400</v>
      </c>
      <c r="E2513" s="185">
        <v>344</v>
      </c>
      <c r="F2513" s="185">
        <v>354</v>
      </c>
      <c r="G2513" s="185">
        <v>16</v>
      </c>
      <c r="H2513" s="185">
        <v>16</v>
      </c>
      <c r="I2513" s="185"/>
      <c r="J2513" s="185">
        <v>13</v>
      </c>
      <c r="K2513" s="185">
        <f t="shared" si="25"/>
        <v>11.0625</v>
      </c>
      <c r="L2513" s="185">
        <f t="shared" si="26"/>
        <v>17.875</v>
      </c>
      <c r="M2513" s="185">
        <v>349000000</v>
      </c>
      <c r="N2513" s="185">
        <v>2270000</v>
      </c>
      <c r="O2513" s="185">
        <v>2030000</v>
      </c>
      <c r="P2513" s="185">
        <v>146</v>
      </c>
      <c r="Q2513" s="185">
        <v>118000000</v>
      </c>
      <c r="R2513" s="185">
        <v>1020000</v>
      </c>
      <c r="S2513" s="185">
        <v>669000</v>
      </c>
      <c r="T2513" s="185">
        <v>84.800000000000011</v>
      </c>
      <c r="U2513" s="185"/>
      <c r="V2513" s="185"/>
    </row>
    <row r="2514" spans="1:22">
      <c r="A2514" s="176" t="s">
        <v>5126</v>
      </c>
      <c r="B2514" s="176" t="s">
        <v>5126</v>
      </c>
      <c r="C2514" s="185">
        <v>135</v>
      </c>
      <c r="D2514" s="185">
        <v>17190</v>
      </c>
      <c r="E2514" s="185">
        <v>350</v>
      </c>
      <c r="F2514" s="185">
        <v>350</v>
      </c>
      <c r="G2514" s="185">
        <v>12</v>
      </c>
      <c r="H2514" s="185">
        <v>19</v>
      </c>
      <c r="I2514" s="185"/>
      <c r="J2514" s="185">
        <v>13</v>
      </c>
      <c r="K2514" s="185">
        <f t="shared" si="25"/>
        <v>9.2105263157894743</v>
      </c>
      <c r="L2514" s="185">
        <f t="shared" si="26"/>
        <v>23.833333333333332</v>
      </c>
      <c r="M2514" s="185">
        <v>398000000</v>
      </c>
      <c r="N2514" s="185">
        <v>2520000</v>
      </c>
      <c r="O2514" s="185">
        <v>2280000</v>
      </c>
      <c r="P2514" s="185">
        <v>152</v>
      </c>
      <c r="Q2514" s="185">
        <v>136000000</v>
      </c>
      <c r="R2514" s="185">
        <v>1180000</v>
      </c>
      <c r="S2514" s="185">
        <v>776000</v>
      </c>
      <c r="T2514" s="185">
        <v>88.9</v>
      </c>
      <c r="U2514" s="185"/>
      <c r="V2514" s="185"/>
    </row>
    <row r="2515" spans="1:22">
      <c r="A2515" s="176" t="s">
        <v>5127</v>
      </c>
      <c r="B2515" s="176" t="s">
        <v>5127</v>
      </c>
      <c r="C2515" s="185">
        <v>154</v>
      </c>
      <c r="D2515" s="185">
        <v>19640</v>
      </c>
      <c r="E2515" s="185">
        <v>350</v>
      </c>
      <c r="F2515" s="185">
        <v>357</v>
      </c>
      <c r="G2515" s="185">
        <v>19</v>
      </c>
      <c r="H2515" s="185">
        <v>19</v>
      </c>
      <c r="I2515" s="185"/>
      <c r="J2515" s="185">
        <v>13</v>
      </c>
      <c r="K2515" s="185">
        <f t="shared" si="25"/>
        <v>9.3947368421052637</v>
      </c>
      <c r="L2515" s="185">
        <f t="shared" si="26"/>
        <v>15.052631578947368</v>
      </c>
      <c r="M2515" s="185">
        <v>423000000</v>
      </c>
      <c r="N2515" s="185">
        <v>2730000</v>
      </c>
      <c r="O2515" s="185">
        <v>2420000</v>
      </c>
      <c r="P2515" s="185">
        <v>147</v>
      </c>
      <c r="Q2515" s="185">
        <v>144000000</v>
      </c>
      <c r="R2515" s="185">
        <v>1240000</v>
      </c>
      <c r="S2515" s="185">
        <v>808000</v>
      </c>
      <c r="T2515" s="185">
        <v>85.7</v>
      </c>
      <c r="U2515" s="185"/>
      <c r="V2515" s="185"/>
    </row>
    <row r="2516" spans="1:22">
      <c r="A2516" s="176" t="s">
        <v>5128</v>
      </c>
      <c r="B2516" s="176" t="s">
        <v>5128</v>
      </c>
      <c r="C2516" s="185">
        <v>174</v>
      </c>
      <c r="D2516" s="185">
        <v>22130</v>
      </c>
      <c r="E2516" s="185">
        <v>360</v>
      </c>
      <c r="F2516" s="185">
        <v>354</v>
      </c>
      <c r="G2516" s="185">
        <v>16</v>
      </c>
      <c r="H2516" s="185">
        <v>24</v>
      </c>
      <c r="I2516" s="185"/>
      <c r="J2516" s="185">
        <v>13</v>
      </c>
      <c r="K2516" s="185">
        <f t="shared" si="25"/>
        <v>7.375</v>
      </c>
      <c r="L2516" s="185">
        <f t="shared" si="26"/>
        <v>17.875</v>
      </c>
      <c r="M2516" s="185">
        <v>524000000</v>
      </c>
      <c r="N2516" s="185">
        <v>3270000</v>
      </c>
      <c r="O2516" s="185">
        <v>2910000</v>
      </c>
      <c r="P2516" s="185">
        <v>153.9</v>
      </c>
      <c r="Q2516" s="185">
        <v>178000000</v>
      </c>
      <c r="R2516" s="185">
        <v>1530000</v>
      </c>
      <c r="S2516" s="185">
        <v>1000000</v>
      </c>
      <c r="T2516" s="185">
        <v>89.600000000000009</v>
      </c>
      <c r="U2516" s="185"/>
      <c r="V2516" s="185"/>
    </row>
    <row r="2517" spans="1:22">
      <c r="A2517" s="176" t="s">
        <v>5129</v>
      </c>
      <c r="B2517" s="176" t="s">
        <v>5129</v>
      </c>
      <c r="C2517" s="185">
        <v>202</v>
      </c>
      <c r="D2517" s="185">
        <v>25700</v>
      </c>
      <c r="E2517" s="185">
        <v>368</v>
      </c>
      <c r="F2517" s="185">
        <v>356</v>
      </c>
      <c r="G2517" s="185">
        <v>18</v>
      </c>
      <c r="H2517" s="185">
        <v>28</v>
      </c>
      <c r="I2517" s="185"/>
      <c r="J2517" s="185">
        <v>13</v>
      </c>
      <c r="K2517" s="185">
        <f t="shared" si="25"/>
        <v>6.3571428571428568</v>
      </c>
      <c r="L2517" s="185">
        <f t="shared" si="26"/>
        <v>15.888888888888889</v>
      </c>
      <c r="M2517" s="185">
        <v>627000000</v>
      </c>
      <c r="N2517" s="185">
        <v>3850000</v>
      </c>
      <c r="O2517" s="185">
        <v>3410000</v>
      </c>
      <c r="P2517" s="185">
        <v>156.1</v>
      </c>
      <c r="Q2517" s="185">
        <v>211000000</v>
      </c>
      <c r="R2517" s="185">
        <v>1800000</v>
      </c>
      <c r="S2517" s="185">
        <v>1190000</v>
      </c>
      <c r="T2517" s="185">
        <v>90.600000000000009</v>
      </c>
      <c r="U2517" s="185"/>
      <c r="V2517" s="185"/>
    </row>
    <row r="2518" spans="1:22">
      <c r="A2518" s="176" t="s">
        <v>5130</v>
      </c>
      <c r="B2518" s="176" t="s">
        <v>5130</v>
      </c>
      <c r="C2518" s="185">
        <v>236</v>
      </c>
      <c r="D2518" s="185">
        <v>30010.000000000004</v>
      </c>
      <c r="E2518" s="185">
        <v>378</v>
      </c>
      <c r="F2518" s="185">
        <v>358</v>
      </c>
      <c r="G2518" s="185">
        <v>20</v>
      </c>
      <c r="H2518" s="185">
        <v>33</v>
      </c>
      <c r="I2518" s="185"/>
      <c r="J2518" s="185">
        <v>13</v>
      </c>
      <c r="K2518" s="185">
        <f t="shared" si="25"/>
        <v>5.4242424242424239</v>
      </c>
      <c r="L2518" s="185">
        <f t="shared" si="26"/>
        <v>14.3</v>
      </c>
      <c r="M2518" s="185">
        <v>759000000</v>
      </c>
      <c r="N2518" s="185">
        <v>4590000</v>
      </c>
      <c r="O2518" s="185">
        <v>4020000</v>
      </c>
      <c r="P2518" s="185">
        <v>159.1</v>
      </c>
      <c r="Q2518" s="185">
        <v>253000000</v>
      </c>
      <c r="R2518" s="185">
        <v>2150000</v>
      </c>
      <c r="S2518" s="185">
        <v>1410000</v>
      </c>
      <c r="T2518" s="185">
        <v>91.8</v>
      </c>
      <c r="U2518" s="185"/>
      <c r="V2518" s="185"/>
    </row>
    <row r="2519" spans="1:22">
      <c r="A2519" s="176" t="s">
        <v>5131</v>
      </c>
      <c r="B2519" s="176" t="s">
        <v>5131</v>
      </c>
      <c r="C2519" s="185">
        <v>56.1</v>
      </c>
      <c r="D2519" s="185">
        <v>7141</v>
      </c>
      <c r="E2519" s="185">
        <v>396</v>
      </c>
      <c r="F2519" s="185">
        <v>199</v>
      </c>
      <c r="G2519" s="185">
        <v>7</v>
      </c>
      <c r="H2519" s="185">
        <v>11</v>
      </c>
      <c r="I2519" s="185"/>
      <c r="J2519" s="185">
        <v>13</v>
      </c>
      <c r="K2519" s="185">
        <f t="shared" si="25"/>
        <v>9.045454545454545</v>
      </c>
      <c r="L2519" s="185">
        <f t="shared" si="26"/>
        <v>49.714285714285715</v>
      </c>
      <c r="M2519" s="185">
        <v>198000000</v>
      </c>
      <c r="N2519" s="185">
        <v>1120000</v>
      </c>
      <c r="O2519" s="185">
        <v>999000</v>
      </c>
      <c r="P2519" s="185">
        <v>166</v>
      </c>
      <c r="Q2519" s="185">
        <v>14500000</v>
      </c>
      <c r="R2519" s="185">
        <v>223000</v>
      </c>
      <c r="S2519" s="185">
        <v>145000</v>
      </c>
      <c r="T2519" s="185">
        <v>45</v>
      </c>
      <c r="U2519" s="185"/>
      <c r="V2519" s="185"/>
    </row>
    <row r="2520" spans="1:22">
      <c r="A2520" s="176" t="s">
        <v>4712</v>
      </c>
      <c r="B2520" s="176" t="s">
        <v>4712</v>
      </c>
      <c r="C2520" s="185">
        <v>65.400000000000006</v>
      </c>
      <c r="D2520" s="185">
        <v>8337</v>
      </c>
      <c r="E2520" s="185">
        <v>400</v>
      </c>
      <c r="F2520" s="185">
        <v>200</v>
      </c>
      <c r="G2520" s="185">
        <v>8</v>
      </c>
      <c r="H2520" s="185">
        <v>13</v>
      </c>
      <c r="I2520" s="185"/>
      <c r="J2520" s="185">
        <v>13</v>
      </c>
      <c r="K2520" s="185">
        <f t="shared" si="25"/>
        <v>7.6923076923076925</v>
      </c>
      <c r="L2520" s="185">
        <f t="shared" si="26"/>
        <v>43.5</v>
      </c>
      <c r="M2520" s="185">
        <v>235000000</v>
      </c>
      <c r="N2520" s="185">
        <v>1310000</v>
      </c>
      <c r="O2520" s="185">
        <v>1170000</v>
      </c>
      <c r="P2520" s="185">
        <v>168</v>
      </c>
      <c r="Q2520" s="185">
        <v>17400000</v>
      </c>
      <c r="R2520" s="185">
        <v>267000</v>
      </c>
      <c r="S2520" s="185">
        <v>174000</v>
      </c>
      <c r="T2520" s="185">
        <v>45.599999999999994</v>
      </c>
      <c r="U2520" s="185"/>
      <c r="V2520" s="185"/>
    </row>
    <row r="2521" spans="1:22">
      <c r="A2521" s="176" t="s">
        <v>5132</v>
      </c>
      <c r="B2521" s="176" t="s">
        <v>5132</v>
      </c>
      <c r="C2521" s="185">
        <v>92.2</v>
      </c>
      <c r="D2521" s="185">
        <v>11740</v>
      </c>
      <c r="E2521" s="185">
        <v>386</v>
      </c>
      <c r="F2521" s="185">
        <v>299</v>
      </c>
      <c r="G2521" s="185">
        <v>9</v>
      </c>
      <c r="H2521" s="185">
        <v>14</v>
      </c>
      <c r="I2521" s="185"/>
      <c r="J2521" s="185">
        <v>13</v>
      </c>
      <c r="K2521" s="185">
        <f t="shared" si="25"/>
        <v>10.678571428571429</v>
      </c>
      <c r="L2521" s="185">
        <f t="shared" si="26"/>
        <v>36.888888888888886</v>
      </c>
      <c r="M2521" s="185">
        <v>329000000</v>
      </c>
      <c r="N2521" s="185">
        <v>1870000</v>
      </c>
      <c r="O2521" s="185">
        <v>1700000</v>
      </c>
      <c r="P2521" s="185">
        <v>167</v>
      </c>
      <c r="Q2521" s="185">
        <v>62400000</v>
      </c>
      <c r="R2521" s="185">
        <v>634000</v>
      </c>
      <c r="S2521" s="185">
        <v>417000</v>
      </c>
      <c r="T2521" s="185">
        <v>72.900000000000006</v>
      </c>
      <c r="U2521" s="185"/>
      <c r="V2521" s="185"/>
    </row>
    <row r="2522" spans="1:22">
      <c r="A2522" s="176" t="s">
        <v>5133</v>
      </c>
      <c r="B2522" s="176" t="s">
        <v>5133</v>
      </c>
      <c r="C2522" s="185">
        <v>105</v>
      </c>
      <c r="D2522" s="185">
        <v>13319.999999999998</v>
      </c>
      <c r="E2522" s="185">
        <v>390</v>
      </c>
      <c r="F2522" s="185">
        <v>300</v>
      </c>
      <c r="G2522" s="185">
        <v>10</v>
      </c>
      <c r="H2522" s="185">
        <v>16</v>
      </c>
      <c r="I2522" s="185"/>
      <c r="J2522" s="185">
        <v>13</v>
      </c>
      <c r="K2522" s="185">
        <f t="shared" si="25"/>
        <v>9.375</v>
      </c>
      <c r="L2522" s="185">
        <f t="shared" si="26"/>
        <v>33.200000000000003</v>
      </c>
      <c r="M2522" s="185">
        <v>379000000</v>
      </c>
      <c r="N2522" s="185">
        <v>2140000</v>
      </c>
      <c r="O2522" s="185">
        <v>1940000</v>
      </c>
      <c r="P2522" s="185">
        <v>169</v>
      </c>
      <c r="Q2522" s="185">
        <v>72000000</v>
      </c>
      <c r="R2522" s="185">
        <v>730000</v>
      </c>
      <c r="S2522" s="185">
        <v>480000</v>
      </c>
      <c r="T2522" s="185">
        <v>73.5</v>
      </c>
      <c r="U2522" s="185"/>
      <c r="V2522" s="185"/>
    </row>
    <row r="2523" spans="1:22">
      <c r="A2523" s="176" t="s">
        <v>5134</v>
      </c>
      <c r="B2523" s="176" t="s">
        <v>5134</v>
      </c>
      <c r="C2523" s="185">
        <v>141</v>
      </c>
      <c r="D2523" s="185">
        <v>17930</v>
      </c>
      <c r="E2523" s="185">
        <v>400</v>
      </c>
      <c r="F2523" s="185">
        <v>304</v>
      </c>
      <c r="G2523" s="185">
        <v>14</v>
      </c>
      <c r="H2523" s="185">
        <v>21</v>
      </c>
      <c r="I2523" s="185"/>
      <c r="J2523" s="185">
        <v>13</v>
      </c>
      <c r="K2523" s="185">
        <f t="shared" si="25"/>
        <v>7.2380952380952381</v>
      </c>
      <c r="L2523" s="185">
        <f t="shared" si="26"/>
        <v>23.714285714285715</v>
      </c>
      <c r="M2523" s="185">
        <v>517000000</v>
      </c>
      <c r="N2523" s="185">
        <v>2890000</v>
      </c>
      <c r="O2523" s="185">
        <v>2590000</v>
      </c>
      <c r="P2523" s="185">
        <v>169.89999999999998</v>
      </c>
      <c r="Q2523" s="185">
        <v>98500000</v>
      </c>
      <c r="R2523" s="185">
        <v>989000</v>
      </c>
      <c r="S2523" s="185">
        <v>648000</v>
      </c>
      <c r="T2523" s="185">
        <v>74.099999999999994</v>
      </c>
      <c r="U2523" s="185"/>
      <c r="V2523" s="185"/>
    </row>
    <row r="2524" spans="1:22">
      <c r="A2524" s="176" t="s">
        <v>5135</v>
      </c>
      <c r="B2524" s="176" t="s">
        <v>5135</v>
      </c>
      <c r="C2524" s="185">
        <v>177</v>
      </c>
      <c r="D2524" s="185">
        <v>22610</v>
      </c>
      <c r="E2524" s="185">
        <v>410</v>
      </c>
      <c r="F2524" s="185">
        <v>308</v>
      </c>
      <c r="G2524" s="185">
        <v>18</v>
      </c>
      <c r="H2524" s="185">
        <v>26</v>
      </c>
      <c r="I2524" s="185"/>
      <c r="J2524" s="185">
        <v>13</v>
      </c>
      <c r="K2524" s="185">
        <f t="shared" si="25"/>
        <v>5.9230769230769234</v>
      </c>
      <c r="L2524" s="185">
        <f t="shared" si="26"/>
        <v>18.444444444444443</v>
      </c>
      <c r="M2524" s="185">
        <v>665000000</v>
      </c>
      <c r="N2524" s="185">
        <v>3680000</v>
      </c>
      <c r="O2524" s="185">
        <v>3240000</v>
      </c>
      <c r="P2524" s="185">
        <v>171.5</v>
      </c>
      <c r="Q2524" s="185">
        <v>127000000</v>
      </c>
      <c r="R2524" s="185">
        <v>1260000</v>
      </c>
      <c r="S2524" s="185">
        <v>825000</v>
      </c>
      <c r="T2524" s="185">
        <v>74.900000000000006</v>
      </c>
      <c r="U2524" s="185"/>
      <c r="V2524" s="185"/>
    </row>
    <row r="2525" spans="1:22">
      <c r="A2525" s="176" t="s">
        <v>5136</v>
      </c>
      <c r="B2525" s="176" t="s">
        <v>5136</v>
      </c>
      <c r="C2525" s="185">
        <v>203</v>
      </c>
      <c r="D2525" s="185">
        <v>25910.000000000004</v>
      </c>
      <c r="E2525" s="185">
        <v>418</v>
      </c>
      <c r="F2525" s="185">
        <v>310</v>
      </c>
      <c r="G2525" s="185">
        <v>20</v>
      </c>
      <c r="H2525" s="185">
        <v>30</v>
      </c>
      <c r="I2525" s="185"/>
      <c r="J2525" s="185">
        <v>13</v>
      </c>
      <c r="K2525" s="185">
        <f t="shared" si="25"/>
        <v>5.166666666666667</v>
      </c>
      <c r="L2525" s="185">
        <f t="shared" si="26"/>
        <v>16.600000000000001</v>
      </c>
      <c r="M2525" s="185">
        <v>783000000</v>
      </c>
      <c r="N2525" s="185">
        <v>4280000</v>
      </c>
      <c r="O2525" s="185">
        <v>3740000</v>
      </c>
      <c r="P2525" s="185">
        <v>173.79999999999998</v>
      </c>
      <c r="Q2525" s="185">
        <v>149000000</v>
      </c>
      <c r="R2525" s="185">
        <v>1480000</v>
      </c>
      <c r="S2525" s="185">
        <v>964000</v>
      </c>
      <c r="T2525" s="185">
        <v>75.900000000000006</v>
      </c>
      <c r="U2525" s="185"/>
      <c r="V2525" s="185"/>
    </row>
    <row r="2526" spans="1:22">
      <c r="A2526" s="176" t="s">
        <v>5137</v>
      </c>
      <c r="B2526" s="176" t="s">
        <v>5137</v>
      </c>
      <c r="C2526" s="185">
        <v>140</v>
      </c>
      <c r="D2526" s="185">
        <v>17850</v>
      </c>
      <c r="E2526" s="185">
        <v>388</v>
      </c>
      <c r="F2526" s="185">
        <v>402</v>
      </c>
      <c r="G2526" s="185">
        <v>15</v>
      </c>
      <c r="H2526" s="185">
        <v>15</v>
      </c>
      <c r="I2526" s="185"/>
      <c r="J2526" s="185">
        <v>22</v>
      </c>
      <c r="K2526" s="185">
        <f t="shared" si="25"/>
        <v>13.4</v>
      </c>
      <c r="L2526" s="185">
        <f t="shared" si="26"/>
        <v>20.933333333333334</v>
      </c>
      <c r="M2526" s="185">
        <v>4900000000</v>
      </c>
      <c r="N2526" s="185">
        <v>2800000</v>
      </c>
      <c r="O2526" s="185">
        <v>2520000</v>
      </c>
      <c r="P2526" s="185">
        <v>166</v>
      </c>
      <c r="Q2526" s="185">
        <v>163000000</v>
      </c>
      <c r="R2526" s="185">
        <v>1240000</v>
      </c>
      <c r="S2526" s="185">
        <v>809000</v>
      </c>
      <c r="T2526" s="185">
        <v>95.5</v>
      </c>
      <c r="U2526" s="185"/>
      <c r="V2526" s="185"/>
    </row>
    <row r="2527" spans="1:22">
      <c r="A2527" s="176" t="s">
        <v>5138</v>
      </c>
      <c r="B2527" s="176" t="s">
        <v>5138</v>
      </c>
      <c r="C2527" s="185">
        <v>147</v>
      </c>
      <c r="D2527" s="185">
        <v>18680</v>
      </c>
      <c r="E2527" s="185">
        <v>394</v>
      </c>
      <c r="F2527" s="185">
        <v>398</v>
      </c>
      <c r="G2527" s="185">
        <v>11</v>
      </c>
      <c r="H2527" s="185">
        <v>18</v>
      </c>
      <c r="I2527" s="185"/>
      <c r="J2527" s="185">
        <v>22</v>
      </c>
      <c r="K2527" s="185">
        <f t="shared" si="25"/>
        <v>11.055555555555555</v>
      </c>
      <c r="L2527" s="185">
        <f t="shared" si="26"/>
        <v>28.545454545454547</v>
      </c>
      <c r="M2527" s="185">
        <v>561000000</v>
      </c>
      <c r="N2527" s="185">
        <v>3120000</v>
      </c>
      <c r="O2527" s="185">
        <v>2850000</v>
      </c>
      <c r="P2527" s="185">
        <v>173</v>
      </c>
      <c r="Q2527" s="185">
        <v>189000000</v>
      </c>
      <c r="R2527" s="185">
        <v>1440000</v>
      </c>
      <c r="S2527" s="185">
        <v>951000</v>
      </c>
      <c r="T2527" s="185">
        <v>101</v>
      </c>
      <c r="U2527" s="185"/>
      <c r="V2527" s="185"/>
    </row>
    <row r="2528" spans="1:22">
      <c r="A2528" s="176" t="s">
        <v>5139</v>
      </c>
      <c r="B2528" s="176" t="s">
        <v>5139</v>
      </c>
      <c r="C2528" s="185">
        <v>168</v>
      </c>
      <c r="D2528" s="185">
        <v>21440</v>
      </c>
      <c r="E2528" s="185">
        <v>394</v>
      </c>
      <c r="F2528" s="185">
        <v>405</v>
      </c>
      <c r="G2528" s="185">
        <v>18</v>
      </c>
      <c r="H2528" s="185">
        <v>18</v>
      </c>
      <c r="I2528" s="185"/>
      <c r="J2528" s="185">
        <v>22</v>
      </c>
      <c r="K2528" s="185">
        <f t="shared" si="25"/>
        <v>11.25</v>
      </c>
      <c r="L2528" s="185">
        <f t="shared" si="26"/>
        <v>17.444444444444443</v>
      </c>
      <c r="M2528" s="185">
        <v>597000000</v>
      </c>
      <c r="N2528" s="185">
        <v>3390000</v>
      </c>
      <c r="O2528" s="185">
        <v>3030000</v>
      </c>
      <c r="P2528" s="185">
        <v>167</v>
      </c>
      <c r="Q2528" s="185">
        <v>200000000</v>
      </c>
      <c r="R2528" s="185">
        <v>1510000</v>
      </c>
      <c r="S2528" s="185">
        <v>985000</v>
      </c>
      <c r="T2528" s="185">
        <v>96.5</v>
      </c>
      <c r="U2528" s="185"/>
      <c r="V2528" s="185"/>
    </row>
    <row r="2529" spans="1:22">
      <c r="A2529" s="176" t="s">
        <v>5140</v>
      </c>
      <c r="B2529" s="176" t="s">
        <v>5140</v>
      </c>
      <c r="C2529" s="185">
        <v>172</v>
      </c>
      <c r="D2529" s="185">
        <v>21870</v>
      </c>
      <c r="E2529" s="185">
        <v>400</v>
      </c>
      <c r="F2529" s="185">
        <v>400</v>
      </c>
      <c r="G2529" s="185">
        <v>13</v>
      </c>
      <c r="H2529" s="185">
        <v>21</v>
      </c>
      <c r="I2529" s="185"/>
      <c r="J2529" s="185">
        <v>22</v>
      </c>
      <c r="K2529" s="185">
        <f t="shared" si="25"/>
        <v>9.5238095238095237</v>
      </c>
      <c r="L2529" s="185">
        <f t="shared" si="26"/>
        <v>24.153846153846153</v>
      </c>
      <c r="M2529" s="185">
        <v>666000000</v>
      </c>
      <c r="N2529" s="185">
        <v>3680000</v>
      </c>
      <c r="O2529" s="185">
        <v>3330000</v>
      </c>
      <c r="P2529" s="185">
        <v>175</v>
      </c>
      <c r="Q2529" s="185">
        <v>224000000</v>
      </c>
      <c r="R2529" s="185">
        <v>1700000</v>
      </c>
      <c r="S2529" s="185">
        <v>1120000</v>
      </c>
      <c r="T2529" s="185">
        <v>101</v>
      </c>
      <c r="U2529" s="185"/>
      <c r="V2529" s="185"/>
    </row>
    <row r="2530" spans="1:22">
      <c r="A2530" s="176" t="s">
        <v>5141</v>
      </c>
      <c r="B2530" s="176" t="s">
        <v>5141</v>
      </c>
      <c r="C2530" s="185">
        <v>197</v>
      </c>
      <c r="D2530" s="185">
        <v>25070</v>
      </c>
      <c r="E2530" s="185">
        <v>400</v>
      </c>
      <c r="F2530" s="185">
        <v>408</v>
      </c>
      <c r="G2530" s="185">
        <v>21</v>
      </c>
      <c r="H2530" s="185">
        <v>21</v>
      </c>
      <c r="I2530" s="185"/>
      <c r="J2530" s="185">
        <v>22</v>
      </c>
      <c r="K2530" s="185">
        <f t="shared" si="25"/>
        <v>9.7142857142857135</v>
      </c>
      <c r="L2530" s="185">
        <f t="shared" si="26"/>
        <v>14.952380952380953</v>
      </c>
      <c r="M2530" s="185">
        <v>709000000</v>
      </c>
      <c r="N2530" s="185">
        <v>4000000</v>
      </c>
      <c r="O2530" s="185">
        <v>3540000</v>
      </c>
      <c r="P2530" s="185">
        <v>168</v>
      </c>
      <c r="Q2530" s="185">
        <v>238000000</v>
      </c>
      <c r="R2530" s="185">
        <v>1790000</v>
      </c>
      <c r="S2530" s="185">
        <v>1170000</v>
      </c>
      <c r="T2530" s="185">
        <v>97.5</v>
      </c>
      <c r="U2530" s="185"/>
      <c r="V2530" s="185"/>
    </row>
    <row r="2531" spans="1:22">
      <c r="A2531" s="176" t="s">
        <v>5142</v>
      </c>
      <c r="B2531" s="176" t="s">
        <v>5142</v>
      </c>
      <c r="C2531" s="185">
        <v>232</v>
      </c>
      <c r="D2531" s="185">
        <v>29539.999999999996</v>
      </c>
      <c r="E2531" s="185">
        <v>414</v>
      </c>
      <c r="F2531" s="185">
        <v>405</v>
      </c>
      <c r="G2531" s="185">
        <v>18</v>
      </c>
      <c r="H2531" s="185">
        <v>28</v>
      </c>
      <c r="I2531" s="185"/>
      <c r="J2531" s="185">
        <v>22</v>
      </c>
      <c r="K2531" s="185">
        <f t="shared" si="25"/>
        <v>7.2321428571428568</v>
      </c>
      <c r="L2531" s="185">
        <f t="shared" si="26"/>
        <v>17.444444444444443</v>
      </c>
      <c r="M2531" s="185">
        <v>928000000</v>
      </c>
      <c r="N2531" s="185">
        <v>5030000</v>
      </c>
      <c r="O2531" s="185">
        <v>4480000</v>
      </c>
      <c r="P2531" s="185">
        <v>177</v>
      </c>
      <c r="Q2531" s="185">
        <v>310000000</v>
      </c>
      <c r="R2531" s="185">
        <v>2330000</v>
      </c>
      <c r="S2531" s="185">
        <v>1530000</v>
      </c>
      <c r="T2531" s="185">
        <v>102</v>
      </c>
      <c r="U2531" s="185"/>
      <c r="V2531" s="185"/>
    </row>
    <row r="2532" spans="1:22">
      <c r="A2532" s="176" t="s">
        <v>5143</v>
      </c>
      <c r="B2532" s="176" t="s">
        <v>5143</v>
      </c>
      <c r="C2532" s="185">
        <v>283</v>
      </c>
      <c r="D2532" s="185">
        <v>36070</v>
      </c>
      <c r="E2532" s="185">
        <v>428</v>
      </c>
      <c r="F2532" s="185">
        <v>407</v>
      </c>
      <c r="G2532" s="185">
        <v>20</v>
      </c>
      <c r="H2532" s="185">
        <v>35</v>
      </c>
      <c r="I2532" s="185"/>
      <c r="J2532" s="185">
        <v>22</v>
      </c>
      <c r="K2532" s="185">
        <f t="shared" si="25"/>
        <v>5.8142857142857141</v>
      </c>
      <c r="L2532" s="185">
        <f t="shared" si="26"/>
        <v>15.7</v>
      </c>
      <c r="M2532" s="185">
        <v>1190000000</v>
      </c>
      <c r="N2532" s="185">
        <v>6310000</v>
      </c>
      <c r="O2532" s="185">
        <v>5570000</v>
      </c>
      <c r="P2532" s="185">
        <v>182</v>
      </c>
      <c r="Q2532" s="185">
        <v>394000000</v>
      </c>
      <c r="R2532" s="185">
        <v>2910000</v>
      </c>
      <c r="S2532" s="185">
        <v>1930000</v>
      </c>
      <c r="T2532" s="185">
        <v>104</v>
      </c>
      <c r="U2532" s="185"/>
      <c r="V2532" s="185"/>
    </row>
    <row r="2533" spans="1:22">
      <c r="A2533" s="176" t="s">
        <v>5144</v>
      </c>
      <c r="B2533" s="176" t="s">
        <v>5144</v>
      </c>
      <c r="C2533" s="185">
        <v>65.099999999999994</v>
      </c>
      <c r="D2533" s="185">
        <v>8297</v>
      </c>
      <c r="E2533" s="185">
        <v>446</v>
      </c>
      <c r="F2533" s="185">
        <v>199</v>
      </c>
      <c r="G2533" s="185">
        <v>8</v>
      </c>
      <c r="H2533" s="185">
        <v>12</v>
      </c>
      <c r="I2533" s="185"/>
      <c r="J2533" s="185">
        <v>13</v>
      </c>
      <c r="K2533" s="185">
        <f t="shared" si="25"/>
        <v>8.2916666666666661</v>
      </c>
      <c r="L2533" s="185">
        <f t="shared" si="26"/>
        <v>49.5</v>
      </c>
      <c r="M2533" s="185">
        <v>281000000</v>
      </c>
      <c r="N2533" s="185">
        <v>1420000</v>
      </c>
      <c r="O2533" s="185">
        <v>1260000</v>
      </c>
      <c r="P2533" s="185">
        <v>184</v>
      </c>
      <c r="Q2533" s="185">
        <v>15800000</v>
      </c>
      <c r="R2533" s="185">
        <v>245000</v>
      </c>
      <c r="S2533" s="185">
        <v>159000</v>
      </c>
      <c r="T2533" s="185">
        <v>43.6</v>
      </c>
      <c r="U2533" s="185"/>
      <c r="V2533" s="185"/>
    </row>
    <row r="2534" spans="1:22">
      <c r="A2534" s="176" t="s">
        <v>5145</v>
      </c>
      <c r="B2534" s="176" t="s">
        <v>5145</v>
      </c>
      <c r="C2534" s="185">
        <v>74.900000000000006</v>
      </c>
      <c r="D2534" s="185">
        <v>9543</v>
      </c>
      <c r="E2534" s="185">
        <v>450</v>
      </c>
      <c r="F2534" s="185">
        <v>200</v>
      </c>
      <c r="G2534" s="185">
        <v>9</v>
      </c>
      <c r="H2534" s="185">
        <v>14</v>
      </c>
      <c r="I2534" s="185"/>
      <c r="J2534" s="185">
        <v>13</v>
      </c>
      <c r="K2534" s="185">
        <f t="shared" si="25"/>
        <v>7.1428571428571432</v>
      </c>
      <c r="L2534" s="185">
        <f t="shared" si="26"/>
        <v>44</v>
      </c>
      <c r="M2534" s="185">
        <v>329000000</v>
      </c>
      <c r="N2534" s="185">
        <v>1650000</v>
      </c>
      <c r="O2534" s="185">
        <v>1460000</v>
      </c>
      <c r="P2534" s="185">
        <v>186</v>
      </c>
      <c r="Q2534" s="185">
        <v>18700000</v>
      </c>
      <c r="R2534" s="185">
        <v>289000</v>
      </c>
      <c r="S2534" s="185">
        <v>187000</v>
      </c>
      <c r="T2534" s="185">
        <v>44.3</v>
      </c>
      <c r="U2534" s="185"/>
      <c r="V2534" s="185"/>
    </row>
    <row r="2535" spans="1:22">
      <c r="A2535" s="176" t="s">
        <v>5146</v>
      </c>
      <c r="B2535" s="176" t="s">
        <v>5146</v>
      </c>
      <c r="C2535" s="185">
        <v>87.9</v>
      </c>
      <c r="D2535" s="185">
        <v>11200</v>
      </c>
      <c r="E2535" s="185">
        <v>456</v>
      </c>
      <c r="F2535" s="185">
        <v>201</v>
      </c>
      <c r="G2535" s="185">
        <v>10</v>
      </c>
      <c r="H2535" s="185">
        <v>17</v>
      </c>
      <c r="I2535" s="185"/>
      <c r="J2535" s="185">
        <v>13</v>
      </c>
      <c r="K2535" s="185">
        <f t="shared" ref="K2535:K2582" si="27">F2535/2/H2535</f>
        <v>5.9117647058823533</v>
      </c>
      <c r="L2535" s="185">
        <f t="shared" ref="L2535:L2582" si="28">(E2535-2*H2535-2*J2535)/G2535</f>
        <v>39.6</v>
      </c>
      <c r="M2535" s="185">
        <v>399000000</v>
      </c>
      <c r="N2535" s="185">
        <v>1980000</v>
      </c>
      <c r="O2535" s="185">
        <v>1750000</v>
      </c>
      <c r="P2535" s="185">
        <v>188.6</v>
      </c>
      <c r="Q2535" s="185">
        <v>23100000</v>
      </c>
      <c r="R2535" s="185">
        <v>355000</v>
      </c>
      <c r="S2535" s="185">
        <v>230000</v>
      </c>
      <c r="T2535" s="185">
        <v>45.4</v>
      </c>
      <c r="U2535" s="185"/>
      <c r="V2535" s="185"/>
    </row>
    <row r="2536" spans="1:22">
      <c r="A2536" s="176" t="s">
        <v>5147</v>
      </c>
      <c r="B2536" s="176" t="s">
        <v>5147</v>
      </c>
      <c r="C2536" s="185">
        <v>118</v>
      </c>
      <c r="D2536" s="185">
        <v>15069.999999999998</v>
      </c>
      <c r="E2536" s="185">
        <v>466</v>
      </c>
      <c r="F2536" s="185">
        <v>205</v>
      </c>
      <c r="G2536" s="185">
        <v>14</v>
      </c>
      <c r="H2536" s="185">
        <v>22</v>
      </c>
      <c r="I2536" s="185"/>
      <c r="J2536" s="185">
        <v>13</v>
      </c>
      <c r="K2536" s="185">
        <f t="shared" si="27"/>
        <v>4.6590909090909092</v>
      </c>
      <c r="L2536" s="185">
        <f t="shared" si="28"/>
        <v>28.285714285714285</v>
      </c>
      <c r="M2536" s="185">
        <v>539000000</v>
      </c>
      <c r="N2536" s="185">
        <v>2660000</v>
      </c>
      <c r="O2536" s="185">
        <v>2310000</v>
      </c>
      <c r="P2536" s="185">
        <v>189.1</v>
      </c>
      <c r="Q2536" s="185">
        <v>31800000</v>
      </c>
      <c r="R2536" s="185">
        <v>484000</v>
      </c>
      <c r="S2536" s="185">
        <v>310000</v>
      </c>
      <c r="T2536" s="185">
        <v>45.9</v>
      </c>
      <c r="U2536" s="185"/>
      <c r="V2536" s="185"/>
    </row>
    <row r="2537" spans="1:22">
      <c r="A2537" s="176" t="s">
        <v>5148</v>
      </c>
      <c r="B2537" s="176" t="s">
        <v>5148</v>
      </c>
      <c r="C2537" s="185">
        <v>149</v>
      </c>
      <c r="D2537" s="185">
        <v>18970</v>
      </c>
      <c r="E2537" s="185">
        <v>478</v>
      </c>
      <c r="F2537" s="185">
        <v>208</v>
      </c>
      <c r="G2537" s="185">
        <v>17</v>
      </c>
      <c r="H2537" s="185">
        <v>28</v>
      </c>
      <c r="I2537" s="185"/>
      <c r="J2537" s="185">
        <v>13</v>
      </c>
      <c r="K2537" s="185">
        <f t="shared" si="27"/>
        <v>3.7142857142857144</v>
      </c>
      <c r="L2537" s="185">
        <f t="shared" si="28"/>
        <v>23.294117647058822</v>
      </c>
      <c r="M2537" s="185">
        <v>703000000</v>
      </c>
      <c r="N2537" s="185">
        <v>3410000</v>
      </c>
      <c r="O2537" s="185">
        <v>2940000</v>
      </c>
      <c r="P2537" s="185">
        <v>192.60000000000002</v>
      </c>
      <c r="Q2537" s="185">
        <v>42300000</v>
      </c>
      <c r="R2537" s="185">
        <v>637000</v>
      </c>
      <c r="S2537" s="185">
        <v>407000</v>
      </c>
      <c r="T2537" s="185">
        <v>47.199999999999996</v>
      </c>
      <c r="U2537" s="185"/>
      <c r="V2537" s="185"/>
    </row>
    <row r="2538" spans="1:22">
      <c r="A2538" s="176" t="s">
        <v>5149</v>
      </c>
      <c r="B2538" s="176" t="s">
        <v>5149</v>
      </c>
      <c r="C2538" s="185">
        <v>103</v>
      </c>
      <c r="D2538" s="185">
        <v>13160</v>
      </c>
      <c r="E2538" s="185">
        <v>434</v>
      </c>
      <c r="F2538" s="185">
        <v>299</v>
      </c>
      <c r="G2538" s="185">
        <v>10</v>
      </c>
      <c r="H2538" s="185">
        <v>15</v>
      </c>
      <c r="I2538" s="185"/>
      <c r="J2538" s="185">
        <v>13</v>
      </c>
      <c r="K2538" s="185">
        <f t="shared" si="27"/>
        <v>9.9666666666666668</v>
      </c>
      <c r="L2538" s="185">
        <f t="shared" si="28"/>
        <v>37.799999999999997</v>
      </c>
      <c r="M2538" s="185">
        <v>455000000</v>
      </c>
      <c r="N2538" s="185">
        <v>2320000</v>
      </c>
      <c r="O2538" s="185">
        <v>2090000</v>
      </c>
      <c r="P2538" s="185">
        <v>186</v>
      </c>
      <c r="Q2538" s="185">
        <v>66900000</v>
      </c>
      <c r="R2538" s="185">
        <v>681000</v>
      </c>
      <c r="S2538" s="185">
        <v>447000</v>
      </c>
      <c r="T2538" s="185">
        <v>71.3</v>
      </c>
      <c r="U2538" s="185"/>
      <c r="V2538" s="185"/>
    </row>
    <row r="2539" spans="1:22">
      <c r="A2539" s="176" t="s">
        <v>5150</v>
      </c>
      <c r="B2539" s="176" t="s">
        <v>5150</v>
      </c>
      <c r="C2539" s="185">
        <v>121</v>
      </c>
      <c r="D2539" s="185">
        <v>15390</v>
      </c>
      <c r="E2539" s="185">
        <v>440</v>
      </c>
      <c r="F2539" s="185">
        <v>300</v>
      </c>
      <c r="G2539" s="185">
        <v>11</v>
      </c>
      <c r="H2539" s="185">
        <v>18</v>
      </c>
      <c r="I2539" s="185"/>
      <c r="J2539" s="185">
        <v>13</v>
      </c>
      <c r="K2539" s="185">
        <f t="shared" si="27"/>
        <v>8.3333333333333339</v>
      </c>
      <c r="L2539" s="185">
        <f t="shared" si="28"/>
        <v>34.363636363636367</v>
      </c>
      <c r="M2539" s="185">
        <v>547000000</v>
      </c>
      <c r="N2539" s="185">
        <v>2760000</v>
      </c>
      <c r="O2539" s="185">
        <v>2490000</v>
      </c>
      <c r="P2539" s="185">
        <v>189</v>
      </c>
      <c r="Q2539" s="185">
        <v>81100000</v>
      </c>
      <c r="R2539" s="185">
        <v>823000</v>
      </c>
      <c r="S2539" s="185">
        <v>540000</v>
      </c>
      <c r="T2539" s="185">
        <v>72.599999999999994</v>
      </c>
      <c r="U2539" s="185"/>
      <c r="V2539" s="185"/>
    </row>
    <row r="2540" spans="1:22">
      <c r="A2540" s="176" t="s">
        <v>5151</v>
      </c>
      <c r="B2540" s="176" t="s">
        <v>5151</v>
      </c>
      <c r="C2540" s="185">
        <v>142</v>
      </c>
      <c r="D2540" s="185">
        <v>18080</v>
      </c>
      <c r="E2540" s="185">
        <v>446</v>
      </c>
      <c r="F2540" s="185">
        <v>302</v>
      </c>
      <c r="G2540" s="185">
        <v>13</v>
      </c>
      <c r="H2540" s="185">
        <v>21</v>
      </c>
      <c r="I2540" s="185"/>
      <c r="J2540" s="185">
        <v>13</v>
      </c>
      <c r="K2540" s="185">
        <f t="shared" si="27"/>
        <v>7.1904761904761907</v>
      </c>
      <c r="L2540" s="185">
        <f t="shared" si="28"/>
        <v>29.076923076923077</v>
      </c>
      <c r="M2540" s="185">
        <v>651000000</v>
      </c>
      <c r="N2540" s="185">
        <v>3260000</v>
      </c>
      <c r="O2540" s="185">
        <v>2920000</v>
      </c>
      <c r="P2540" s="185">
        <v>189.7</v>
      </c>
      <c r="Q2540" s="185">
        <v>96600000</v>
      </c>
      <c r="R2540" s="185">
        <v>976000</v>
      </c>
      <c r="S2540" s="185">
        <v>640000</v>
      </c>
      <c r="T2540" s="185">
        <v>73.099999999999994</v>
      </c>
      <c r="U2540" s="185"/>
      <c r="V2540" s="185"/>
    </row>
    <row r="2541" spans="1:22">
      <c r="A2541" s="176" t="s">
        <v>5152</v>
      </c>
      <c r="B2541" s="176" t="s">
        <v>5152</v>
      </c>
      <c r="C2541" s="185">
        <v>158</v>
      </c>
      <c r="D2541" s="185">
        <v>20190</v>
      </c>
      <c r="E2541" s="185">
        <v>450</v>
      </c>
      <c r="F2541" s="185">
        <v>304</v>
      </c>
      <c r="G2541" s="185">
        <v>15</v>
      </c>
      <c r="H2541" s="185">
        <v>23</v>
      </c>
      <c r="I2541" s="185"/>
      <c r="J2541" s="185">
        <v>13</v>
      </c>
      <c r="K2541" s="185">
        <f t="shared" si="27"/>
        <v>6.6086956521739131</v>
      </c>
      <c r="L2541" s="185">
        <f t="shared" si="28"/>
        <v>25.2</v>
      </c>
      <c r="M2541" s="185">
        <v>726000000</v>
      </c>
      <c r="N2541" s="185">
        <v>3630000</v>
      </c>
      <c r="O2541" s="185">
        <v>3230000</v>
      </c>
      <c r="P2541" s="185">
        <v>189.7</v>
      </c>
      <c r="Q2541" s="185">
        <v>108000000</v>
      </c>
      <c r="R2541" s="185">
        <v>1090000</v>
      </c>
      <c r="S2541" s="185">
        <v>710000</v>
      </c>
      <c r="T2541" s="185">
        <v>73.099999999999994</v>
      </c>
      <c r="U2541" s="185"/>
      <c r="V2541" s="185"/>
    </row>
    <row r="2542" spans="1:22">
      <c r="A2542" s="176" t="s">
        <v>5153</v>
      </c>
      <c r="B2542" s="176" t="s">
        <v>5153</v>
      </c>
      <c r="C2542" s="185">
        <v>185</v>
      </c>
      <c r="D2542" s="185">
        <v>23540</v>
      </c>
      <c r="E2542" s="185">
        <v>458</v>
      </c>
      <c r="F2542" s="185">
        <v>306</v>
      </c>
      <c r="G2542" s="185">
        <v>17</v>
      </c>
      <c r="H2542" s="185">
        <v>27</v>
      </c>
      <c r="I2542" s="185"/>
      <c r="J2542" s="185">
        <v>13</v>
      </c>
      <c r="K2542" s="185">
        <f t="shared" si="27"/>
        <v>5.666666666666667</v>
      </c>
      <c r="L2542" s="185">
        <f t="shared" si="28"/>
        <v>22.235294117647058</v>
      </c>
      <c r="M2542" s="185">
        <v>868000000</v>
      </c>
      <c r="N2542" s="185">
        <v>4280000</v>
      </c>
      <c r="O2542" s="185">
        <v>3790000</v>
      </c>
      <c r="P2542" s="185">
        <v>192</v>
      </c>
      <c r="Q2542" s="185">
        <v>129000000</v>
      </c>
      <c r="R2542" s="185">
        <v>1300000</v>
      </c>
      <c r="S2542" s="185">
        <v>845000</v>
      </c>
      <c r="T2542" s="185">
        <v>74.099999999999994</v>
      </c>
      <c r="U2542" s="185"/>
      <c r="V2542" s="185"/>
    </row>
    <row r="2543" spans="1:22">
      <c r="A2543" s="176" t="s">
        <v>5154</v>
      </c>
      <c r="B2543" s="176" t="s">
        <v>5154</v>
      </c>
      <c r="C2543" s="185">
        <v>216</v>
      </c>
      <c r="D2543" s="185">
        <v>27530</v>
      </c>
      <c r="E2543" s="185">
        <v>468</v>
      </c>
      <c r="F2543" s="185">
        <v>308</v>
      </c>
      <c r="G2543" s="185">
        <v>19</v>
      </c>
      <c r="H2543" s="185">
        <v>32</v>
      </c>
      <c r="I2543" s="185"/>
      <c r="J2543" s="185">
        <v>13</v>
      </c>
      <c r="K2543" s="185">
        <f t="shared" si="27"/>
        <v>4.8125</v>
      </c>
      <c r="L2543" s="185">
        <f t="shared" si="28"/>
        <v>19.894736842105264</v>
      </c>
      <c r="M2543" s="185">
        <v>1050000000</v>
      </c>
      <c r="N2543" s="185">
        <v>5100000</v>
      </c>
      <c r="O2543" s="185">
        <v>4480000</v>
      </c>
      <c r="P2543" s="185">
        <v>195.2</v>
      </c>
      <c r="Q2543" s="185">
        <v>156000000</v>
      </c>
      <c r="R2543" s="185">
        <v>1560000</v>
      </c>
      <c r="S2543" s="185">
        <v>1020000</v>
      </c>
      <c r="T2543" s="185">
        <v>75.3</v>
      </c>
      <c r="U2543" s="185"/>
      <c r="V2543" s="185"/>
    </row>
    <row r="2544" spans="1:22">
      <c r="A2544" s="176" t="s">
        <v>5155</v>
      </c>
      <c r="B2544" s="176" t="s">
        <v>5155</v>
      </c>
      <c r="C2544" s="185">
        <v>77.900000000000006</v>
      </c>
      <c r="D2544" s="185">
        <v>9929</v>
      </c>
      <c r="E2544" s="185">
        <v>496</v>
      </c>
      <c r="F2544" s="185">
        <v>199</v>
      </c>
      <c r="G2544" s="185">
        <v>9</v>
      </c>
      <c r="H2544" s="185">
        <v>14</v>
      </c>
      <c r="I2544" s="185"/>
      <c r="J2544" s="185">
        <v>13</v>
      </c>
      <c r="K2544" s="185">
        <f t="shared" si="27"/>
        <v>7.1071428571428568</v>
      </c>
      <c r="L2544" s="185">
        <f t="shared" si="28"/>
        <v>49.111111111111114</v>
      </c>
      <c r="M2544" s="185">
        <v>408000000</v>
      </c>
      <c r="N2544" s="185">
        <v>1870000</v>
      </c>
      <c r="O2544" s="185">
        <v>1650000</v>
      </c>
      <c r="P2544" s="185">
        <v>203</v>
      </c>
      <c r="Q2544" s="185">
        <v>18400000</v>
      </c>
      <c r="R2544" s="185">
        <v>287000</v>
      </c>
      <c r="S2544" s="185">
        <v>185000</v>
      </c>
      <c r="T2544" s="185">
        <v>43.099999999999994</v>
      </c>
      <c r="U2544" s="185"/>
      <c r="V2544" s="185"/>
    </row>
    <row r="2545" spans="1:22">
      <c r="A2545" s="176" t="s">
        <v>5156</v>
      </c>
      <c r="B2545" s="176" t="s">
        <v>5156</v>
      </c>
      <c r="C2545" s="185">
        <v>88.2</v>
      </c>
      <c r="D2545" s="185">
        <v>11220</v>
      </c>
      <c r="E2545" s="185">
        <v>500</v>
      </c>
      <c r="F2545" s="185">
        <v>200</v>
      </c>
      <c r="G2545" s="185">
        <v>10</v>
      </c>
      <c r="H2545" s="185">
        <v>16</v>
      </c>
      <c r="I2545" s="185"/>
      <c r="J2545" s="185">
        <v>13</v>
      </c>
      <c r="K2545" s="185">
        <f t="shared" si="27"/>
        <v>6.25</v>
      </c>
      <c r="L2545" s="185">
        <f t="shared" si="28"/>
        <v>44.2</v>
      </c>
      <c r="M2545" s="185">
        <v>468000000</v>
      </c>
      <c r="N2545" s="185">
        <v>2130000</v>
      </c>
      <c r="O2545" s="185">
        <v>1870000</v>
      </c>
      <c r="P2545" s="185">
        <v>204</v>
      </c>
      <c r="Q2545" s="185">
        <v>21400000</v>
      </c>
      <c r="R2545" s="185">
        <v>332000</v>
      </c>
      <c r="S2545" s="185">
        <v>214000</v>
      </c>
      <c r="T2545" s="185">
        <v>43.6</v>
      </c>
      <c r="U2545" s="185"/>
      <c r="V2545" s="185"/>
    </row>
    <row r="2546" spans="1:22">
      <c r="A2546" s="176" t="s">
        <v>5157</v>
      </c>
      <c r="B2546" s="176" t="s">
        <v>5157</v>
      </c>
      <c r="C2546" s="185">
        <v>102</v>
      </c>
      <c r="D2546" s="185">
        <v>12930.000000000002</v>
      </c>
      <c r="E2546" s="185">
        <v>506</v>
      </c>
      <c r="F2546" s="185">
        <v>201</v>
      </c>
      <c r="G2546" s="185">
        <v>11</v>
      </c>
      <c r="H2546" s="185">
        <v>19</v>
      </c>
      <c r="I2546" s="185"/>
      <c r="J2546" s="185">
        <v>13</v>
      </c>
      <c r="K2546" s="185">
        <f t="shared" si="27"/>
        <v>5.2894736842105265</v>
      </c>
      <c r="L2546" s="185">
        <f t="shared" si="28"/>
        <v>40.18181818181818</v>
      </c>
      <c r="M2546" s="185">
        <v>555000000</v>
      </c>
      <c r="N2546" s="185">
        <v>2500000</v>
      </c>
      <c r="O2546" s="185">
        <v>2190000</v>
      </c>
      <c r="P2546" s="185">
        <v>207</v>
      </c>
      <c r="Q2546" s="185">
        <v>25800000</v>
      </c>
      <c r="R2546" s="185">
        <v>399000</v>
      </c>
      <c r="S2546" s="185">
        <v>256000</v>
      </c>
      <c r="T2546" s="185">
        <v>44.6</v>
      </c>
      <c r="U2546" s="185"/>
      <c r="V2546" s="185"/>
    </row>
    <row r="2547" spans="1:22">
      <c r="A2547" s="176" t="s">
        <v>5158</v>
      </c>
      <c r="B2547" s="176" t="s">
        <v>5158</v>
      </c>
      <c r="C2547" s="185">
        <v>115</v>
      </c>
      <c r="D2547" s="185">
        <v>14650</v>
      </c>
      <c r="E2547" s="185">
        <v>512</v>
      </c>
      <c r="F2547" s="185">
        <v>202</v>
      </c>
      <c r="G2547" s="185">
        <v>12</v>
      </c>
      <c r="H2547" s="185">
        <v>22</v>
      </c>
      <c r="I2547" s="185"/>
      <c r="J2547" s="185">
        <v>13</v>
      </c>
      <c r="K2547" s="185">
        <f t="shared" si="27"/>
        <v>4.5909090909090908</v>
      </c>
      <c r="L2547" s="185">
        <f t="shared" si="28"/>
        <v>36.833333333333336</v>
      </c>
      <c r="M2547" s="185">
        <v>644000000</v>
      </c>
      <c r="N2547" s="185">
        <v>2870000</v>
      </c>
      <c r="O2547" s="185">
        <v>2520000</v>
      </c>
      <c r="P2547" s="185">
        <v>209.7</v>
      </c>
      <c r="Q2547" s="185">
        <v>30400000</v>
      </c>
      <c r="R2547" s="185">
        <v>467000</v>
      </c>
      <c r="S2547" s="185">
        <v>301000</v>
      </c>
      <c r="T2547" s="185">
        <v>45.5</v>
      </c>
      <c r="U2547" s="185"/>
      <c r="V2547" s="185"/>
    </row>
    <row r="2548" spans="1:22">
      <c r="A2548" s="176" t="s">
        <v>5159</v>
      </c>
      <c r="B2548" s="176" t="s">
        <v>5159</v>
      </c>
      <c r="C2548" s="185">
        <v>137</v>
      </c>
      <c r="D2548" s="185">
        <v>17420</v>
      </c>
      <c r="E2548" s="185">
        <v>518</v>
      </c>
      <c r="F2548" s="185">
        <v>205</v>
      </c>
      <c r="G2548" s="185">
        <v>15</v>
      </c>
      <c r="H2548" s="185">
        <v>25</v>
      </c>
      <c r="I2548" s="185"/>
      <c r="J2548" s="185">
        <v>13</v>
      </c>
      <c r="K2548" s="185">
        <f t="shared" si="27"/>
        <v>4.0999999999999996</v>
      </c>
      <c r="L2548" s="185">
        <f t="shared" si="28"/>
        <v>29.466666666666665</v>
      </c>
      <c r="M2548" s="185">
        <v>759000000</v>
      </c>
      <c r="N2548" s="185">
        <v>3380000</v>
      </c>
      <c r="O2548" s="185">
        <v>2930000</v>
      </c>
      <c r="P2548" s="185">
        <v>208.79999999999998</v>
      </c>
      <c r="Q2548" s="185">
        <v>36200000</v>
      </c>
      <c r="R2548" s="185">
        <v>553000</v>
      </c>
      <c r="S2548" s="185">
        <v>353000</v>
      </c>
      <c r="T2548" s="185">
        <v>45.599999999999994</v>
      </c>
      <c r="U2548" s="185"/>
      <c r="V2548" s="185"/>
    </row>
    <row r="2549" spans="1:22">
      <c r="A2549" s="176" t="s">
        <v>5160</v>
      </c>
      <c r="B2549" s="176" t="s">
        <v>5160</v>
      </c>
      <c r="C2549" s="185">
        <v>165</v>
      </c>
      <c r="D2549" s="185">
        <v>21050</v>
      </c>
      <c r="E2549" s="185">
        <v>528</v>
      </c>
      <c r="F2549" s="185">
        <v>208</v>
      </c>
      <c r="G2549" s="185">
        <v>18</v>
      </c>
      <c r="H2549" s="185">
        <v>30</v>
      </c>
      <c r="I2549" s="185"/>
      <c r="J2549" s="185">
        <v>13</v>
      </c>
      <c r="K2549" s="185">
        <f t="shared" si="27"/>
        <v>3.4666666666666668</v>
      </c>
      <c r="L2549" s="185">
        <f t="shared" si="28"/>
        <v>24.555555555555557</v>
      </c>
      <c r="M2549" s="185">
        <v>936000000</v>
      </c>
      <c r="N2549" s="185">
        <v>4130000</v>
      </c>
      <c r="O2549" s="185">
        <v>3550000</v>
      </c>
      <c r="P2549" s="185">
        <v>210.9</v>
      </c>
      <c r="Q2549" s="185">
        <v>45400000</v>
      </c>
      <c r="R2549" s="185">
        <v>688000</v>
      </c>
      <c r="S2549" s="185">
        <v>437000</v>
      </c>
      <c r="T2549" s="185">
        <v>46.4</v>
      </c>
      <c r="U2549" s="185"/>
      <c r="V2549" s="185"/>
    </row>
    <row r="2550" spans="1:22">
      <c r="A2550" s="176" t="s">
        <v>5161</v>
      </c>
      <c r="B2550" s="176" t="s">
        <v>5161</v>
      </c>
      <c r="C2550" s="185">
        <v>187</v>
      </c>
      <c r="D2550" s="185">
        <v>23790</v>
      </c>
      <c r="E2550" s="185">
        <v>536</v>
      </c>
      <c r="F2550" s="185">
        <v>210</v>
      </c>
      <c r="G2550" s="185">
        <v>20</v>
      </c>
      <c r="H2550" s="185">
        <v>34</v>
      </c>
      <c r="I2550" s="185"/>
      <c r="J2550" s="185">
        <v>13</v>
      </c>
      <c r="K2550" s="185">
        <f t="shared" si="27"/>
        <v>3.0882352941176472</v>
      </c>
      <c r="L2550" s="185">
        <f t="shared" si="28"/>
        <v>22.1</v>
      </c>
      <c r="M2550" s="185">
        <v>1080000000</v>
      </c>
      <c r="N2550" s="185">
        <v>4710000</v>
      </c>
      <c r="O2550" s="185">
        <v>4030000</v>
      </c>
      <c r="P2550" s="185">
        <v>213.1</v>
      </c>
      <c r="Q2550" s="185">
        <v>53000000</v>
      </c>
      <c r="R2550" s="185">
        <v>798000</v>
      </c>
      <c r="S2550" s="185">
        <v>505000</v>
      </c>
      <c r="T2550" s="185">
        <v>47.199999999999996</v>
      </c>
      <c r="U2550" s="185"/>
      <c r="V2550" s="185"/>
    </row>
    <row r="2551" spans="1:22">
      <c r="A2551" s="176" t="s">
        <v>5162</v>
      </c>
      <c r="B2551" s="176" t="s">
        <v>5162</v>
      </c>
      <c r="C2551" s="185">
        <v>228</v>
      </c>
      <c r="D2551" s="185">
        <v>29050</v>
      </c>
      <c r="E2551" s="185">
        <v>548</v>
      </c>
      <c r="F2551" s="185">
        <v>215</v>
      </c>
      <c r="G2551" s="185">
        <v>25</v>
      </c>
      <c r="H2551" s="185">
        <v>40</v>
      </c>
      <c r="I2551" s="185"/>
      <c r="J2551" s="185">
        <v>13</v>
      </c>
      <c r="K2551" s="185">
        <f t="shared" si="27"/>
        <v>2.6875</v>
      </c>
      <c r="L2551" s="185">
        <f t="shared" si="28"/>
        <v>17.68</v>
      </c>
      <c r="M2551" s="185">
        <v>1330000000</v>
      </c>
      <c r="N2551" s="185">
        <v>5770000</v>
      </c>
      <c r="O2551" s="185">
        <v>4870000</v>
      </c>
      <c r="P2551" s="185">
        <v>214.3</v>
      </c>
      <c r="Q2551" s="185">
        <v>67200000</v>
      </c>
      <c r="R2551" s="185">
        <v>999000</v>
      </c>
      <c r="S2551" s="185">
        <v>625000</v>
      </c>
      <c r="T2551" s="185">
        <v>48.099999999999994</v>
      </c>
      <c r="U2551" s="185"/>
      <c r="V2551" s="185"/>
    </row>
    <row r="2552" spans="1:22">
      <c r="A2552" s="176" t="s">
        <v>5163</v>
      </c>
      <c r="B2552" s="176" t="s">
        <v>5163</v>
      </c>
      <c r="C2552" s="185">
        <v>111</v>
      </c>
      <c r="D2552" s="185">
        <v>14119.999999999998</v>
      </c>
      <c r="E2552" s="185">
        <v>482</v>
      </c>
      <c r="F2552" s="185">
        <v>300</v>
      </c>
      <c r="G2552" s="185">
        <v>11</v>
      </c>
      <c r="H2552" s="185">
        <v>15</v>
      </c>
      <c r="I2552" s="185"/>
      <c r="J2552" s="185">
        <v>13</v>
      </c>
      <c r="K2552" s="185">
        <f t="shared" si="27"/>
        <v>10</v>
      </c>
      <c r="L2552" s="185">
        <f t="shared" si="28"/>
        <v>38.727272727272727</v>
      </c>
      <c r="M2552" s="185">
        <v>583000000</v>
      </c>
      <c r="N2552" s="185">
        <v>2700000</v>
      </c>
      <c r="O2552" s="185">
        <v>2420000</v>
      </c>
      <c r="P2552" s="185">
        <v>203</v>
      </c>
      <c r="Q2552" s="185">
        <v>67600000</v>
      </c>
      <c r="R2552" s="185">
        <v>689000</v>
      </c>
      <c r="S2552" s="185">
        <v>450000</v>
      </c>
      <c r="T2552" s="185">
        <v>69.2</v>
      </c>
      <c r="U2552" s="185"/>
      <c r="V2552" s="185"/>
    </row>
    <row r="2553" spans="1:22">
      <c r="A2553" s="176" t="s">
        <v>5164</v>
      </c>
      <c r="B2553" s="176" t="s">
        <v>5164</v>
      </c>
      <c r="C2553" s="185">
        <v>125</v>
      </c>
      <c r="D2553" s="185">
        <v>15919.999999999998</v>
      </c>
      <c r="E2553" s="185">
        <v>488</v>
      </c>
      <c r="F2553" s="185">
        <v>300</v>
      </c>
      <c r="G2553" s="185">
        <v>11</v>
      </c>
      <c r="H2553" s="185">
        <v>18</v>
      </c>
      <c r="I2553" s="185"/>
      <c r="J2553" s="185">
        <v>13</v>
      </c>
      <c r="K2553" s="185">
        <f t="shared" si="27"/>
        <v>8.3333333333333339</v>
      </c>
      <c r="L2553" s="185">
        <f t="shared" si="28"/>
        <v>38.727272727272727</v>
      </c>
      <c r="M2553" s="185">
        <v>689000000</v>
      </c>
      <c r="N2553" s="185">
        <v>3130000</v>
      </c>
      <c r="O2553" s="185">
        <v>2820000</v>
      </c>
      <c r="P2553" s="185">
        <v>208</v>
      </c>
      <c r="Q2553" s="185">
        <v>81100000</v>
      </c>
      <c r="R2553" s="185">
        <v>824000</v>
      </c>
      <c r="S2553" s="185">
        <v>540000</v>
      </c>
      <c r="T2553" s="185">
        <v>71.399999999999991</v>
      </c>
      <c r="U2553" s="185"/>
      <c r="V2553" s="185"/>
    </row>
    <row r="2554" spans="1:22">
      <c r="A2554" s="176" t="s">
        <v>5165</v>
      </c>
      <c r="B2554" s="176" t="s">
        <v>5165</v>
      </c>
      <c r="C2554" s="185">
        <v>147</v>
      </c>
      <c r="D2554" s="185">
        <v>18710</v>
      </c>
      <c r="E2554" s="185">
        <v>494</v>
      </c>
      <c r="F2554" s="185">
        <v>302</v>
      </c>
      <c r="G2554" s="185">
        <v>13</v>
      </c>
      <c r="H2554" s="185">
        <v>21</v>
      </c>
      <c r="I2554" s="185"/>
      <c r="J2554" s="185">
        <v>13</v>
      </c>
      <c r="K2554" s="185">
        <f t="shared" si="27"/>
        <v>7.1904761904761907</v>
      </c>
      <c r="L2554" s="185">
        <f t="shared" si="28"/>
        <v>32.769230769230766</v>
      </c>
      <c r="M2554" s="185">
        <v>817000000</v>
      </c>
      <c r="N2554" s="185">
        <v>3700000</v>
      </c>
      <c r="O2554" s="185">
        <v>3310000</v>
      </c>
      <c r="P2554" s="185">
        <v>209</v>
      </c>
      <c r="Q2554" s="185">
        <v>96600000</v>
      </c>
      <c r="R2554" s="185">
        <v>978000</v>
      </c>
      <c r="S2554" s="185">
        <v>640000</v>
      </c>
      <c r="T2554" s="185">
        <v>71.900000000000006</v>
      </c>
      <c r="U2554" s="185"/>
      <c r="V2554" s="185"/>
    </row>
    <row r="2555" spans="1:22">
      <c r="A2555" s="176" t="s">
        <v>5166</v>
      </c>
      <c r="B2555" s="176" t="s">
        <v>5166</v>
      </c>
      <c r="C2555" s="185">
        <v>169</v>
      </c>
      <c r="D2555" s="185">
        <v>21520</v>
      </c>
      <c r="E2555" s="185">
        <v>500</v>
      </c>
      <c r="F2555" s="185">
        <v>304</v>
      </c>
      <c r="G2555" s="185">
        <v>15</v>
      </c>
      <c r="H2555" s="185">
        <v>24</v>
      </c>
      <c r="I2555" s="185"/>
      <c r="J2555" s="185">
        <v>13</v>
      </c>
      <c r="K2555" s="185">
        <f t="shared" si="27"/>
        <v>6.333333333333333</v>
      </c>
      <c r="L2555" s="185">
        <f t="shared" si="28"/>
        <v>28.4</v>
      </c>
      <c r="M2555" s="185">
        <v>950000000</v>
      </c>
      <c r="N2555" s="185">
        <v>4270000</v>
      </c>
      <c r="O2555" s="185">
        <v>3800000</v>
      </c>
      <c r="P2555" s="185">
        <v>210.10000000000002</v>
      </c>
      <c r="Q2555" s="185">
        <v>113000000</v>
      </c>
      <c r="R2555" s="185">
        <v>1140000</v>
      </c>
      <c r="S2555" s="185">
        <v>741000</v>
      </c>
      <c r="T2555" s="185">
        <v>72.400000000000006</v>
      </c>
      <c r="U2555" s="185"/>
      <c r="V2555" s="185"/>
    </row>
    <row r="2556" spans="1:22">
      <c r="A2556" s="176" t="s">
        <v>5167</v>
      </c>
      <c r="B2556" s="176" t="s">
        <v>5167</v>
      </c>
      <c r="C2556" s="185">
        <v>201</v>
      </c>
      <c r="D2556" s="185">
        <v>25580</v>
      </c>
      <c r="E2556" s="185">
        <v>510</v>
      </c>
      <c r="F2556" s="185">
        <v>306</v>
      </c>
      <c r="G2556" s="185">
        <v>17</v>
      </c>
      <c r="H2556" s="185">
        <v>29</v>
      </c>
      <c r="I2556" s="185"/>
      <c r="J2556" s="185">
        <v>13</v>
      </c>
      <c r="K2556" s="185">
        <f t="shared" si="27"/>
        <v>5.2758620689655169</v>
      </c>
      <c r="L2556" s="185">
        <f t="shared" si="28"/>
        <v>25.058823529411764</v>
      </c>
      <c r="M2556" s="185">
        <v>1170000000</v>
      </c>
      <c r="N2556" s="185">
        <v>5170000</v>
      </c>
      <c r="O2556" s="185">
        <v>4570000</v>
      </c>
      <c r="P2556" s="185">
        <v>213.5</v>
      </c>
      <c r="Q2556" s="185">
        <v>139000000</v>
      </c>
      <c r="R2556" s="185">
        <v>1390000</v>
      </c>
      <c r="S2556" s="185">
        <v>907000</v>
      </c>
      <c r="T2556" s="185">
        <v>73.7</v>
      </c>
      <c r="U2556" s="185"/>
      <c r="V2556" s="185"/>
    </row>
    <row r="2557" spans="1:22">
      <c r="A2557" s="176" t="s">
        <v>5168</v>
      </c>
      <c r="B2557" s="176" t="s">
        <v>5168</v>
      </c>
      <c r="C2557" s="185">
        <v>236</v>
      </c>
      <c r="D2557" s="185">
        <v>30100</v>
      </c>
      <c r="E2557" s="185">
        <v>518</v>
      </c>
      <c r="F2557" s="185">
        <v>310</v>
      </c>
      <c r="G2557" s="185">
        <v>21</v>
      </c>
      <c r="H2557" s="185">
        <v>33</v>
      </c>
      <c r="I2557" s="185"/>
      <c r="J2557" s="185">
        <v>13</v>
      </c>
      <c r="K2557" s="185">
        <f t="shared" si="27"/>
        <v>4.6969696969696972</v>
      </c>
      <c r="L2557" s="185">
        <f t="shared" si="28"/>
        <v>20.285714285714285</v>
      </c>
      <c r="M2557" s="185">
        <v>1370000000</v>
      </c>
      <c r="N2557" s="185">
        <v>6070000</v>
      </c>
      <c r="O2557" s="185">
        <v>5310000</v>
      </c>
      <c r="P2557" s="185">
        <v>213.70000000000002</v>
      </c>
      <c r="Q2557" s="185">
        <v>164000000</v>
      </c>
      <c r="R2557" s="185">
        <v>1640000</v>
      </c>
      <c r="S2557" s="185">
        <v>1060000</v>
      </c>
      <c r="T2557" s="185">
        <v>73.899999999999991</v>
      </c>
      <c r="U2557" s="185"/>
      <c r="V2557" s="185"/>
    </row>
    <row r="2558" spans="1:22">
      <c r="A2558" s="176" t="s">
        <v>5169</v>
      </c>
      <c r="B2558" s="176" t="s">
        <v>5169</v>
      </c>
      <c r="C2558" s="185">
        <v>287</v>
      </c>
      <c r="D2558" s="185">
        <v>36570</v>
      </c>
      <c r="E2558" s="185">
        <v>532</v>
      </c>
      <c r="F2558" s="185">
        <v>314</v>
      </c>
      <c r="G2558" s="185">
        <v>25</v>
      </c>
      <c r="H2558" s="185">
        <v>40</v>
      </c>
      <c r="I2558" s="185"/>
      <c r="J2558" s="185">
        <v>13</v>
      </c>
      <c r="K2558" s="185">
        <f t="shared" si="27"/>
        <v>3.9249999999999998</v>
      </c>
      <c r="L2558" s="185">
        <f t="shared" si="28"/>
        <v>17.04</v>
      </c>
      <c r="M2558" s="185">
        <v>1720000000</v>
      </c>
      <c r="N2558" s="185">
        <v>7490000</v>
      </c>
      <c r="O2558" s="185">
        <v>6480000</v>
      </c>
      <c r="P2558" s="185">
        <v>217.10000000000002</v>
      </c>
      <c r="Q2558" s="185">
        <v>207000000</v>
      </c>
      <c r="R2558" s="185">
        <v>2040000</v>
      </c>
      <c r="S2558" s="185">
        <v>1320000</v>
      </c>
      <c r="T2558" s="185">
        <v>75.3</v>
      </c>
      <c r="U2558" s="185"/>
      <c r="V2558" s="185"/>
    </row>
    <row r="2559" spans="1:22">
      <c r="A2559" s="176" t="s">
        <v>5170</v>
      </c>
      <c r="B2559" s="176" t="s">
        <v>5170</v>
      </c>
      <c r="C2559" s="185">
        <v>92.5</v>
      </c>
      <c r="D2559" s="185">
        <v>11780</v>
      </c>
      <c r="E2559" s="185">
        <v>596</v>
      </c>
      <c r="F2559" s="185">
        <v>199</v>
      </c>
      <c r="G2559" s="185">
        <v>10</v>
      </c>
      <c r="H2559" s="185">
        <v>15</v>
      </c>
      <c r="I2559" s="185"/>
      <c r="J2559" s="185">
        <v>13</v>
      </c>
      <c r="K2559" s="185">
        <f t="shared" si="27"/>
        <v>6.6333333333333337</v>
      </c>
      <c r="L2559" s="185">
        <f t="shared" si="28"/>
        <v>54</v>
      </c>
      <c r="M2559" s="185">
        <v>666000000</v>
      </c>
      <c r="N2559" s="185">
        <v>2580000</v>
      </c>
      <c r="O2559" s="185">
        <v>2240000</v>
      </c>
      <c r="P2559" s="185">
        <v>238</v>
      </c>
      <c r="Q2559" s="185">
        <v>19800000</v>
      </c>
      <c r="R2559" s="185">
        <v>312000</v>
      </c>
      <c r="S2559" s="185">
        <v>199000</v>
      </c>
      <c r="T2559" s="185">
        <v>41</v>
      </c>
      <c r="U2559" s="185"/>
      <c r="V2559" s="185"/>
    </row>
    <row r="2560" spans="1:22">
      <c r="A2560" s="176" t="s">
        <v>5171</v>
      </c>
      <c r="B2560" s="176" t="s">
        <v>5171</v>
      </c>
      <c r="C2560" s="185">
        <v>103</v>
      </c>
      <c r="D2560" s="185">
        <v>13169.999999999998</v>
      </c>
      <c r="E2560" s="185">
        <v>600</v>
      </c>
      <c r="F2560" s="185">
        <v>200</v>
      </c>
      <c r="G2560" s="185">
        <v>11</v>
      </c>
      <c r="H2560" s="185">
        <v>17</v>
      </c>
      <c r="I2560" s="185"/>
      <c r="J2560" s="185">
        <v>13</v>
      </c>
      <c r="K2560" s="185">
        <f t="shared" si="27"/>
        <v>5.882352941176471</v>
      </c>
      <c r="L2560" s="185">
        <f t="shared" si="28"/>
        <v>49.090909090909093</v>
      </c>
      <c r="M2560" s="185">
        <v>756000000</v>
      </c>
      <c r="N2560" s="185">
        <v>2900000</v>
      </c>
      <c r="O2560" s="185">
        <v>2520000</v>
      </c>
      <c r="P2560" s="185">
        <v>240</v>
      </c>
      <c r="Q2560" s="185">
        <v>22700000</v>
      </c>
      <c r="R2560" s="185">
        <v>358000</v>
      </c>
      <c r="S2560" s="185">
        <v>227000</v>
      </c>
      <c r="T2560" s="185">
        <v>41.6</v>
      </c>
      <c r="U2560" s="185"/>
      <c r="V2560" s="185"/>
    </row>
    <row r="2561" spans="1:22">
      <c r="A2561" s="176" t="s">
        <v>5172</v>
      </c>
      <c r="B2561" s="176" t="s">
        <v>5172</v>
      </c>
      <c r="C2561" s="185">
        <v>118</v>
      </c>
      <c r="D2561" s="185">
        <v>14980.000000000002</v>
      </c>
      <c r="E2561" s="185">
        <v>606</v>
      </c>
      <c r="F2561" s="185">
        <v>201</v>
      </c>
      <c r="G2561" s="185">
        <v>12</v>
      </c>
      <c r="H2561" s="185">
        <v>20</v>
      </c>
      <c r="I2561" s="185"/>
      <c r="J2561" s="185">
        <v>13</v>
      </c>
      <c r="K2561" s="185">
        <f t="shared" si="27"/>
        <v>5.0250000000000004</v>
      </c>
      <c r="L2561" s="185">
        <f t="shared" si="28"/>
        <v>45</v>
      </c>
      <c r="M2561" s="185">
        <v>883000000</v>
      </c>
      <c r="N2561" s="185">
        <v>3360000</v>
      </c>
      <c r="O2561" s="185">
        <v>2910000</v>
      </c>
      <c r="P2561" s="185">
        <v>243</v>
      </c>
      <c r="Q2561" s="185">
        <v>27200000</v>
      </c>
      <c r="R2561" s="185">
        <v>425000</v>
      </c>
      <c r="S2561" s="185">
        <v>270000</v>
      </c>
      <c r="T2561" s="185">
        <v>42.599999999999994</v>
      </c>
      <c r="U2561" s="185"/>
      <c r="V2561" s="185"/>
    </row>
    <row r="2562" spans="1:22">
      <c r="A2562" s="176" t="s">
        <v>5173</v>
      </c>
      <c r="B2562" s="176" t="s">
        <v>5173</v>
      </c>
      <c r="C2562" s="185">
        <v>132</v>
      </c>
      <c r="D2562" s="185">
        <v>16800</v>
      </c>
      <c r="E2562" s="185">
        <v>612</v>
      </c>
      <c r="F2562" s="185">
        <v>202</v>
      </c>
      <c r="G2562" s="185">
        <v>13</v>
      </c>
      <c r="H2562" s="185">
        <v>23</v>
      </c>
      <c r="I2562" s="185"/>
      <c r="J2562" s="185">
        <v>13</v>
      </c>
      <c r="K2562" s="185">
        <f t="shared" si="27"/>
        <v>4.3913043478260869</v>
      </c>
      <c r="L2562" s="185">
        <f t="shared" si="28"/>
        <v>41.53846153846154</v>
      </c>
      <c r="M2562" s="185">
        <v>1010000000</v>
      </c>
      <c r="N2562" s="185">
        <v>3820000</v>
      </c>
      <c r="O2562" s="185">
        <v>3320000</v>
      </c>
      <c r="P2562" s="185">
        <v>245.79999999999998</v>
      </c>
      <c r="Q2562" s="185">
        <v>31800000</v>
      </c>
      <c r="R2562" s="185">
        <v>494000</v>
      </c>
      <c r="S2562" s="185">
        <v>315000</v>
      </c>
      <c r="T2562" s="185">
        <v>43.5</v>
      </c>
      <c r="U2562" s="185"/>
      <c r="V2562" s="185"/>
    </row>
    <row r="2563" spans="1:22">
      <c r="A2563" s="176" t="s">
        <v>5174</v>
      </c>
      <c r="B2563" s="176" t="s">
        <v>5174</v>
      </c>
      <c r="C2563" s="185">
        <v>156</v>
      </c>
      <c r="D2563" s="185">
        <v>19860</v>
      </c>
      <c r="E2563" s="185">
        <v>618</v>
      </c>
      <c r="F2563" s="185">
        <v>205</v>
      </c>
      <c r="G2563" s="185">
        <v>16</v>
      </c>
      <c r="H2563" s="185">
        <v>26</v>
      </c>
      <c r="I2563" s="185"/>
      <c r="J2563" s="185">
        <v>13</v>
      </c>
      <c r="K2563" s="185">
        <f t="shared" si="27"/>
        <v>3.9423076923076925</v>
      </c>
      <c r="L2563" s="185">
        <f t="shared" si="28"/>
        <v>33.75</v>
      </c>
      <c r="M2563" s="185">
        <v>1190000000</v>
      </c>
      <c r="N2563" s="185">
        <v>4480000</v>
      </c>
      <c r="O2563" s="185">
        <v>3850000</v>
      </c>
      <c r="P2563" s="185">
        <v>244.60000000000002</v>
      </c>
      <c r="Q2563" s="185">
        <v>37700000</v>
      </c>
      <c r="R2563" s="185">
        <v>584000</v>
      </c>
      <c r="S2563" s="185">
        <v>368000</v>
      </c>
      <c r="T2563" s="185">
        <v>43.6</v>
      </c>
      <c r="U2563" s="185"/>
      <c r="V2563" s="185"/>
    </row>
    <row r="2564" spans="1:22">
      <c r="A2564" s="176" t="s">
        <v>5175</v>
      </c>
      <c r="B2564" s="176" t="s">
        <v>5175</v>
      </c>
      <c r="C2564" s="185">
        <v>179</v>
      </c>
      <c r="D2564" s="185">
        <v>22750</v>
      </c>
      <c r="E2564" s="185">
        <v>626</v>
      </c>
      <c r="F2564" s="185">
        <v>207</v>
      </c>
      <c r="G2564" s="185">
        <v>18</v>
      </c>
      <c r="H2564" s="185">
        <v>30</v>
      </c>
      <c r="I2564" s="185"/>
      <c r="J2564" s="185">
        <v>13</v>
      </c>
      <c r="K2564" s="185">
        <f t="shared" si="27"/>
        <v>3.45</v>
      </c>
      <c r="L2564" s="185">
        <f t="shared" si="28"/>
        <v>30</v>
      </c>
      <c r="M2564" s="185">
        <v>1390000000</v>
      </c>
      <c r="N2564" s="185">
        <v>5180000</v>
      </c>
      <c r="O2564" s="185">
        <v>4430000</v>
      </c>
      <c r="P2564" s="185">
        <v>246.9</v>
      </c>
      <c r="Q2564" s="185">
        <v>44800000</v>
      </c>
      <c r="R2564" s="185">
        <v>690000</v>
      </c>
      <c r="S2564" s="185">
        <v>433000</v>
      </c>
      <c r="T2564" s="185">
        <v>44.400000000000006</v>
      </c>
      <c r="U2564" s="185"/>
      <c r="V2564" s="185"/>
    </row>
    <row r="2565" spans="1:22">
      <c r="A2565" s="176" t="s">
        <v>5176</v>
      </c>
      <c r="B2565" s="176" t="s">
        <v>5176</v>
      </c>
      <c r="C2565" s="185">
        <v>202</v>
      </c>
      <c r="D2565" s="185">
        <v>25680</v>
      </c>
      <c r="E2565" s="185">
        <v>634</v>
      </c>
      <c r="F2565" s="185">
        <v>209</v>
      </c>
      <c r="G2565" s="185">
        <v>20</v>
      </c>
      <c r="H2565" s="185">
        <v>34</v>
      </c>
      <c r="I2565" s="185"/>
      <c r="J2565" s="185">
        <v>13</v>
      </c>
      <c r="K2565" s="185">
        <f t="shared" si="27"/>
        <v>3.0735294117647061</v>
      </c>
      <c r="L2565" s="185">
        <f t="shared" si="28"/>
        <v>27</v>
      </c>
      <c r="M2565" s="185">
        <v>1590000000</v>
      </c>
      <c r="N2565" s="185">
        <v>5910000</v>
      </c>
      <c r="O2565" s="185">
        <v>5030000</v>
      </c>
      <c r="P2565" s="185">
        <v>249.20000000000002</v>
      </c>
      <c r="Q2565" s="185">
        <v>52300000</v>
      </c>
      <c r="R2565" s="185">
        <v>801000</v>
      </c>
      <c r="S2565" s="185">
        <v>501000</v>
      </c>
      <c r="T2565" s="185">
        <v>45.099999999999994</v>
      </c>
      <c r="U2565" s="185"/>
      <c r="V2565" s="185"/>
    </row>
    <row r="2566" spans="1:22">
      <c r="A2566" s="176" t="s">
        <v>5177</v>
      </c>
      <c r="B2566" s="176" t="s">
        <v>5177</v>
      </c>
      <c r="C2566" s="185">
        <v>247</v>
      </c>
      <c r="D2566" s="185">
        <v>31420</v>
      </c>
      <c r="E2566" s="185">
        <v>646</v>
      </c>
      <c r="F2566" s="185">
        <v>214</v>
      </c>
      <c r="G2566" s="185">
        <v>25</v>
      </c>
      <c r="H2566" s="185">
        <v>40</v>
      </c>
      <c r="I2566" s="185"/>
      <c r="J2566" s="185">
        <v>13</v>
      </c>
      <c r="K2566" s="185">
        <f t="shared" si="27"/>
        <v>2.6749999999999998</v>
      </c>
      <c r="L2566" s="185">
        <f t="shared" si="28"/>
        <v>21.6</v>
      </c>
      <c r="M2566" s="185">
        <v>1960000000</v>
      </c>
      <c r="N2566" s="185">
        <v>7230000</v>
      </c>
      <c r="O2566" s="185">
        <v>6080000</v>
      </c>
      <c r="P2566" s="185">
        <v>250</v>
      </c>
      <c r="Q2566" s="185">
        <v>66400000</v>
      </c>
      <c r="R2566" s="185">
        <v>1010000</v>
      </c>
      <c r="S2566" s="185">
        <v>621000</v>
      </c>
      <c r="T2566" s="185">
        <v>46</v>
      </c>
      <c r="U2566" s="185"/>
      <c r="V2566" s="185"/>
    </row>
    <row r="2567" spans="1:22">
      <c r="A2567" s="176" t="s">
        <v>5178</v>
      </c>
      <c r="B2567" s="176" t="s">
        <v>5178</v>
      </c>
      <c r="C2567" s="185">
        <v>133</v>
      </c>
      <c r="D2567" s="185">
        <v>16920</v>
      </c>
      <c r="E2567" s="185">
        <v>582</v>
      </c>
      <c r="F2567" s="185">
        <v>300</v>
      </c>
      <c r="G2567" s="185">
        <v>12</v>
      </c>
      <c r="H2567" s="185">
        <v>17</v>
      </c>
      <c r="I2567" s="185"/>
      <c r="J2567" s="185">
        <v>13</v>
      </c>
      <c r="K2567" s="185">
        <f t="shared" si="27"/>
        <v>8.8235294117647065</v>
      </c>
      <c r="L2567" s="185">
        <f t="shared" si="28"/>
        <v>43.5</v>
      </c>
      <c r="M2567" s="185">
        <v>989000000</v>
      </c>
      <c r="N2567" s="185">
        <v>3820000</v>
      </c>
      <c r="O2567" s="185">
        <v>3400000</v>
      </c>
      <c r="P2567" s="185">
        <v>242</v>
      </c>
      <c r="Q2567" s="185">
        <v>76600000</v>
      </c>
      <c r="R2567" s="185">
        <v>786000</v>
      </c>
      <c r="S2567" s="185">
        <v>511000</v>
      </c>
      <c r="T2567" s="185">
        <v>67.300000000000011</v>
      </c>
      <c r="U2567" s="185"/>
      <c r="V2567" s="185"/>
    </row>
    <row r="2568" spans="1:22">
      <c r="A2568" s="176" t="s">
        <v>5179</v>
      </c>
      <c r="B2568" s="176" t="s">
        <v>5179</v>
      </c>
      <c r="C2568" s="185">
        <v>147</v>
      </c>
      <c r="D2568" s="185">
        <v>18720</v>
      </c>
      <c r="E2568" s="185">
        <v>588</v>
      </c>
      <c r="F2568" s="185">
        <v>300</v>
      </c>
      <c r="G2568" s="185">
        <v>12</v>
      </c>
      <c r="H2568" s="185">
        <v>20</v>
      </c>
      <c r="I2568" s="185"/>
      <c r="J2568" s="185">
        <v>13</v>
      </c>
      <c r="K2568" s="185">
        <f t="shared" si="27"/>
        <v>7.5</v>
      </c>
      <c r="L2568" s="185">
        <f t="shared" si="28"/>
        <v>43.5</v>
      </c>
      <c r="M2568" s="185">
        <v>1140000000</v>
      </c>
      <c r="N2568" s="185">
        <v>4350000</v>
      </c>
      <c r="O2568" s="185">
        <v>3890000</v>
      </c>
      <c r="P2568" s="185">
        <v>247</v>
      </c>
      <c r="Q2568" s="185">
        <v>90100000</v>
      </c>
      <c r="R2568" s="185">
        <v>921000</v>
      </c>
      <c r="S2568" s="185">
        <v>601000</v>
      </c>
      <c r="T2568" s="185">
        <v>69.400000000000006</v>
      </c>
      <c r="U2568" s="185"/>
      <c r="V2568" s="185"/>
    </row>
    <row r="2569" spans="1:22">
      <c r="A2569" s="176" t="s">
        <v>5180</v>
      </c>
      <c r="B2569" s="176" t="s">
        <v>5180</v>
      </c>
      <c r="C2569" s="185">
        <v>170</v>
      </c>
      <c r="D2569" s="185">
        <v>21710</v>
      </c>
      <c r="E2569" s="185">
        <v>594</v>
      </c>
      <c r="F2569" s="185">
        <v>302</v>
      </c>
      <c r="G2569" s="185">
        <v>14</v>
      </c>
      <c r="H2569" s="185">
        <v>23</v>
      </c>
      <c r="I2569" s="185"/>
      <c r="J2569" s="185">
        <v>13</v>
      </c>
      <c r="K2569" s="185">
        <f t="shared" si="27"/>
        <v>6.5652173913043477</v>
      </c>
      <c r="L2569" s="185">
        <f t="shared" si="28"/>
        <v>37.285714285714285</v>
      </c>
      <c r="M2569" s="185">
        <v>1340000000</v>
      </c>
      <c r="N2569" s="185">
        <v>5060000</v>
      </c>
      <c r="O2569" s="185">
        <v>4500000</v>
      </c>
      <c r="P2569" s="185">
        <v>248</v>
      </c>
      <c r="Q2569" s="185">
        <v>106000000</v>
      </c>
      <c r="R2569" s="185">
        <v>1080000</v>
      </c>
      <c r="S2569" s="185">
        <v>700000</v>
      </c>
      <c r="T2569" s="185">
        <v>69.800000000000011</v>
      </c>
      <c r="U2569" s="185"/>
      <c r="V2569" s="185"/>
    </row>
    <row r="2570" spans="1:22">
      <c r="A2570" s="176" t="s">
        <v>5181</v>
      </c>
      <c r="B2570" s="176" t="s">
        <v>5181</v>
      </c>
      <c r="C2570" s="185">
        <v>194</v>
      </c>
      <c r="D2570" s="185">
        <v>24720</v>
      </c>
      <c r="E2570" s="185">
        <v>600</v>
      </c>
      <c r="F2570" s="185">
        <v>304</v>
      </c>
      <c r="G2570" s="185">
        <v>16</v>
      </c>
      <c r="H2570" s="185">
        <v>26</v>
      </c>
      <c r="I2570" s="185"/>
      <c r="J2570" s="185">
        <v>13</v>
      </c>
      <c r="K2570" s="185">
        <f t="shared" si="27"/>
        <v>5.8461538461538458</v>
      </c>
      <c r="L2570" s="185">
        <f t="shared" si="28"/>
        <v>32.625</v>
      </c>
      <c r="M2570" s="185">
        <v>1530000000</v>
      </c>
      <c r="N2570" s="185">
        <v>5780000</v>
      </c>
      <c r="O2570" s="185">
        <v>5110000</v>
      </c>
      <c r="P2570" s="185">
        <v>249</v>
      </c>
      <c r="Q2570" s="185">
        <v>122000000</v>
      </c>
      <c r="R2570" s="185">
        <v>1240000</v>
      </c>
      <c r="S2570" s="185">
        <v>803000</v>
      </c>
      <c r="T2570" s="185">
        <v>70.3</v>
      </c>
      <c r="U2570" s="185"/>
      <c r="V2570" s="185"/>
    </row>
    <row r="2571" spans="1:22">
      <c r="A2571" s="176" t="s">
        <v>5182</v>
      </c>
      <c r="B2571" s="176" t="s">
        <v>5182</v>
      </c>
      <c r="C2571" s="185">
        <v>223</v>
      </c>
      <c r="D2571" s="185">
        <v>28370</v>
      </c>
      <c r="E2571" s="185">
        <v>608</v>
      </c>
      <c r="F2571" s="185">
        <v>306</v>
      </c>
      <c r="G2571" s="185">
        <v>18</v>
      </c>
      <c r="H2571" s="185">
        <v>30</v>
      </c>
      <c r="I2571" s="185"/>
      <c r="J2571" s="185">
        <v>13</v>
      </c>
      <c r="K2571" s="185">
        <f t="shared" si="27"/>
        <v>5.0999999999999996</v>
      </c>
      <c r="L2571" s="185">
        <f t="shared" si="28"/>
        <v>29</v>
      </c>
      <c r="M2571" s="185">
        <v>1790000000</v>
      </c>
      <c r="N2571" s="185">
        <v>6700000</v>
      </c>
      <c r="O2571" s="185">
        <v>5900000</v>
      </c>
      <c r="P2571" s="185">
        <v>251.4</v>
      </c>
      <c r="Q2571" s="185">
        <v>144000000</v>
      </c>
      <c r="R2571" s="185">
        <v>1450000</v>
      </c>
      <c r="S2571" s="185">
        <v>939000</v>
      </c>
      <c r="T2571" s="185">
        <v>71.2</v>
      </c>
      <c r="U2571" s="185"/>
      <c r="V2571" s="185"/>
    </row>
    <row r="2572" spans="1:22">
      <c r="A2572" s="176" t="s">
        <v>5183</v>
      </c>
      <c r="B2572" s="176" t="s">
        <v>5183</v>
      </c>
      <c r="C2572" s="185">
        <v>252</v>
      </c>
      <c r="D2572" s="185">
        <v>32050</v>
      </c>
      <c r="E2572" s="185">
        <v>616</v>
      </c>
      <c r="F2572" s="185">
        <v>308</v>
      </c>
      <c r="G2572" s="185">
        <v>20</v>
      </c>
      <c r="H2572" s="185">
        <v>34</v>
      </c>
      <c r="I2572" s="185"/>
      <c r="J2572" s="185">
        <v>13</v>
      </c>
      <c r="K2572" s="185">
        <f t="shared" si="27"/>
        <v>4.5294117647058822</v>
      </c>
      <c r="L2572" s="185">
        <f t="shared" si="28"/>
        <v>26.1</v>
      </c>
      <c r="M2572" s="185">
        <v>2060000000</v>
      </c>
      <c r="N2572" s="185">
        <v>7640000</v>
      </c>
      <c r="O2572" s="185">
        <v>6690000</v>
      </c>
      <c r="P2572" s="185">
        <v>253.6</v>
      </c>
      <c r="Q2572" s="185">
        <v>166000000</v>
      </c>
      <c r="R2572" s="185">
        <v>1670000</v>
      </c>
      <c r="S2572" s="185">
        <v>1080000</v>
      </c>
      <c r="T2572" s="185">
        <v>72</v>
      </c>
      <c r="U2572" s="185"/>
      <c r="V2572" s="185"/>
    </row>
    <row r="2573" spans="1:22">
      <c r="A2573" s="176" t="s">
        <v>5184</v>
      </c>
      <c r="B2573" s="176" t="s">
        <v>5184</v>
      </c>
      <c r="C2573" s="185">
        <v>300</v>
      </c>
      <c r="D2573" s="185">
        <v>38260</v>
      </c>
      <c r="E2573" s="185">
        <v>628</v>
      </c>
      <c r="F2573" s="185">
        <v>312</v>
      </c>
      <c r="G2573" s="185">
        <v>24</v>
      </c>
      <c r="H2573" s="185">
        <v>40</v>
      </c>
      <c r="I2573" s="185"/>
      <c r="J2573" s="185">
        <v>13</v>
      </c>
      <c r="K2573" s="185">
        <f t="shared" si="27"/>
        <v>3.9</v>
      </c>
      <c r="L2573" s="185">
        <f t="shared" si="28"/>
        <v>21.75</v>
      </c>
      <c r="M2573" s="185">
        <v>2500000000</v>
      </c>
      <c r="N2573" s="185">
        <v>9180000</v>
      </c>
      <c r="O2573" s="185">
        <v>7960000</v>
      </c>
      <c r="P2573" s="185">
        <v>255.7</v>
      </c>
      <c r="Q2573" s="185">
        <v>203000000</v>
      </c>
      <c r="R2573" s="185">
        <v>2030000</v>
      </c>
      <c r="S2573" s="185">
        <v>1300000</v>
      </c>
      <c r="T2573" s="185">
        <v>72.900000000000006</v>
      </c>
      <c r="U2573" s="185"/>
      <c r="V2573" s="185"/>
    </row>
    <row r="2574" spans="1:22">
      <c r="A2574" s="176" t="s">
        <v>5185</v>
      </c>
      <c r="B2574" s="176" t="s">
        <v>5185</v>
      </c>
      <c r="C2574" s="185">
        <v>163</v>
      </c>
      <c r="D2574" s="185">
        <v>20750</v>
      </c>
      <c r="E2574" s="185">
        <v>692</v>
      </c>
      <c r="F2574" s="185">
        <v>300</v>
      </c>
      <c r="G2574" s="185">
        <v>13</v>
      </c>
      <c r="H2574" s="185">
        <v>20</v>
      </c>
      <c r="I2574" s="185"/>
      <c r="J2574" s="185">
        <v>18</v>
      </c>
      <c r="K2574" s="185">
        <f t="shared" si="27"/>
        <v>7.5</v>
      </c>
      <c r="L2574" s="185">
        <f t="shared" si="28"/>
        <v>47.384615384615387</v>
      </c>
      <c r="M2574" s="185">
        <v>1680000000</v>
      </c>
      <c r="N2574" s="185">
        <v>5500000</v>
      </c>
      <c r="O2574" s="185">
        <v>4870000</v>
      </c>
      <c r="P2574" s="185">
        <v>285</v>
      </c>
      <c r="Q2574" s="185">
        <v>90200000</v>
      </c>
      <c r="R2574" s="185">
        <v>929000</v>
      </c>
      <c r="S2574" s="185">
        <v>601000</v>
      </c>
      <c r="T2574" s="185">
        <v>65.900000000000006</v>
      </c>
      <c r="U2574" s="185"/>
      <c r="V2574" s="185"/>
    </row>
    <row r="2575" spans="1:22">
      <c r="A2575" s="176" t="s">
        <v>5186</v>
      </c>
      <c r="B2575" s="176" t="s">
        <v>5186</v>
      </c>
      <c r="C2575" s="185">
        <v>182</v>
      </c>
      <c r="D2575" s="185">
        <v>23150</v>
      </c>
      <c r="E2575" s="185">
        <v>700</v>
      </c>
      <c r="F2575" s="185">
        <v>300</v>
      </c>
      <c r="G2575" s="185">
        <v>13</v>
      </c>
      <c r="H2575" s="185">
        <v>24</v>
      </c>
      <c r="I2575" s="185"/>
      <c r="J2575" s="185">
        <v>18</v>
      </c>
      <c r="K2575" s="185">
        <f t="shared" si="27"/>
        <v>6.25</v>
      </c>
      <c r="L2575" s="185">
        <f t="shared" si="28"/>
        <v>47.384615384615387</v>
      </c>
      <c r="M2575" s="185">
        <v>1970000000</v>
      </c>
      <c r="N2575" s="185">
        <v>6340000</v>
      </c>
      <c r="O2575" s="185">
        <v>5640000</v>
      </c>
      <c r="P2575" s="185">
        <v>292</v>
      </c>
      <c r="Q2575" s="185">
        <v>108000000</v>
      </c>
      <c r="R2575" s="185">
        <v>1110000</v>
      </c>
      <c r="S2575" s="185">
        <v>721000</v>
      </c>
      <c r="T2575" s="185">
        <v>68.3</v>
      </c>
      <c r="U2575" s="185"/>
      <c r="V2575" s="185"/>
    </row>
    <row r="2576" spans="1:22">
      <c r="A2576" s="176" t="s">
        <v>5187</v>
      </c>
      <c r="B2576" s="176" t="s">
        <v>5187</v>
      </c>
      <c r="C2576" s="185">
        <v>212</v>
      </c>
      <c r="D2576" s="185">
        <v>26970</v>
      </c>
      <c r="E2576" s="185">
        <v>708</v>
      </c>
      <c r="F2576" s="185">
        <v>302</v>
      </c>
      <c r="G2576" s="185">
        <v>15</v>
      </c>
      <c r="H2576" s="185">
        <v>28</v>
      </c>
      <c r="I2576" s="185"/>
      <c r="J2576" s="185">
        <v>18</v>
      </c>
      <c r="K2576" s="185">
        <f t="shared" si="27"/>
        <v>5.3928571428571432</v>
      </c>
      <c r="L2576" s="185">
        <f t="shared" si="28"/>
        <v>41.06666666666667</v>
      </c>
      <c r="M2576" s="185">
        <v>2330000000</v>
      </c>
      <c r="N2576" s="185">
        <v>7440000</v>
      </c>
      <c r="O2576" s="185">
        <v>6590000</v>
      </c>
      <c r="P2576" s="185">
        <v>294</v>
      </c>
      <c r="Q2576" s="185">
        <v>129000000</v>
      </c>
      <c r="R2576" s="185">
        <v>1320000</v>
      </c>
      <c r="S2576" s="185">
        <v>853000</v>
      </c>
      <c r="T2576" s="185">
        <v>69.099999999999994</v>
      </c>
      <c r="U2576" s="185"/>
      <c r="V2576" s="185"/>
    </row>
    <row r="2577" spans="1:22">
      <c r="A2577" s="176" t="s">
        <v>5188</v>
      </c>
      <c r="B2577" s="176" t="s">
        <v>5188</v>
      </c>
      <c r="C2577" s="185">
        <v>244</v>
      </c>
      <c r="D2577" s="185">
        <v>31030</v>
      </c>
      <c r="E2577" s="185">
        <v>712</v>
      </c>
      <c r="F2577" s="185">
        <v>306</v>
      </c>
      <c r="G2577" s="185">
        <v>19</v>
      </c>
      <c r="H2577" s="185">
        <v>30</v>
      </c>
      <c r="I2577" s="185"/>
      <c r="J2577" s="185">
        <v>18</v>
      </c>
      <c r="K2577" s="185">
        <f t="shared" si="27"/>
        <v>5.0999999999999996</v>
      </c>
      <c r="L2577" s="185">
        <f t="shared" si="28"/>
        <v>32.421052631578945</v>
      </c>
      <c r="M2577" s="185">
        <v>2600000000</v>
      </c>
      <c r="N2577" s="185">
        <v>8370000</v>
      </c>
      <c r="O2577" s="185">
        <v>7320000</v>
      </c>
      <c r="P2577" s="185">
        <v>289.7</v>
      </c>
      <c r="Q2577" s="185">
        <v>144000000</v>
      </c>
      <c r="R2577" s="185">
        <v>1470000</v>
      </c>
      <c r="S2577" s="185">
        <v>941000</v>
      </c>
      <c r="T2577" s="185">
        <v>68.099999999999994</v>
      </c>
      <c r="U2577" s="185"/>
      <c r="V2577" s="185"/>
    </row>
    <row r="2578" spans="1:22">
      <c r="A2578" s="176" t="s">
        <v>5189</v>
      </c>
      <c r="B2578" s="176" t="s">
        <v>5189</v>
      </c>
      <c r="C2578" s="185">
        <v>269</v>
      </c>
      <c r="D2578" s="185">
        <v>34300</v>
      </c>
      <c r="E2578" s="185">
        <v>718</v>
      </c>
      <c r="F2578" s="185">
        <v>308</v>
      </c>
      <c r="G2578" s="185">
        <v>21</v>
      </c>
      <c r="H2578" s="185">
        <v>33</v>
      </c>
      <c r="I2578" s="185"/>
      <c r="J2578" s="185">
        <v>18</v>
      </c>
      <c r="K2578" s="185">
        <f t="shared" si="27"/>
        <v>4.666666666666667</v>
      </c>
      <c r="L2578" s="185">
        <f t="shared" si="28"/>
        <v>29.333333333333332</v>
      </c>
      <c r="M2578" s="185">
        <v>2900000000</v>
      </c>
      <c r="N2578" s="185">
        <v>9290000</v>
      </c>
      <c r="O2578" s="185">
        <v>8080000</v>
      </c>
      <c r="P2578" s="185">
        <v>290.79999999999995</v>
      </c>
      <c r="Q2578" s="185">
        <v>162000000</v>
      </c>
      <c r="R2578" s="185">
        <v>1640000</v>
      </c>
      <c r="S2578" s="185">
        <v>1050000</v>
      </c>
      <c r="T2578" s="185">
        <v>68.7</v>
      </c>
      <c r="U2578" s="185"/>
      <c r="V2578" s="185"/>
    </row>
    <row r="2579" spans="1:22">
      <c r="A2579" s="176" t="s">
        <v>5190</v>
      </c>
      <c r="B2579" s="176" t="s">
        <v>5190</v>
      </c>
      <c r="C2579" s="185">
        <v>320</v>
      </c>
      <c r="D2579" s="185">
        <v>40810</v>
      </c>
      <c r="E2579" s="185">
        <v>732</v>
      </c>
      <c r="F2579" s="185">
        <v>311</v>
      </c>
      <c r="G2579" s="185">
        <v>24</v>
      </c>
      <c r="H2579" s="185">
        <v>40</v>
      </c>
      <c r="I2579" s="185"/>
      <c r="J2579" s="185">
        <v>18</v>
      </c>
      <c r="K2579" s="185">
        <f t="shared" si="27"/>
        <v>3.8875000000000002</v>
      </c>
      <c r="L2579" s="185">
        <f t="shared" si="28"/>
        <v>25.666666666666668</v>
      </c>
      <c r="M2579" s="185">
        <v>3570000000</v>
      </c>
      <c r="N2579" s="185">
        <v>11300000</v>
      </c>
      <c r="O2579" s="185">
        <v>9740000</v>
      </c>
      <c r="P2579" s="185">
        <v>295.59999999999997</v>
      </c>
      <c r="Q2579" s="185">
        <v>202000000</v>
      </c>
      <c r="R2579" s="185">
        <v>2030000</v>
      </c>
      <c r="S2579" s="185">
        <v>1300000</v>
      </c>
      <c r="T2579" s="185">
        <v>70.3</v>
      </c>
      <c r="U2579" s="185"/>
      <c r="V2579" s="185"/>
    </row>
    <row r="2580" spans="1:22">
      <c r="A2580" s="176" t="s">
        <v>5191</v>
      </c>
      <c r="B2580" s="176" t="s">
        <v>5191</v>
      </c>
      <c r="C2580" s="185">
        <v>188</v>
      </c>
      <c r="D2580" s="185">
        <v>23950</v>
      </c>
      <c r="E2580" s="185">
        <v>792</v>
      </c>
      <c r="F2580" s="185">
        <v>300</v>
      </c>
      <c r="G2580" s="185">
        <v>14</v>
      </c>
      <c r="H2580" s="185">
        <v>22</v>
      </c>
      <c r="I2580" s="185"/>
      <c r="J2580" s="185">
        <v>18</v>
      </c>
      <c r="K2580" s="185">
        <f t="shared" si="27"/>
        <v>6.8181818181818183</v>
      </c>
      <c r="L2580" s="185">
        <f t="shared" si="28"/>
        <v>50.857142857142854</v>
      </c>
      <c r="M2580" s="185">
        <v>2480000000</v>
      </c>
      <c r="N2580" s="185">
        <v>7140000</v>
      </c>
      <c r="O2580" s="185">
        <v>6270000</v>
      </c>
      <c r="P2580" s="185">
        <v>322</v>
      </c>
      <c r="Q2580" s="185">
        <v>99200000</v>
      </c>
      <c r="R2580" s="185">
        <v>1030000</v>
      </c>
      <c r="S2580" s="185">
        <v>661000</v>
      </c>
      <c r="T2580" s="185">
        <v>64.400000000000006</v>
      </c>
      <c r="U2580" s="185"/>
      <c r="V2580" s="185"/>
    </row>
    <row r="2581" spans="1:22">
      <c r="A2581" s="176" t="s">
        <v>5192</v>
      </c>
      <c r="B2581" s="176" t="s">
        <v>5192</v>
      </c>
      <c r="C2581" s="185">
        <v>207</v>
      </c>
      <c r="D2581" s="185">
        <v>26350</v>
      </c>
      <c r="E2581" s="185">
        <v>800</v>
      </c>
      <c r="F2581" s="185">
        <v>300</v>
      </c>
      <c r="G2581" s="185">
        <v>14</v>
      </c>
      <c r="H2581" s="185">
        <v>26</v>
      </c>
      <c r="I2581" s="185"/>
      <c r="J2581" s="185">
        <v>18</v>
      </c>
      <c r="K2581" s="185">
        <f t="shared" si="27"/>
        <v>5.7692307692307692</v>
      </c>
      <c r="L2581" s="185">
        <f t="shared" si="28"/>
        <v>50.857142857142854</v>
      </c>
      <c r="M2581" s="185">
        <v>2860000000</v>
      </c>
      <c r="N2581" s="185">
        <v>8100000</v>
      </c>
      <c r="O2581" s="185">
        <v>7160000</v>
      </c>
      <c r="P2581" s="185">
        <v>330</v>
      </c>
      <c r="Q2581" s="185">
        <v>117000000</v>
      </c>
      <c r="R2581" s="185">
        <v>1210000</v>
      </c>
      <c r="S2581" s="185">
        <v>781000</v>
      </c>
      <c r="T2581" s="185">
        <v>66.7</v>
      </c>
      <c r="U2581" s="185"/>
      <c r="V2581" s="185"/>
    </row>
    <row r="2582" spans="1:22">
      <c r="A2582" s="176" t="s">
        <v>5193</v>
      </c>
      <c r="B2582" s="176" t="s">
        <v>5193</v>
      </c>
      <c r="C2582" s="185">
        <v>238</v>
      </c>
      <c r="D2582" s="185">
        <v>30370</v>
      </c>
      <c r="E2582" s="185">
        <v>808</v>
      </c>
      <c r="F2582" s="185">
        <v>302</v>
      </c>
      <c r="G2582" s="185">
        <v>16</v>
      </c>
      <c r="H2582" s="185">
        <v>30</v>
      </c>
      <c r="I2582" s="185"/>
      <c r="J2582" s="185">
        <v>18</v>
      </c>
      <c r="K2582" s="185">
        <f t="shared" si="27"/>
        <v>5.0333333333333332</v>
      </c>
      <c r="L2582" s="185">
        <f t="shared" si="28"/>
        <v>44.5</v>
      </c>
      <c r="M2582" s="185">
        <v>3340000000</v>
      </c>
      <c r="N2582" s="185">
        <v>9390000</v>
      </c>
      <c r="O2582" s="185">
        <v>8270000</v>
      </c>
      <c r="P2582" s="185">
        <v>332</v>
      </c>
      <c r="Q2582" s="185">
        <v>138000000</v>
      </c>
      <c r="R2582" s="185">
        <v>1420000</v>
      </c>
      <c r="S2582" s="185">
        <v>914000</v>
      </c>
      <c r="T2582" s="185">
        <v>67.400000000000006</v>
      </c>
      <c r="U2582" s="185"/>
      <c r="V2582" s="185"/>
    </row>
    <row r="2583" spans="1:22">
      <c r="A2583" s="177" t="s">
        <v>5194</v>
      </c>
      <c r="B2583" s="177" t="s">
        <v>5194</v>
      </c>
      <c r="C2583" s="187">
        <v>1.2</v>
      </c>
      <c r="D2583" s="187">
        <v>153</v>
      </c>
      <c r="E2583" s="187">
        <v>21.3</v>
      </c>
      <c r="F2583" s="188"/>
      <c r="G2583" s="187">
        <v>2.6</v>
      </c>
      <c r="H2583" s="187">
        <v>2.6</v>
      </c>
      <c r="I2583" s="187">
        <v>2.6</v>
      </c>
      <c r="J2583" s="188"/>
      <c r="K2583" s="187">
        <v>8.19</v>
      </c>
      <c r="L2583" s="187">
        <v>8.19</v>
      </c>
      <c r="M2583" s="187">
        <v>6810.0000000000009</v>
      </c>
      <c r="N2583" s="187">
        <v>915</v>
      </c>
      <c r="O2583" s="187">
        <v>639</v>
      </c>
      <c r="P2583" s="187">
        <v>6.6800000000000006</v>
      </c>
      <c r="Q2583" s="187">
        <v>6810.0000000000009</v>
      </c>
      <c r="R2583" s="187">
        <v>915</v>
      </c>
      <c r="S2583" s="187">
        <v>639</v>
      </c>
      <c r="T2583" s="187">
        <v>6.6800000000000006</v>
      </c>
      <c r="U2583" s="187">
        <v>13600.000000000002</v>
      </c>
      <c r="V2583" s="188"/>
    </row>
    <row r="2584" spans="1:22">
      <c r="A2584" s="179" t="s">
        <v>5195</v>
      </c>
      <c r="B2584" s="179" t="s">
        <v>5195</v>
      </c>
      <c r="C2584" s="187">
        <v>1.32</v>
      </c>
      <c r="D2584" s="187">
        <v>168</v>
      </c>
      <c r="E2584" s="187">
        <v>21.3</v>
      </c>
      <c r="F2584" s="188"/>
      <c r="G2584" s="187">
        <v>2.9</v>
      </c>
      <c r="H2584" s="187">
        <v>2.9</v>
      </c>
      <c r="I2584" s="187">
        <v>2.9</v>
      </c>
      <c r="J2584" s="188"/>
      <c r="K2584" s="187">
        <v>7.34</v>
      </c>
      <c r="L2584" s="187">
        <v>7.34</v>
      </c>
      <c r="M2584" s="187">
        <v>7270</v>
      </c>
      <c r="N2584" s="187">
        <v>990</v>
      </c>
      <c r="O2584" s="187">
        <v>683</v>
      </c>
      <c r="P2584" s="187">
        <v>6.59</v>
      </c>
      <c r="Q2584" s="187">
        <v>7270</v>
      </c>
      <c r="R2584" s="187">
        <v>990</v>
      </c>
      <c r="S2584" s="187">
        <v>683</v>
      </c>
      <c r="T2584" s="187">
        <v>6.59</v>
      </c>
      <c r="U2584" s="187">
        <v>14500</v>
      </c>
      <c r="V2584" s="188"/>
    </row>
    <row r="2585" spans="1:22">
      <c r="A2585" s="179" t="s">
        <v>5196</v>
      </c>
      <c r="B2585" s="179" t="s">
        <v>5196</v>
      </c>
      <c r="C2585" s="187">
        <v>1.43</v>
      </c>
      <c r="D2585" s="187">
        <v>182</v>
      </c>
      <c r="E2585" s="187">
        <v>21.3</v>
      </c>
      <c r="F2585" s="188"/>
      <c r="G2585" s="187">
        <v>3.2</v>
      </c>
      <c r="H2585" s="187">
        <v>3.2</v>
      </c>
      <c r="I2585" s="187">
        <v>3.2</v>
      </c>
      <c r="J2585" s="188"/>
      <c r="K2585" s="187">
        <v>6.66</v>
      </c>
      <c r="L2585" s="187">
        <v>6.66</v>
      </c>
      <c r="M2585" s="187">
        <v>7680</v>
      </c>
      <c r="N2585" s="187">
        <v>1060</v>
      </c>
      <c r="O2585" s="187">
        <v>722</v>
      </c>
      <c r="P2585" s="187">
        <v>6.5</v>
      </c>
      <c r="Q2585" s="187">
        <v>7680</v>
      </c>
      <c r="R2585" s="187">
        <v>1060</v>
      </c>
      <c r="S2585" s="187">
        <v>722</v>
      </c>
      <c r="T2585" s="187">
        <v>6.5</v>
      </c>
      <c r="U2585" s="187">
        <v>15400</v>
      </c>
      <c r="V2585" s="188"/>
    </row>
    <row r="2586" spans="1:22">
      <c r="A2586" s="177" t="s">
        <v>5197</v>
      </c>
      <c r="B2586" s="177" t="s">
        <v>5197</v>
      </c>
      <c r="C2586" s="187">
        <v>1.56</v>
      </c>
      <c r="D2586" s="187">
        <v>198</v>
      </c>
      <c r="E2586" s="187">
        <v>26.9</v>
      </c>
      <c r="F2586" s="188"/>
      <c r="G2586" s="187">
        <v>2.6</v>
      </c>
      <c r="H2586" s="187">
        <v>2.6</v>
      </c>
      <c r="I2586" s="187">
        <v>2.6</v>
      </c>
      <c r="J2586" s="188"/>
      <c r="K2586" s="187">
        <v>10.3</v>
      </c>
      <c r="L2586" s="187">
        <v>10.3</v>
      </c>
      <c r="M2586" s="187">
        <v>14800</v>
      </c>
      <c r="N2586" s="187">
        <v>1540</v>
      </c>
      <c r="O2586" s="187">
        <v>1100</v>
      </c>
      <c r="P2586" s="187">
        <v>8.64</v>
      </c>
      <c r="Q2586" s="187">
        <v>14800</v>
      </c>
      <c r="R2586" s="187">
        <v>1540</v>
      </c>
      <c r="S2586" s="187">
        <v>1100</v>
      </c>
      <c r="T2586" s="187">
        <v>8.64</v>
      </c>
      <c r="U2586" s="187">
        <v>29600</v>
      </c>
      <c r="V2586" s="188"/>
    </row>
    <row r="2587" spans="1:22">
      <c r="A2587" s="179" t="s">
        <v>5198</v>
      </c>
      <c r="B2587" s="179" t="s">
        <v>5198</v>
      </c>
      <c r="C2587" s="187">
        <v>1.72</v>
      </c>
      <c r="D2587" s="187">
        <v>219</v>
      </c>
      <c r="E2587" s="187">
        <v>26.9</v>
      </c>
      <c r="F2587" s="188"/>
      <c r="G2587" s="187">
        <v>2.9</v>
      </c>
      <c r="H2587" s="187">
        <v>2.9</v>
      </c>
      <c r="I2587" s="187">
        <v>2.9</v>
      </c>
      <c r="J2587" s="188"/>
      <c r="K2587" s="187">
        <v>9.2799999999999994</v>
      </c>
      <c r="L2587" s="187">
        <v>9.2799999999999994</v>
      </c>
      <c r="M2587" s="187">
        <v>16000</v>
      </c>
      <c r="N2587" s="187">
        <v>1680</v>
      </c>
      <c r="O2587" s="187">
        <v>1190</v>
      </c>
      <c r="P2587" s="187">
        <v>8.5500000000000007</v>
      </c>
      <c r="Q2587" s="187">
        <v>16000</v>
      </c>
      <c r="R2587" s="187">
        <v>1680</v>
      </c>
      <c r="S2587" s="187">
        <v>1190</v>
      </c>
      <c r="T2587" s="187">
        <v>8.5500000000000007</v>
      </c>
      <c r="U2587" s="187">
        <v>31900</v>
      </c>
      <c r="V2587" s="188"/>
    </row>
    <row r="2588" spans="1:22">
      <c r="A2588" s="179" t="s">
        <v>5199</v>
      </c>
      <c r="B2588" s="179" t="s">
        <v>5199</v>
      </c>
      <c r="C2588" s="187">
        <v>1.87</v>
      </c>
      <c r="D2588" s="187">
        <v>238</v>
      </c>
      <c r="E2588" s="187">
        <v>26.9</v>
      </c>
      <c r="F2588" s="188"/>
      <c r="G2588" s="187">
        <v>3.2</v>
      </c>
      <c r="H2588" s="187">
        <v>3.2</v>
      </c>
      <c r="I2588" s="187">
        <v>3.2</v>
      </c>
      <c r="J2588" s="188"/>
      <c r="K2588" s="187">
        <v>8.41</v>
      </c>
      <c r="L2588" s="187">
        <v>8.41</v>
      </c>
      <c r="M2588" s="187">
        <v>17000</v>
      </c>
      <c r="N2588" s="187">
        <v>1810</v>
      </c>
      <c r="O2588" s="187">
        <v>1270</v>
      </c>
      <c r="P2588" s="187">
        <v>8.4599999999999991</v>
      </c>
      <c r="Q2588" s="187">
        <v>17000</v>
      </c>
      <c r="R2588" s="187">
        <v>1810</v>
      </c>
      <c r="S2588" s="187">
        <v>1270</v>
      </c>
      <c r="T2588" s="187">
        <v>8.4599999999999991</v>
      </c>
      <c r="U2588" s="187">
        <v>34100</v>
      </c>
      <c r="V2588" s="188"/>
    </row>
    <row r="2589" spans="1:22">
      <c r="A2589" s="179" t="s">
        <v>5200</v>
      </c>
      <c r="B2589" s="179" t="s">
        <v>5200</v>
      </c>
      <c r="C2589" s="187">
        <v>2.0699999999999998</v>
      </c>
      <c r="D2589" s="187">
        <v>264</v>
      </c>
      <c r="E2589" s="187">
        <v>26.9</v>
      </c>
      <c r="F2589" s="188"/>
      <c r="G2589" s="187">
        <v>3.6</v>
      </c>
      <c r="H2589" s="187">
        <v>3.6</v>
      </c>
      <c r="I2589" s="187">
        <v>3.6</v>
      </c>
      <c r="J2589" s="188"/>
      <c r="K2589" s="187">
        <v>7.47</v>
      </c>
      <c r="L2589" s="187">
        <v>7.47</v>
      </c>
      <c r="M2589" s="187">
        <v>18300</v>
      </c>
      <c r="N2589" s="187">
        <v>1970</v>
      </c>
      <c r="O2589" s="187">
        <v>1360</v>
      </c>
      <c r="P2589" s="187">
        <v>8.34</v>
      </c>
      <c r="Q2589" s="187">
        <v>18300</v>
      </c>
      <c r="R2589" s="187">
        <v>1970</v>
      </c>
      <c r="S2589" s="187">
        <v>1360</v>
      </c>
      <c r="T2589" s="187">
        <v>8.34</v>
      </c>
      <c r="U2589" s="187">
        <v>36600</v>
      </c>
      <c r="V2589" s="188"/>
    </row>
    <row r="2590" spans="1:22">
      <c r="A2590" s="177" t="s">
        <v>5201</v>
      </c>
      <c r="B2590" s="177" t="s">
        <v>5201</v>
      </c>
      <c r="C2590" s="187">
        <v>1.99</v>
      </c>
      <c r="D2590" s="187">
        <v>254</v>
      </c>
      <c r="E2590" s="187">
        <v>33.700000000000003</v>
      </c>
      <c r="F2590" s="188"/>
      <c r="G2590" s="187">
        <v>2.6</v>
      </c>
      <c r="H2590" s="187">
        <v>2.6</v>
      </c>
      <c r="I2590" s="187">
        <v>2.6</v>
      </c>
      <c r="J2590" s="188"/>
      <c r="K2590" s="187">
        <v>13</v>
      </c>
      <c r="L2590" s="187">
        <v>13</v>
      </c>
      <c r="M2590" s="187">
        <v>30900</v>
      </c>
      <c r="N2590" s="187">
        <v>2520</v>
      </c>
      <c r="O2590" s="187">
        <v>1840</v>
      </c>
      <c r="P2590" s="187">
        <v>11</v>
      </c>
      <c r="Q2590" s="187">
        <v>30900</v>
      </c>
      <c r="R2590" s="187">
        <v>2520</v>
      </c>
      <c r="S2590" s="187">
        <v>1840</v>
      </c>
      <c r="T2590" s="187">
        <v>11</v>
      </c>
      <c r="U2590" s="187">
        <v>61900.000000000007</v>
      </c>
      <c r="V2590" s="188"/>
    </row>
    <row r="2591" spans="1:22">
      <c r="A2591" s="179" t="s">
        <v>5202</v>
      </c>
      <c r="B2591" s="179" t="s">
        <v>5202</v>
      </c>
      <c r="C2591" s="187">
        <v>2.2000000000000002</v>
      </c>
      <c r="D2591" s="187">
        <v>281</v>
      </c>
      <c r="E2591" s="187">
        <v>33.700000000000003</v>
      </c>
      <c r="F2591" s="188"/>
      <c r="G2591" s="187">
        <v>2.9</v>
      </c>
      <c r="H2591" s="187">
        <v>2.9</v>
      </c>
      <c r="I2591" s="187">
        <v>2.9</v>
      </c>
      <c r="J2591" s="188"/>
      <c r="K2591" s="187">
        <v>11.6</v>
      </c>
      <c r="L2591" s="187">
        <v>11.6</v>
      </c>
      <c r="M2591" s="187">
        <v>33600</v>
      </c>
      <c r="N2591" s="187">
        <v>2760</v>
      </c>
      <c r="O2591" s="187">
        <v>1990</v>
      </c>
      <c r="P2591" s="187">
        <v>10.9</v>
      </c>
      <c r="Q2591" s="187">
        <v>33600</v>
      </c>
      <c r="R2591" s="187">
        <v>2760</v>
      </c>
      <c r="S2591" s="187">
        <v>1990</v>
      </c>
      <c r="T2591" s="187">
        <v>10.9</v>
      </c>
      <c r="U2591" s="187">
        <v>67100</v>
      </c>
      <c r="V2591" s="188"/>
    </row>
    <row r="2592" spans="1:22">
      <c r="A2592" s="179" t="s">
        <v>5203</v>
      </c>
      <c r="B2592" s="179" t="s">
        <v>5203</v>
      </c>
      <c r="C2592" s="187">
        <v>2.41</v>
      </c>
      <c r="D2592" s="187">
        <v>307</v>
      </c>
      <c r="E2592" s="187">
        <v>33.700000000000003</v>
      </c>
      <c r="F2592" s="188"/>
      <c r="G2592" s="187">
        <v>3.2</v>
      </c>
      <c r="H2592" s="187">
        <v>3.2</v>
      </c>
      <c r="I2592" s="187">
        <v>3.2</v>
      </c>
      <c r="J2592" s="188"/>
      <c r="K2592" s="187">
        <v>10.5</v>
      </c>
      <c r="L2592" s="187">
        <v>10.5</v>
      </c>
      <c r="M2592" s="187">
        <v>36000</v>
      </c>
      <c r="N2592" s="187">
        <v>2990</v>
      </c>
      <c r="O2592" s="187">
        <v>2140</v>
      </c>
      <c r="P2592" s="187">
        <v>10.8</v>
      </c>
      <c r="Q2592" s="187">
        <v>36000</v>
      </c>
      <c r="R2592" s="187">
        <v>2990</v>
      </c>
      <c r="S2592" s="187">
        <v>2140</v>
      </c>
      <c r="T2592" s="187">
        <v>10.8</v>
      </c>
      <c r="U2592" s="187">
        <v>72100</v>
      </c>
      <c r="V2592" s="188"/>
    </row>
    <row r="2593" spans="1:22">
      <c r="A2593" s="179" t="s">
        <v>5204</v>
      </c>
      <c r="B2593" s="179" t="s">
        <v>5204</v>
      </c>
      <c r="C2593" s="187">
        <v>2.67</v>
      </c>
      <c r="D2593" s="187">
        <v>340</v>
      </c>
      <c r="E2593" s="187">
        <v>33.700000000000003</v>
      </c>
      <c r="F2593" s="188"/>
      <c r="G2593" s="187">
        <v>3.6</v>
      </c>
      <c r="H2593" s="187">
        <v>3.6</v>
      </c>
      <c r="I2593" s="187">
        <v>3.6</v>
      </c>
      <c r="J2593" s="188"/>
      <c r="K2593" s="187">
        <v>9.36</v>
      </c>
      <c r="L2593" s="187">
        <v>9.36</v>
      </c>
      <c r="M2593" s="187">
        <v>39100</v>
      </c>
      <c r="N2593" s="187">
        <v>3280</v>
      </c>
      <c r="O2593" s="187">
        <v>2320</v>
      </c>
      <c r="P2593" s="187">
        <v>10.700000000000001</v>
      </c>
      <c r="Q2593" s="187">
        <v>39100</v>
      </c>
      <c r="R2593" s="187">
        <v>3280</v>
      </c>
      <c r="S2593" s="187">
        <v>2320</v>
      </c>
      <c r="T2593" s="187">
        <v>10.700000000000001</v>
      </c>
      <c r="U2593" s="187">
        <v>78200</v>
      </c>
      <c r="V2593" s="188"/>
    </row>
    <row r="2594" spans="1:22">
      <c r="A2594" s="179" t="s">
        <v>5205</v>
      </c>
      <c r="B2594" s="179" t="s">
        <v>5205</v>
      </c>
      <c r="C2594" s="187">
        <v>2.93</v>
      </c>
      <c r="D2594" s="187">
        <v>373</v>
      </c>
      <c r="E2594" s="187">
        <v>33.700000000000003</v>
      </c>
      <c r="F2594" s="188"/>
      <c r="G2594" s="187">
        <v>4</v>
      </c>
      <c r="H2594" s="187">
        <v>4</v>
      </c>
      <c r="I2594" s="187">
        <v>4</v>
      </c>
      <c r="J2594" s="188"/>
      <c r="K2594" s="187">
        <v>8.43</v>
      </c>
      <c r="L2594" s="187">
        <v>8.43</v>
      </c>
      <c r="M2594" s="187">
        <v>41900.000000000007</v>
      </c>
      <c r="N2594" s="187">
        <v>3550</v>
      </c>
      <c r="O2594" s="187">
        <v>2490</v>
      </c>
      <c r="P2594" s="187">
        <v>10.600000000000001</v>
      </c>
      <c r="Q2594" s="187">
        <v>41900.000000000007</v>
      </c>
      <c r="R2594" s="187">
        <v>3550</v>
      </c>
      <c r="S2594" s="187">
        <v>2490</v>
      </c>
      <c r="T2594" s="187">
        <v>10.600000000000001</v>
      </c>
      <c r="U2594" s="187">
        <v>83800.000000000015</v>
      </c>
      <c r="V2594" s="188"/>
    </row>
    <row r="2595" spans="1:22">
      <c r="A2595" s="179" t="s">
        <v>5206</v>
      </c>
      <c r="B2595" s="179" t="s">
        <v>5206</v>
      </c>
      <c r="C2595" s="187">
        <v>3.24</v>
      </c>
      <c r="D2595" s="187">
        <v>413</v>
      </c>
      <c r="E2595" s="187">
        <v>33.700000000000003</v>
      </c>
      <c r="F2595" s="188"/>
      <c r="G2595" s="187">
        <v>4.5</v>
      </c>
      <c r="H2595" s="187">
        <v>4.5</v>
      </c>
      <c r="I2595" s="187">
        <v>4.5</v>
      </c>
      <c r="J2595" s="188"/>
      <c r="K2595" s="187">
        <v>7.49</v>
      </c>
      <c r="L2595" s="187">
        <v>7.49</v>
      </c>
      <c r="M2595" s="187">
        <v>45000</v>
      </c>
      <c r="N2595" s="187">
        <v>3870</v>
      </c>
      <c r="O2595" s="187">
        <v>2670</v>
      </c>
      <c r="P2595" s="187">
        <v>10.4</v>
      </c>
      <c r="Q2595" s="187">
        <v>45000</v>
      </c>
      <c r="R2595" s="187">
        <v>3870</v>
      </c>
      <c r="S2595" s="187">
        <v>2670</v>
      </c>
      <c r="T2595" s="187">
        <v>10.4</v>
      </c>
      <c r="U2595" s="187">
        <v>90100</v>
      </c>
      <c r="V2595" s="188"/>
    </row>
    <row r="2596" spans="1:22">
      <c r="A2596" s="177" t="s">
        <v>5207</v>
      </c>
      <c r="B2596" s="177" t="s">
        <v>5207</v>
      </c>
      <c r="C2596" s="187">
        <v>2.5499999999999998</v>
      </c>
      <c r="D2596" s="187">
        <v>325</v>
      </c>
      <c r="E2596" s="187">
        <v>42.4</v>
      </c>
      <c r="F2596" s="188"/>
      <c r="G2596" s="187">
        <v>2.6</v>
      </c>
      <c r="H2596" s="187">
        <v>2.6</v>
      </c>
      <c r="I2596" s="187">
        <v>2.6</v>
      </c>
      <c r="J2596" s="188"/>
      <c r="K2596" s="187">
        <v>16.3</v>
      </c>
      <c r="L2596" s="187">
        <v>16.3</v>
      </c>
      <c r="M2596" s="187">
        <v>64600</v>
      </c>
      <c r="N2596" s="187">
        <v>4120</v>
      </c>
      <c r="O2596" s="187">
        <v>3050</v>
      </c>
      <c r="P2596" s="187">
        <v>14.1</v>
      </c>
      <c r="Q2596" s="187">
        <v>64600</v>
      </c>
      <c r="R2596" s="187">
        <v>4120</v>
      </c>
      <c r="S2596" s="187">
        <v>3050</v>
      </c>
      <c r="T2596" s="187">
        <v>14.1</v>
      </c>
      <c r="U2596" s="187">
        <v>129000</v>
      </c>
      <c r="V2596" s="188"/>
    </row>
    <row r="2597" spans="1:22">
      <c r="A2597" s="179" t="s">
        <v>5208</v>
      </c>
      <c r="B2597" s="179" t="s">
        <v>5208</v>
      </c>
      <c r="C2597" s="187">
        <v>2.82</v>
      </c>
      <c r="D2597" s="187">
        <v>360</v>
      </c>
      <c r="E2597" s="187">
        <v>42.4</v>
      </c>
      <c r="F2597" s="188"/>
      <c r="G2597" s="187">
        <v>2.9</v>
      </c>
      <c r="H2597" s="187">
        <v>2.9</v>
      </c>
      <c r="I2597" s="187">
        <v>2.9</v>
      </c>
      <c r="J2597" s="188"/>
      <c r="K2597" s="187">
        <v>14.6</v>
      </c>
      <c r="L2597" s="187">
        <v>14.6</v>
      </c>
      <c r="M2597" s="187">
        <v>70600</v>
      </c>
      <c r="N2597" s="187">
        <v>4530</v>
      </c>
      <c r="O2597" s="187">
        <v>3330</v>
      </c>
      <c r="P2597" s="187">
        <v>14</v>
      </c>
      <c r="Q2597" s="187">
        <v>70600</v>
      </c>
      <c r="R2597" s="187">
        <v>4530</v>
      </c>
      <c r="S2597" s="187">
        <v>3330</v>
      </c>
      <c r="T2597" s="187">
        <v>14</v>
      </c>
      <c r="U2597" s="187">
        <v>141000</v>
      </c>
      <c r="V2597" s="188"/>
    </row>
    <row r="2598" spans="1:22">
      <c r="A2598" s="179" t="s">
        <v>5209</v>
      </c>
      <c r="B2598" s="179" t="s">
        <v>5209</v>
      </c>
      <c r="C2598" s="187">
        <v>3.09</v>
      </c>
      <c r="D2598" s="187">
        <v>394</v>
      </c>
      <c r="E2598" s="187">
        <v>42.4</v>
      </c>
      <c r="F2598" s="188"/>
      <c r="G2598" s="187">
        <v>3.2</v>
      </c>
      <c r="H2598" s="187">
        <v>3.2</v>
      </c>
      <c r="I2598" s="187">
        <v>3.2</v>
      </c>
      <c r="J2598" s="188"/>
      <c r="K2598" s="187">
        <v>13.3</v>
      </c>
      <c r="L2598" s="187">
        <v>13.3</v>
      </c>
      <c r="M2598" s="187">
        <v>76200</v>
      </c>
      <c r="N2598" s="187">
        <v>4930</v>
      </c>
      <c r="O2598" s="187">
        <v>3590</v>
      </c>
      <c r="P2598" s="187">
        <v>13.899999999999999</v>
      </c>
      <c r="Q2598" s="187">
        <v>76200</v>
      </c>
      <c r="R2598" s="187">
        <v>4930</v>
      </c>
      <c r="S2598" s="187">
        <v>3590</v>
      </c>
      <c r="T2598" s="187">
        <v>13.899999999999999</v>
      </c>
      <c r="U2598" s="187">
        <v>152000</v>
      </c>
      <c r="V2598" s="188"/>
    </row>
    <row r="2599" spans="1:22">
      <c r="A2599" s="179" t="s">
        <v>5210</v>
      </c>
      <c r="B2599" s="179" t="s">
        <v>5210</v>
      </c>
      <c r="C2599" s="187">
        <v>3.44</v>
      </c>
      <c r="D2599" s="187">
        <v>438.99999999999994</v>
      </c>
      <c r="E2599" s="187">
        <v>42.4</v>
      </c>
      <c r="F2599" s="188"/>
      <c r="G2599" s="187">
        <v>3.6</v>
      </c>
      <c r="H2599" s="187">
        <v>3.6</v>
      </c>
      <c r="I2599" s="187">
        <v>3.6</v>
      </c>
      <c r="J2599" s="188"/>
      <c r="K2599" s="187">
        <v>11.8</v>
      </c>
      <c r="L2599" s="187">
        <v>11.8</v>
      </c>
      <c r="M2599" s="187">
        <v>83300</v>
      </c>
      <c r="N2599" s="187">
        <v>5440</v>
      </c>
      <c r="O2599" s="187">
        <v>3930</v>
      </c>
      <c r="P2599" s="187">
        <v>13.799999999999999</v>
      </c>
      <c r="Q2599" s="187">
        <v>83300</v>
      </c>
      <c r="R2599" s="187">
        <v>5440</v>
      </c>
      <c r="S2599" s="187">
        <v>3930</v>
      </c>
      <c r="T2599" s="187">
        <v>13.799999999999999</v>
      </c>
      <c r="U2599" s="187">
        <v>167000</v>
      </c>
      <c r="V2599" s="188"/>
    </row>
    <row r="2600" spans="1:22">
      <c r="A2600" s="179" t="s">
        <v>5211</v>
      </c>
      <c r="B2600" s="179" t="s">
        <v>5211</v>
      </c>
      <c r="C2600" s="187">
        <v>3.79</v>
      </c>
      <c r="D2600" s="187">
        <v>483</v>
      </c>
      <c r="E2600" s="187">
        <v>42.4</v>
      </c>
      <c r="F2600" s="188"/>
      <c r="G2600" s="187">
        <v>4</v>
      </c>
      <c r="H2600" s="187">
        <v>4</v>
      </c>
      <c r="I2600" s="187">
        <v>4</v>
      </c>
      <c r="J2600" s="188"/>
      <c r="K2600" s="187">
        <v>10.6</v>
      </c>
      <c r="L2600" s="187">
        <v>10.6</v>
      </c>
      <c r="M2600" s="187">
        <v>89900</v>
      </c>
      <c r="N2600" s="187">
        <v>5920</v>
      </c>
      <c r="O2600" s="187">
        <v>4240</v>
      </c>
      <c r="P2600" s="187">
        <v>13.600000000000001</v>
      </c>
      <c r="Q2600" s="187">
        <v>89900</v>
      </c>
      <c r="R2600" s="187">
        <v>5920</v>
      </c>
      <c r="S2600" s="187">
        <v>4240</v>
      </c>
      <c r="T2600" s="187">
        <v>13.600000000000001</v>
      </c>
      <c r="U2600" s="187">
        <v>180000</v>
      </c>
      <c r="V2600" s="188"/>
    </row>
    <row r="2601" spans="1:22">
      <c r="A2601" s="179" t="s">
        <v>5212</v>
      </c>
      <c r="B2601" s="179" t="s">
        <v>5212</v>
      </c>
      <c r="C2601" s="187">
        <v>4.21</v>
      </c>
      <c r="D2601" s="187">
        <v>536</v>
      </c>
      <c r="E2601" s="187">
        <v>42.4</v>
      </c>
      <c r="F2601" s="188"/>
      <c r="G2601" s="187">
        <v>4.5</v>
      </c>
      <c r="H2601" s="187">
        <v>4.5</v>
      </c>
      <c r="I2601" s="187">
        <v>4.5</v>
      </c>
      <c r="J2601" s="188"/>
      <c r="K2601" s="187">
        <v>9.42</v>
      </c>
      <c r="L2601" s="187">
        <v>9.42</v>
      </c>
      <c r="M2601" s="187">
        <v>97600</v>
      </c>
      <c r="N2601" s="187">
        <v>6490</v>
      </c>
      <c r="O2601" s="187">
        <v>4600</v>
      </c>
      <c r="P2601" s="187">
        <v>13.5</v>
      </c>
      <c r="Q2601" s="187">
        <v>97600</v>
      </c>
      <c r="R2601" s="187">
        <v>6490</v>
      </c>
      <c r="S2601" s="187">
        <v>4600</v>
      </c>
      <c r="T2601" s="187">
        <v>13.5</v>
      </c>
      <c r="U2601" s="187">
        <v>195000</v>
      </c>
      <c r="V2601" s="188"/>
    </row>
    <row r="2602" spans="1:22">
      <c r="A2602" s="177" t="s">
        <v>5213</v>
      </c>
      <c r="B2602" s="177" t="s">
        <v>5213</v>
      </c>
      <c r="C2602" s="187">
        <v>2.93</v>
      </c>
      <c r="D2602" s="187">
        <v>373</v>
      </c>
      <c r="E2602" s="187">
        <v>48.3</v>
      </c>
      <c r="F2602" s="188"/>
      <c r="G2602" s="187">
        <v>2.6</v>
      </c>
      <c r="H2602" s="187">
        <v>2.6</v>
      </c>
      <c r="I2602" s="187">
        <v>2.6</v>
      </c>
      <c r="J2602" s="188"/>
      <c r="K2602" s="187">
        <v>18.600000000000001</v>
      </c>
      <c r="L2602" s="187">
        <v>18.600000000000001</v>
      </c>
      <c r="M2602" s="187">
        <v>97800</v>
      </c>
      <c r="N2602" s="187">
        <v>5440</v>
      </c>
      <c r="O2602" s="187">
        <v>4050</v>
      </c>
      <c r="P2602" s="187">
        <v>16.200000000000003</v>
      </c>
      <c r="Q2602" s="187">
        <v>97800</v>
      </c>
      <c r="R2602" s="187">
        <v>5440</v>
      </c>
      <c r="S2602" s="187">
        <v>4050</v>
      </c>
      <c r="T2602" s="187">
        <v>16.200000000000003</v>
      </c>
      <c r="U2602" s="187">
        <v>196000</v>
      </c>
      <c r="V2602" s="188"/>
    </row>
    <row r="2603" spans="1:22">
      <c r="A2603" s="179" t="s">
        <v>5214</v>
      </c>
      <c r="B2603" s="179" t="s">
        <v>5214</v>
      </c>
      <c r="C2603" s="187">
        <v>3.25</v>
      </c>
      <c r="D2603" s="187">
        <v>413.99999999999994</v>
      </c>
      <c r="E2603" s="187">
        <v>48.3</v>
      </c>
      <c r="F2603" s="188"/>
      <c r="G2603" s="187">
        <v>2.9</v>
      </c>
      <c r="H2603" s="187">
        <v>2.9</v>
      </c>
      <c r="I2603" s="187">
        <v>2.9</v>
      </c>
      <c r="J2603" s="188"/>
      <c r="K2603" s="187">
        <v>16.7</v>
      </c>
      <c r="L2603" s="187">
        <v>16.7</v>
      </c>
      <c r="M2603" s="187">
        <v>107000</v>
      </c>
      <c r="N2603" s="187">
        <v>5990</v>
      </c>
      <c r="O2603" s="187">
        <v>4430</v>
      </c>
      <c r="P2603" s="187">
        <v>16.100000000000001</v>
      </c>
      <c r="Q2603" s="187">
        <v>107000</v>
      </c>
      <c r="R2603" s="187">
        <v>5990</v>
      </c>
      <c r="S2603" s="187">
        <v>4430</v>
      </c>
      <c r="T2603" s="187">
        <v>16.100000000000001</v>
      </c>
      <c r="U2603" s="187">
        <v>214000</v>
      </c>
      <c r="V2603" s="188"/>
    </row>
    <row r="2604" spans="1:22">
      <c r="A2604" s="179" t="s">
        <v>5215</v>
      </c>
      <c r="B2604" s="179" t="s">
        <v>5215</v>
      </c>
      <c r="C2604" s="187">
        <v>3.56</v>
      </c>
      <c r="D2604" s="187">
        <v>453</v>
      </c>
      <c r="E2604" s="187">
        <v>48.3</v>
      </c>
      <c r="F2604" s="188"/>
      <c r="G2604" s="187">
        <v>3.2</v>
      </c>
      <c r="H2604" s="187">
        <v>3.2</v>
      </c>
      <c r="I2604" s="187">
        <v>3.2</v>
      </c>
      <c r="J2604" s="188"/>
      <c r="K2604" s="187">
        <v>15.1</v>
      </c>
      <c r="L2604" s="187">
        <v>15.1</v>
      </c>
      <c r="M2604" s="187">
        <v>116000</v>
      </c>
      <c r="N2604" s="187">
        <v>6520</v>
      </c>
      <c r="O2604" s="187">
        <v>4800</v>
      </c>
      <c r="P2604" s="187">
        <v>16</v>
      </c>
      <c r="Q2604" s="187">
        <v>116000</v>
      </c>
      <c r="R2604" s="187">
        <v>6520</v>
      </c>
      <c r="S2604" s="187">
        <v>4800</v>
      </c>
      <c r="T2604" s="187">
        <v>16</v>
      </c>
      <c r="U2604" s="187">
        <v>232000</v>
      </c>
      <c r="V2604" s="188"/>
    </row>
    <row r="2605" spans="1:22">
      <c r="A2605" s="179" t="s">
        <v>5216</v>
      </c>
      <c r="B2605" s="179" t="s">
        <v>5216</v>
      </c>
      <c r="C2605" s="187">
        <v>3.97</v>
      </c>
      <c r="D2605" s="187">
        <v>505.99999999999994</v>
      </c>
      <c r="E2605" s="187">
        <v>48.3</v>
      </c>
      <c r="F2605" s="188"/>
      <c r="G2605" s="187">
        <v>3.6</v>
      </c>
      <c r="H2605" s="187">
        <v>3.6</v>
      </c>
      <c r="I2605" s="187">
        <v>3.6</v>
      </c>
      <c r="J2605" s="188"/>
      <c r="K2605" s="187">
        <v>13.4</v>
      </c>
      <c r="L2605" s="187">
        <v>13.4</v>
      </c>
      <c r="M2605" s="187">
        <v>127000</v>
      </c>
      <c r="N2605" s="187">
        <v>7210</v>
      </c>
      <c r="O2605" s="187">
        <v>5260</v>
      </c>
      <c r="P2605" s="187">
        <v>15.9</v>
      </c>
      <c r="Q2605" s="187">
        <v>127000</v>
      </c>
      <c r="R2605" s="187">
        <v>7210</v>
      </c>
      <c r="S2605" s="187">
        <v>5260</v>
      </c>
      <c r="T2605" s="187">
        <v>15.9</v>
      </c>
      <c r="U2605" s="187">
        <v>254000</v>
      </c>
      <c r="V2605" s="188"/>
    </row>
    <row r="2606" spans="1:22">
      <c r="A2606" s="179" t="s">
        <v>5217</v>
      </c>
      <c r="B2606" s="179" t="s">
        <v>5217</v>
      </c>
      <c r="C2606" s="187">
        <v>4.37</v>
      </c>
      <c r="D2606" s="187">
        <v>557</v>
      </c>
      <c r="E2606" s="187">
        <v>48.3</v>
      </c>
      <c r="F2606" s="188"/>
      <c r="G2606" s="187">
        <v>4</v>
      </c>
      <c r="H2606" s="187">
        <v>4</v>
      </c>
      <c r="I2606" s="187">
        <v>4</v>
      </c>
      <c r="J2606" s="188"/>
      <c r="K2606" s="187">
        <v>12.1</v>
      </c>
      <c r="L2606" s="187">
        <v>12.1</v>
      </c>
      <c r="M2606" s="187">
        <v>138000</v>
      </c>
      <c r="N2606" s="187">
        <v>7870</v>
      </c>
      <c r="O2606" s="187">
        <v>5700</v>
      </c>
      <c r="P2606" s="187">
        <v>15.700000000000001</v>
      </c>
      <c r="Q2606" s="187">
        <v>138000</v>
      </c>
      <c r="R2606" s="187">
        <v>7870</v>
      </c>
      <c r="S2606" s="187">
        <v>5700</v>
      </c>
      <c r="T2606" s="187">
        <v>15.700000000000001</v>
      </c>
      <c r="U2606" s="187">
        <v>275000</v>
      </c>
      <c r="V2606" s="188"/>
    </row>
    <row r="2607" spans="1:22">
      <c r="A2607" s="179" t="s">
        <v>5218</v>
      </c>
      <c r="B2607" s="179" t="s">
        <v>5218</v>
      </c>
      <c r="C2607" s="187">
        <v>4.8600000000000003</v>
      </c>
      <c r="D2607" s="187">
        <v>619</v>
      </c>
      <c r="E2607" s="187">
        <v>48.3</v>
      </c>
      <c r="F2607" s="188"/>
      <c r="G2607" s="187">
        <v>4.5</v>
      </c>
      <c r="H2607" s="187">
        <v>4.5</v>
      </c>
      <c r="I2607" s="187">
        <v>4.5</v>
      </c>
      <c r="J2607" s="188"/>
      <c r="K2607" s="187">
        <v>10.7</v>
      </c>
      <c r="L2607" s="187">
        <v>10.7</v>
      </c>
      <c r="M2607" s="187">
        <v>150000</v>
      </c>
      <c r="N2607" s="187">
        <v>8660</v>
      </c>
      <c r="O2607" s="187">
        <v>6210</v>
      </c>
      <c r="P2607" s="187">
        <v>15.600000000000001</v>
      </c>
      <c r="Q2607" s="187">
        <v>150000</v>
      </c>
      <c r="R2607" s="187">
        <v>8660</v>
      </c>
      <c r="S2607" s="187">
        <v>6210</v>
      </c>
      <c r="T2607" s="187">
        <v>15.600000000000001</v>
      </c>
      <c r="U2607" s="187">
        <v>300000</v>
      </c>
      <c r="V2607" s="188"/>
    </row>
    <row r="2608" spans="1:22">
      <c r="A2608" s="179" t="s">
        <v>5219</v>
      </c>
      <c r="B2608" s="179" t="s">
        <v>5219</v>
      </c>
      <c r="C2608" s="187">
        <v>5.34</v>
      </c>
      <c r="D2608" s="187">
        <v>680</v>
      </c>
      <c r="E2608" s="187">
        <v>48.3</v>
      </c>
      <c r="F2608" s="188"/>
      <c r="G2608" s="187">
        <v>5</v>
      </c>
      <c r="H2608" s="187">
        <v>5</v>
      </c>
      <c r="I2608" s="187">
        <v>5</v>
      </c>
      <c r="J2608" s="188"/>
      <c r="K2608" s="187">
        <v>9.66</v>
      </c>
      <c r="L2608" s="187">
        <v>9.66</v>
      </c>
      <c r="M2608" s="187">
        <v>162000</v>
      </c>
      <c r="N2608" s="187">
        <v>9420</v>
      </c>
      <c r="O2608" s="187">
        <v>6690</v>
      </c>
      <c r="P2608" s="187">
        <v>15.4</v>
      </c>
      <c r="Q2608" s="187">
        <v>162000</v>
      </c>
      <c r="R2608" s="187">
        <v>9420</v>
      </c>
      <c r="S2608" s="187">
        <v>6690</v>
      </c>
      <c r="T2608" s="187">
        <v>15.4</v>
      </c>
      <c r="U2608" s="187">
        <v>323000</v>
      </c>
      <c r="V2608" s="188"/>
    </row>
    <row r="2609" spans="1:22">
      <c r="A2609" s="179" t="s">
        <v>5220</v>
      </c>
      <c r="B2609" s="179" t="s">
        <v>5220</v>
      </c>
      <c r="C2609" s="187">
        <v>5.9</v>
      </c>
      <c r="D2609" s="187">
        <v>751</v>
      </c>
      <c r="E2609" s="187">
        <v>48.3</v>
      </c>
      <c r="F2609" s="188"/>
      <c r="G2609" s="187">
        <v>5.6</v>
      </c>
      <c r="H2609" s="187">
        <v>5.6</v>
      </c>
      <c r="I2609" s="187">
        <v>5.6</v>
      </c>
      <c r="J2609" s="188"/>
      <c r="K2609" s="187">
        <v>8.6300000000000008</v>
      </c>
      <c r="L2609" s="187">
        <v>8.6300000000000008</v>
      </c>
      <c r="M2609" s="187">
        <v>174000</v>
      </c>
      <c r="N2609" s="187">
        <v>10300</v>
      </c>
      <c r="O2609" s="187">
        <v>7210</v>
      </c>
      <c r="P2609" s="187">
        <v>15.2</v>
      </c>
      <c r="Q2609" s="187">
        <v>174000</v>
      </c>
      <c r="R2609" s="187">
        <v>10300</v>
      </c>
      <c r="S2609" s="187">
        <v>7210</v>
      </c>
      <c r="T2609" s="187">
        <v>15.2</v>
      </c>
      <c r="U2609" s="187">
        <v>348000</v>
      </c>
      <c r="V2609" s="188"/>
    </row>
    <row r="2610" spans="1:22">
      <c r="A2610" s="179" t="s">
        <v>5221</v>
      </c>
      <c r="B2610" s="179" t="s">
        <v>5221</v>
      </c>
      <c r="C2610" s="187">
        <v>6.53</v>
      </c>
      <c r="D2610" s="187">
        <v>831</v>
      </c>
      <c r="E2610" s="187">
        <v>48.3</v>
      </c>
      <c r="F2610" s="188"/>
      <c r="G2610" s="187">
        <v>6.3</v>
      </c>
      <c r="H2610" s="187">
        <v>6.3</v>
      </c>
      <c r="I2610" s="187">
        <v>6.3</v>
      </c>
      <c r="J2610" s="188"/>
      <c r="K2610" s="187">
        <v>7.67</v>
      </c>
      <c r="L2610" s="187">
        <v>7.67</v>
      </c>
      <c r="M2610" s="187">
        <v>187000</v>
      </c>
      <c r="N2610" s="187">
        <v>11200</v>
      </c>
      <c r="O2610" s="187">
        <v>7760</v>
      </c>
      <c r="P2610" s="187">
        <v>15</v>
      </c>
      <c r="Q2610" s="187">
        <v>187000</v>
      </c>
      <c r="R2610" s="187">
        <v>11200</v>
      </c>
      <c r="S2610" s="187">
        <v>7760</v>
      </c>
      <c r="T2610" s="187">
        <v>15</v>
      </c>
      <c r="U2610" s="187">
        <v>375000</v>
      </c>
      <c r="V2610" s="188"/>
    </row>
    <row r="2611" spans="1:22">
      <c r="A2611" s="177" t="s">
        <v>5222</v>
      </c>
      <c r="B2611" s="177" t="s">
        <v>5222</v>
      </c>
      <c r="C2611" s="187">
        <v>3.7</v>
      </c>
      <c r="D2611" s="187">
        <v>471</v>
      </c>
      <c r="E2611" s="187">
        <v>60.3</v>
      </c>
      <c r="F2611" s="188"/>
      <c r="G2611" s="187">
        <v>2.6</v>
      </c>
      <c r="H2611" s="187">
        <v>2.6</v>
      </c>
      <c r="I2611" s="187">
        <v>2.6</v>
      </c>
      <c r="J2611" s="188"/>
      <c r="K2611" s="187">
        <v>23.2</v>
      </c>
      <c r="L2611" s="187">
        <v>23.2</v>
      </c>
      <c r="M2611" s="187">
        <v>197000</v>
      </c>
      <c r="N2611" s="187">
        <v>8660</v>
      </c>
      <c r="O2611" s="187">
        <v>6520</v>
      </c>
      <c r="P2611" s="187">
        <v>20.399999999999999</v>
      </c>
      <c r="Q2611" s="187">
        <v>197000</v>
      </c>
      <c r="R2611" s="187">
        <v>8660</v>
      </c>
      <c r="S2611" s="187">
        <v>6520</v>
      </c>
      <c r="T2611" s="187">
        <v>20.399999999999999</v>
      </c>
      <c r="U2611" s="187">
        <v>393000</v>
      </c>
      <c r="V2611" s="188"/>
    </row>
    <row r="2612" spans="1:22">
      <c r="A2612" s="179" t="s">
        <v>5223</v>
      </c>
      <c r="B2612" s="179" t="s">
        <v>5223</v>
      </c>
      <c r="C2612" s="187">
        <v>4.1100000000000003</v>
      </c>
      <c r="D2612" s="187">
        <v>523</v>
      </c>
      <c r="E2612" s="187">
        <v>60.3</v>
      </c>
      <c r="F2612" s="188"/>
      <c r="G2612" s="187">
        <v>2.9</v>
      </c>
      <c r="H2612" s="187">
        <v>2.9</v>
      </c>
      <c r="I2612" s="187">
        <v>2.9</v>
      </c>
      <c r="J2612" s="188"/>
      <c r="K2612" s="187">
        <v>20.8</v>
      </c>
      <c r="L2612" s="187">
        <v>20.8</v>
      </c>
      <c r="M2612" s="187">
        <v>216000</v>
      </c>
      <c r="N2612" s="187">
        <v>9560</v>
      </c>
      <c r="O2612" s="187">
        <v>7160</v>
      </c>
      <c r="P2612" s="187">
        <v>20.299999999999997</v>
      </c>
      <c r="Q2612" s="187">
        <v>216000</v>
      </c>
      <c r="R2612" s="187">
        <v>9560</v>
      </c>
      <c r="S2612" s="187">
        <v>7160</v>
      </c>
      <c r="T2612" s="187">
        <v>20.299999999999997</v>
      </c>
      <c r="U2612" s="187">
        <v>432000</v>
      </c>
      <c r="V2612" s="188"/>
    </row>
    <row r="2613" spans="1:22">
      <c r="A2613" s="179" t="s">
        <v>5224</v>
      </c>
      <c r="B2613" s="179" t="s">
        <v>5224</v>
      </c>
      <c r="C2613" s="187">
        <v>4.51</v>
      </c>
      <c r="D2613" s="187">
        <v>574</v>
      </c>
      <c r="E2613" s="187">
        <v>60.3</v>
      </c>
      <c r="F2613" s="188"/>
      <c r="G2613" s="187">
        <v>3.2</v>
      </c>
      <c r="H2613" s="187">
        <v>3.2</v>
      </c>
      <c r="I2613" s="187">
        <v>3.2</v>
      </c>
      <c r="J2613" s="188"/>
      <c r="K2613" s="187">
        <v>18.8</v>
      </c>
      <c r="L2613" s="187">
        <v>18.8</v>
      </c>
      <c r="M2613" s="187">
        <v>235000</v>
      </c>
      <c r="N2613" s="187">
        <v>10400</v>
      </c>
      <c r="O2613" s="187">
        <v>7780</v>
      </c>
      <c r="P2613" s="187">
        <v>20.2</v>
      </c>
      <c r="Q2613" s="187">
        <v>235000</v>
      </c>
      <c r="R2613" s="187">
        <v>10400</v>
      </c>
      <c r="S2613" s="187">
        <v>7780</v>
      </c>
      <c r="T2613" s="187">
        <v>20.2</v>
      </c>
      <c r="U2613" s="187">
        <v>469000</v>
      </c>
      <c r="V2613" s="188"/>
    </row>
    <row r="2614" spans="1:22">
      <c r="A2614" s="179" t="s">
        <v>5225</v>
      </c>
      <c r="B2614" s="179" t="s">
        <v>5225</v>
      </c>
      <c r="C2614" s="187">
        <v>5.03</v>
      </c>
      <c r="D2614" s="187">
        <v>641</v>
      </c>
      <c r="E2614" s="187">
        <v>60.3</v>
      </c>
      <c r="F2614" s="188"/>
      <c r="G2614" s="187">
        <v>3.6</v>
      </c>
      <c r="H2614" s="187">
        <v>3.6</v>
      </c>
      <c r="I2614" s="187">
        <v>3.6</v>
      </c>
      <c r="J2614" s="188"/>
      <c r="K2614" s="187">
        <v>16.8</v>
      </c>
      <c r="L2614" s="187">
        <v>16.8</v>
      </c>
      <c r="M2614" s="187">
        <v>259000</v>
      </c>
      <c r="N2614" s="187">
        <v>11600</v>
      </c>
      <c r="O2614" s="187">
        <v>8580</v>
      </c>
      <c r="P2614" s="187">
        <v>20.099999999999998</v>
      </c>
      <c r="Q2614" s="187">
        <v>259000</v>
      </c>
      <c r="R2614" s="187">
        <v>11600</v>
      </c>
      <c r="S2614" s="187">
        <v>8580</v>
      </c>
      <c r="T2614" s="187">
        <v>20.099999999999998</v>
      </c>
      <c r="U2614" s="187">
        <v>517000</v>
      </c>
      <c r="V2614" s="188"/>
    </row>
    <row r="2615" spans="1:22">
      <c r="A2615" s="179" t="s">
        <v>5226</v>
      </c>
      <c r="B2615" s="179" t="s">
        <v>5226</v>
      </c>
      <c r="C2615" s="187">
        <v>5.55</v>
      </c>
      <c r="D2615" s="187">
        <v>707</v>
      </c>
      <c r="E2615" s="187">
        <v>60.3</v>
      </c>
      <c r="F2615" s="188"/>
      <c r="G2615" s="187">
        <v>4</v>
      </c>
      <c r="H2615" s="187">
        <v>4</v>
      </c>
      <c r="I2615" s="187">
        <v>4</v>
      </c>
      <c r="J2615" s="188"/>
      <c r="K2615" s="187">
        <v>15.1</v>
      </c>
      <c r="L2615" s="187">
        <v>15.1</v>
      </c>
      <c r="M2615" s="187">
        <v>282000</v>
      </c>
      <c r="N2615" s="187">
        <v>12700</v>
      </c>
      <c r="O2615" s="187">
        <v>9340</v>
      </c>
      <c r="P2615" s="187">
        <v>20</v>
      </c>
      <c r="Q2615" s="187">
        <v>282000</v>
      </c>
      <c r="R2615" s="187">
        <v>12700</v>
      </c>
      <c r="S2615" s="187">
        <v>9340</v>
      </c>
      <c r="T2615" s="187">
        <v>20</v>
      </c>
      <c r="U2615" s="187">
        <v>563000</v>
      </c>
      <c r="V2615" s="188"/>
    </row>
    <row r="2616" spans="1:22">
      <c r="A2616" s="179" t="s">
        <v>5227</v>
      </c>
      <c r="B2616" s="179" t="s">
        <v>5227</v>
      </c>
      <c r="C2616" s="187">
        <v>6.19</v>
      </c>
      <c r="D2616" s="187">
        <v>789</v>
      </c>
      <c r="E2616" s="187">
        <v>60.3</v>
      </c>
      <c r="F2616" s="188"/>
      <c r="G2616" s="187">
        <v>4.5</v>
      </c>
      <c r="H2616" s="187">
        <v>4.5</v>
      </c>
      <c r="I2616" s="187">
        <v>4.5</v>
      </c>
      <c r="J2616" s="188"/>
      <c r="K2616" s="187">
        <v>13.4</v>
      </c>
      <c r="L2616" s="187">
        <v>13.4</v>
      </c>
      <c r="M2616" s="187">
        <v>309000</v>
      </c>
      <c r="N2616" s="187">
        <v>14000</v>
      </c>
      <c r="O2616" s="187">
        <v>10200</v>
      </c>
      <c r="P2616" s="187">
        <v>19.8</v>
      </c>
      <c r="Q2616" s="187">
        <v>309000</v>
      </c>
      <c r="R2616" s="187">
        <v>14000</v>
      </c>
      <c r="S2616" s="187">
        <v>10200</v>
      </c>
      <c r="T2616" s="187">
        <v>19.8</v>
      </c>
      <c r="U2616" s="187">
        <v>618000</v>
      </c>
      <c r="V2616" s="188"/>
    </row>
    <row r="2617" spans="1:22">
      <c r="A2617" s="179" t="s">
        <v>5228</v>
      </c>
      <c r="B2617" s="179" t="s">
        <v>5228</v>
      </c>
      <c r="C2617" s="187">
        <v>6.82</v>
      </c>
      <c r="D2617" s="187">
        <v>869</v>
      </c>
      <c r="E2617" s="187">
        <v>60.3</v>
      </c>
      <c r="F2617" s="188"/>
      <c r="G2617" s="187">
        <v>5</v>
      </c>
      <c r="H2617" s="187">
        <v>5</v>
      </c>
      <c r="I2617" s="187">
        <v>5</v>
      </c>
      <c r="J2617" s="188"/>
      <c r="K2617" s="187">
        <v>12.1</v>
      </c>
      <c r="L2617" s="187">
        <v>12.1</v>
      </c>
      <c r="M2617" s="187">
        <v>335000</v>
      </c>
      <c r="N2617" s="187">
        <v>15300</v>
      </c>
      <c r="O2617" s="187">
        <v>11100</v>
      </c>
      <c r="P2617" s="187">
        <v>19.600000000000001</v>
      </c>
      <c r="Q2617" s="187">
        <v>335000</v>
      </c>
      <c r="R2617" s="187">
        <v>15300</v>
      </c>
      <c r="S2617" s="187">
        <v>11100</v>
      </c>
      <c r="T2617" s="187">
        <v>19.600000000000001</v>
      </c>
      <c r="U2617" s="187">
        <v>670000</v>
      </c>
      <c r="V2617" s="188"/>
    </row>
    <row r="2618" spans="1:22">
      <c r="A2618" s="179" t="s">
        <v>5229</v>
      </c>
      <c r="B2618" s="179" t="s">
        <v>5229</v>
      </c>
      <c r="C2618" s="187">
        <v>7.55</v>
      </c>
      <c r="D2618" s="187">
        <v>961.99999999999989</v>
      </c>
      <c r="E2618" s="187">
        <v>60.3</v>
      </c>
      <c r="F2618" s="188"/>
      <c r="G2618" s="187">
        <v>5.6</v>
      </c>
      <c r="H2618" s="187">
        <v>5.6</v>
      </c>
      <c r="I2618" s="187">
        <v>5.6</v>
      </c>
      <c r="J2618" s="188"/>
      <c r="K2618" s="187">
        <v>10.8</v>
      </c>
      <c r="L2618" s="187">
        <v>10.8</v>
      </c>
      <c r="M2618" s="187">
        <v>364000</v>
      </c>
      <c r="N2618" s="187">
        <v>16800</v>
      </c>
      <c r="O2618" s="187">
        <v>12100</v>
      </c>
      <c r="P2618" s="187">
        <v>19.399999999999999</v>
      </c>
      <c r="Q2618" s="187">
        <v>364000</v>
      </c>
      <c r="R2618" s="187">
        <v>16800</v>
      </c>
      <c r="S2618" s="187">
        <v>12100</v>
      </c>
      <c r="T2618" s="187">
        <v>19.399999999999999</v>
      </c>
      <c r="U2618" s="187">
        <v>727000</v>
      </c>
      <c r="V2618" s="188"/>
    </row>
    <row r="2619" spans="1:22">
      <c r="A2619" s="179" t="s">
        <v>5230</v>
      </c>
      <c r="B2619" s="179" t="s">
        <v>5230</v>
      </c>
      <c r="C2619" s="187">
        <v>8.39</v>
      </c>
      <c r="D2619" s="187">
        <v>1070</v>
      </c>
      <c r="E2619" s="187">
        <v>60.3</v>
      </c>
      <c r="F2619" s="188"/>
      <c r="G2619" s="187">
        <v>6.3</v>
      </c>
      <c r="H2619" s="187">
        <v>6.3</v>
      </c>
      <c r="I2619" s="187">
        <v>6.3</v>
      </c>
      <c r="J2619" s="188"/>
      <c r="K2619" s="187">
        <v>9.57</v>
      </c>
      <c r="L2619" s="187">
        <v>9.57</v>
      </c>
      <c r="M2619" s="187">
        <v>395000</v>
      </c>
      <c r="N2619" s="187">
        <v>18500</v>
      </c>
      <c r="O2619" s="187">
        <v>13100</v>
      </c>
      <c r="P2619" s="187">
        <v>19.2</v>
      </c>
      <c r="Q2619" s="187">
        <v>395000</v>
      </c>
      <c r="R2619" s="187">
        <v>18500</v>
      </c>
      <c r="S2619" s="187">
        <v>13100</v>
      </c>
      <c r="T2619" s="187">
        <v>19.2</v>
      </c>
      <c r="U2619" s="187">
        <v>790000</v>
      </c>
      <c r="V2619" s="188"/>
    </row>
    <row r="2620" spans="1:22">
      <c r="A2620" s="179" t="s">
        <v>5231</v>
      </c>
      <c r="B2620" s="179" t="s">
        <v>5231</v>
      </c>
      <c r="C2620" s="187">
        <v>9.32</v>
      </c>
      <c r="D2620" s="187">
        <v>1190</v>
      </c>
      <c r="E2620" s="187">
        <v>60.3</v>
      </c>
      <c r="F2620" s="188"/>
      <c r="G2620" s="187">
        <v>7.1</v>
      </c>
      <c r="H2620" s="187">
        <v>7.1</v>
      </c>
      <c r="I2620" s="187">
        <v>7.1</v>
      </c>
      <c r="J2620" s="188"/>
      <c r="K2620" s="187">
        <v>8.49</v>
      </c>
      <c r="L2620" s="187">
        <v>8.49</v>
      </c>
      <c r="M2620" s="187">
        <v>427000</v>
      </c>
      <c r="N2620" s="187">
        <v>20200</v>
      </c>
      <c r="O2620" s="187">
        <v>14200</v>
      </c>
      <c r="P2620" s="187">
        <v>19</v>
      </c>
      <c r="Q2620" s="187">
        <v>427000</v>
      </c>
      <c r="R2620" s="187">
        <v>20200</v>
      </c>
      <c r="S2620" s="187">
        <v>14200</v>
      </c>
      <c r="T2620" s="187">
        <v>19</v>
      </c>
      <c r="U2620" s="187">
        <v>855000</v>
      </c>
      <c r="V2620" s="188"/>
    </row>
    <row r="2621" spans="1:22">
      <c r="A2621" s="179" t="s">
        <v>5232</v>
      </c>
      <c r="B2621" s="179" t="s">
        <v>5232</v>
      </c>
      <c r="C2621" s="187">
        <v>10.3</v>
      </c>
      <c r="D2621" s="187">
        <v>1310</v>
      </c>
      <c r="E2621" s="187">
        <v>60.3</v>
      </c>
      <c r="F2621" s="188"/>
      <c r="G2621" s="187">
        <v>8</v>
      </c>
      <c r="H2621" s="187">
        <v>8</v>
      </c>
      <c r="I2621" s="187">
        <v>8</v>
      </c>
      <c r="J2621" s="188"/>
      <c r="K2621" s="187">
        <v>7.54</v>
      </c>
      <c r="L2621" s="187">
        <v>7.54</v>
      </c>
      <c r="M2621" s="187">
        <v>460000</v>
      </c>
      <c r="N2621" s="187">
        <v>22100</v>
      </c>
      <c r="O2621" s="187">
        <v>15300</v>
      </c>
      <c r="P2621" s="187">
        <v>18.700000000000003</v>
      </c>
      <c r="Q2621" s="187">
        <v>460000</v>
      </c>
      <c r="R2621" s="187">
        <v>22100</v>
      </c>
      <c r="S2621" s="187">
        <v>15300</v>
      </c>
      <c r="T2621" s="187">
        <v>18.700000000000003</v>
      </c>
      <c r="U2621" s="187">
        <v>920000</v>
      </c>
      <c r="V2621" s="188"/>
    </row>
    <row r="2622" spans="1:22">
      <c r="A2622" s="177" t="s">
        <v>5233</v>
      </c>
      <c r="B2622" s="177" t="s">
        <v>5233</v>
      </c>
      <c r="C2622" s="187">
        <v>5.24</v>
      </c>
      <c r="D2622" s="187">
        <v>667</v>
      </c>
      <c r="E2622" s="187">
        <v>76.099999999999994</v>
      </c>
      <c r="F2622" s="188"/>
      <c r="G2622" s="187">
        <v>2.9</v>
      </c>
      <c r="H2622" s="187">
        <v>2.9</v>
      </c>
      <c r="I2622" s="187">
        <v>2.9</v>
      </c>
      <c r="J2622" s="188"/>
      <c r="K2622" s="187">
        <v>26.2</v>
      </c>
      <c r="L2622" s="187">
        <v>26.2</v>
      </c>
      <c r="M2622" s="187">
        <v>447000</v>
      </c>
      <c r="N2622" s="187">
        <v>15500</v>
      </c>
      <c r="O2622" s="187">
        <v>11800</v>
      </c>
      <c r="P2622" s="187">
        <v>25.9</v>
      </c>
      <c r="Q2622" s="187">
        <v>447000</v>
      </c>
      <c r="R2622" s="187">
        <v>15500</v>
      </c>
      <c r="S2622" s="187">
        <v>11800</v>
      </c>
      <c r="T2622" s="187">
        <v>25.9</v>
      </c>
      <c r="U2622" s="187">
        <v>895000</v>
      </c>
      <c r="V2622" s="188"/>
    </row>
    <row r="2623" spans="1:22">
      <c r="A2623" s="179" t="s">
        <v>5234</v>
      </c>
      <c r="B2623" s="179" t="s">
        <v>5234</v>
      </c>
      <c r="C2623" s="187">
        <v>5.75</v>
      </c>
      <c r="D2623" s="187">
        <v>733</v>
      </c>
      <c r="E2623" s="187">
        <v>76.099999999999994</v>
      </c>
      <c r="F2623" s="188"/>
      <c r="G2623" s="187">
        <v>3.2</v>
      </c>
      <c r="H2623" s="187">
        <v>3.2</v>
      </c>
      <c r="I2623" s="187">
        <v>3.2</v>
      </c>
      <c r="J2623" s="188"/>
      <c r="K2623" s="187">
        <v>23.8</v>
      </c>
      <c r="L2623" s="187">
        <v>23.8</v>
      </c>
      <c r="M2623" s="187">
        <v>488000</v>
      </c>
      <c r="N2623" s="187">
        <v>17000</v>
      </c>
      <c r="O2623" s="187">
        <v>12800</v>
      </c>
      <c r="P2623" s="187">
        <v>25.8</v>
      </c>
      <c r="Q2623" s="187">
        <v>488000</v>
      </c>
      <c r="R2623" s="187">
        <v>17000</v>
      </c>
      <c r="S2623" s="187">
        <v>12800</v>
      </c>
      <c r="T2623" s="187">
        <v>25.8</v>
      </c>
      <c r="U2623" s="187">
        <v>976000</v>
      </c>
      <c r="V2623" s="188"/>
    </row>
    <row r="2624" spans="1:22">
      <c r="A2624" s="179" t="s">
        <v>5235</v>
      </c>
      <c r="B2624" s="179" t="s">
        <v>5235</v>
      </c>
      <c r="C2624" s="187">
        <v>6.44</v>
      </c>
      <c r="D2624" s="187">
        <v>819.99999999999989</v>
      </c>
      <c r="E2624" s="187">
        <v>76.099999999999994</v>
      </c>
      <c r="F2624" s="188"/>
      <c r="G2624" s="187">
        <v>3.6</v>
      </c>
      <c r="H2624" s="187">
        <v>3.6</v>
      </c>
      <c r="I2624" s="187">
        <v>3.6</v>
      </c>
      <c r="J2624" s="188"/>
      <c r="K2624" s="187">
        <v>21.1</v>
      </c>
      <c r="L2624" s="187">
        <v>21.1</v>
      </c>
      <c r="M2624" s="187">
        <v>540000</v>
      </c>
      <c r="N2624" s="187">
        <v>18900</v>
      </c>
      <c r="O2624" s="187">
        <v>14200</v>
      </c>
      <c r="P2624" s="187">
        <v>25.7</v>
      </c>
      <c r="Q2624" s="187">
        <v>540000</v>
      </c>
      <c r="R2624" s="187">
        <v>18900</v>
      </c>
      <c r="S2624" s="187">
        <v>14200</v>
      </c>
      <c r="T2624" s="187">
        <v>25.7</v>
      </c>
      <c r="U2624" s="187">
        <v>1080000</v>
      </c>
      <c r="V2624" s="188"/>
    </row>
    <row r="2625" spans="1:22">
      <c r="A2625" s="179" t="s">
        <v>5236</v>
      </c>
      <c r="B2625" s="179" t="s">
        <v>5236</v>
      </c>
      <c r="C2625" s="187">
        <v>7.11</v>
      </c>
      <c r="D2625" s="187">
        <v>906</v>
      </c>
      <c r="E2625" s="187">
        <v>76.099999999999994</v>
      </c>
      <c r="F2625" s="188"/>
      <c r="G2625" s="187">
        <v>4</v>
      </c>
      <c r="H2625" s="187">
        <v>4</v>
      </c>
      <c r="I2625" s="187">
        <v>4</v>
      </c>
      <c r="J2625" s="188"/>
      <c r="K2625" s="187">
        <v>19</v>
      </c>
      <c r="L2625" s="187">
        <v>19</v>
      </c>
      <c r="M2625" s="187">
        <v>591000</v>
      </c>
      <c r="N2625" s="187">
        <v>20800</v>
      </c>
      <c r="O2625" s="187">
        <v>15500</v>
      </c>
      <c r="P2625" s="187">
        <v>25.5</v>
      </c>
      <c r="Q2625" s="187">
        <v>591000</v>
      </c>
      <c r="R2625" s="187">
        <v>20800</v>
      </c>
      <c r="S2625" s="187">
        <v>15500</v>
      </c>
      <c r="T2625" s="187">
        <v>25.5</v>
      </c>
      <c r="U2625" s="187">
        <v>1180000</v>
      </c>
      <c r="V2625" s="188"/>
    </row>
    <row r="2626" spans="1:22">
      <c r="A2626" s="179" t="s">
        <v>5237</v>
      </c>
      <c r="B2626" s="179" t="s">
        <v>5237</v>
      </c>
      <c r="C2626" s="187">
        <v>7.95</v>
      </c>
      <c r="D2626" s="187">
        <v>1010</v>
      </c>
      <c r="E2626" s="187">
        <v>76.099999999999994</v>
      </c>
      <c r="F2626" s="188"/>
      <c r="G2626" s="187">
        <v>4.5</v>
      </c>
      <c r="H2626" s="187">
        <v>4.5</v>
      </c>
      <c r="I2626" s="187">
        <v>4.5</v>
      </c>
      <c r="J2626" s="188"/>
      <c r="K2626" s="187">
        <v>16.899999999999999</v>
      </c>
      <c r="L2626" s="187">
        <v>16.899999999999999</v>
      </c>
      <c r="M2626" s="187">
        <v>651000</v>
      </c>
      <c r="N2626" s="187">
        <v>23100</v>
      </c>
      <c r="O2626" s="187">
        <v>17100</v>
      </c>
      <c r="P2626" s="187">
        <v>25.4</v>
      </c>
      <c r="Q2626" s="187">
        <v>651000</v>
      </c>
      <c r="R2626" s="187">
        <v>23100</v>
      </c>
      <c r="S2626" s="187">
        <v>17100</v>
      </c>
      <c r="T2626" s="187">
        <v>25.4</v>
      </c>
      <c r="U2626" s="187">
        <v>1300000</v>
      </c>
      <c r="V2626" s="188"/>
    </row>
    <row r="2627" spans="1:22">
      <c r="A2627" s="179" t="s">
        <v>5238</v>
      </c>
      <c r="B2627" s="179" t="s">
        <v>5238</v>
      </c>
      <c r="C2627" s="187">
        <v>8.77</v>
      </c>
      <c r="D2627" s="187">
        <v>1120</v>
      </c>
      <c r="E2627" s="187">
        <v>76.099999999999994</v>
      </c>
      <c r="F2627" s="188"/>
      <c r="G2627" s="187">
        <v>5</v>
      </c>
      <c r="H2627" s="187">
        <v>5</v>
      </c>
      <c r="I2627" s="187">
        <v>5</v>
      </c>
      <c r="J2627" s="188"/>
      <c r="K2627" s="187">
        <v>15.2</v>
      </c>
      <c r="L2627" s="187">
        <v>15.2</v>
      </c>
      <c r="M2627" s="187">
        <v>709000</v>
      </c>
      <c r="N2627" s="187">
        <v>25300</v>
      </c>
      <c r="O2627" s="187">
        <v>18600</v>
      </c>
      <c r="P2627" s="187">
        <v>25.2</v>
      </c>
      <c r="Q2627" s="187">
        <v>709000</v>
      </c>
      <c r="R2627" s="187">
        <v>25300</v>
      </c>
      <c r="S2627" s="187">
        <v>18600</v>
      </c>
      <c r="T2627" s="187">
        <v>25.2</v>
      </c>
      <c r="U2627" s="187">
        <v>1420000</v>
      </c>
      <c r="V2627" s="188"/>
    </row>
    <row r="2628" spans="1:22">
      <c r="A2628" s="179" t="s">
        <v>5239</v>
      </c>
      <c r="B2628" s="179" t="s">
        <v>5239</v>
      </c>
      <c r="C2628" s="187">
        <v>9.74</v>
      </c>
      <c r="D2628" s="187">
        <v>1240</v>
      </c>
      <c r="E2628" s="187">
        <v>76.099999999999994</v>
      </c>
      <c r="F2628" s="188"/>
      <c r="G2628" s="187">
        <v>5.6</v>
      </c>
      <c r="H2628" s="187">
        <v>5.6</v>
      </c>
      <c r="I2628" s="187">
        <v>5.6</v>
      </c>
      <c r="J2628" s="188"/>
      <c r="K2628" s="187">
        <v>13.6</v>
      </c>
      <c r="L2628" s="187">
        <v>13.6</v>
      </c>
      <c r="M2628" s="187">
        <v>775000</v>
      </c>
      <c r="N2628" s="187">
        <v>27900</v>
      </c>
      <c r="O2628" s="187">
        <v>20400</v>
      </c>
      <c r="P2628" s="187">
        <v>25</v>
      </c>
      <c r="Q2628" s="187">
        <v>775000</v>
      </c>
      <c r="R2628" s="187">
        <v>27900</v>
      </c>
      <c r="S2628" s="187">
        <v>20400</v>
      </c>
      <c r="T2628" s="187">
        <v>25</v>
      </c>
      <c r="U2628" s="187">
        <v>1550000</v>
      </c>
      <c r="V2628" s="188"/>
    </row>
    <row r="2629" spans="1:22">
      <c r="A2629" s="179" t="s">
        <v>5240</v>
      </c>
      <c r="B2629" s="179" t="s">
        <v>5240</v>
      </c>
      <c r="C2629" s="187">
        <v>10.8</v>
      </c>
      <c r="D2629" s="187">
        <v>1380</v>
      </c>
      <c r="E2629" s="187">
        <v>76.099999999999994</v>
      </c>
      <c r="F2629" s="188"/>
      <c r="G2629" s="187">
        <v>6.3</v>
      </c>
      <c r="H2629" s="187">
        <v>6.3</v>
      </c>
      <c r="I2629" s="187">
        <v>6.3</v>
      </c>
      <c r="J2629" s="188"/>
      <c r="K2629" s="187">
        <v>12.1</v>
      </c>
      <c r="L2629" s="187">
        <v>12.1</v>
      </c>
      <c r="M2629" s="187">
        <v>848000</v>
      </c>
      <c r="N2629" s="187">
        <v>30800</v>
      </c>
      <c r="O2629" s="187">
        <v>22300</v>
      </c>
      <c r="P2629" s="187">
        <v>24.8</v>
      </c>
      <c r="Q2629" s="187">
        <v>848000</v>
      </c>
      <c r="R2629" s="187">
        <v>30800</v>
      </c>
      <c r="S2629" s="187">
        <v>22300</v>
      </c>
      <c r="T2629" s="187">
        <v>24.8</v>
      </c>
      <c r="U2629" s="187">
        <v>1700000</v>
      </c>
      <c r="V2629" s="188"/>
    </row>
    <row r="2630" spans="1:22">
      <c r="A2630" s="179" t="s">
        <v>5241</v>
      </c>
      <c r="B2630" s="179" t="s">
        <v>5241</v>
      </c>
      <c r="C2630" s="187">
        <v>12.1</v>
      </c>
      <c r="D2630" s="187">
        <v>1540</v>
      </c>
      <c r="E2630" s="187">
        <v>76.099999999999994</v>
      </c>
      <c r="F2630" s="188"/>
      <c r="G2630" s="187">
        <v>7.1</v>
      </c>
      <c r="H2630" s="187">
        <v>7.1</v>
      </c>
      <c r="I2630" s="187">
        <v>7.1</v>
      </c>
      <c r="J2630" s="188"/>
      <c r="K2630" s="187">
        <v>10.7</v>
      </c>
      <c r="L2630" s="187">
        <v>10.7</v>
      </c>
      <c r="M2630" s="187">
        <v>926000</v>
      </c>
      <c r="N2630" s="187">
        <v>33900</v>
      </c>
      <c r="O2630" s="187">
        <v>24300</v>
      </c>
      <c r="P2630" s="187">
        <v>24.5</v>
      </c>
      <c r="Q2630" s="187">
        <v>926000</v>
      </c>
      <c r="R2630" s="187">
        <v>33900</v>
      </c>
      <c r="S2630" s="187">
        <v>24300</v>
      </c>
      <c r="T2630" s="187">
        <v>24.5</v>
      </c>
      <c r="U2630" s="187">
        <v>1850000</v>
      </c>
      <c r="V2630" s="188"/>
    </row>
    <row r="2631" spans="1:22">
      <c r="A2631" s="179" t="s">
        <v>5242</v>
      </c>
      <c r="B2631" s="179" t="s">
        <v>5242</v>
      </c>
      <c r="C2631" s="187">
        <v>13.4</v>
      </c>
      <c r="D2631" s="187">
        <v>1710.0000000000002</v>
      </c>
      <c r="E2631" s="187">
        <v>76.099999999999994</v>
      </c>
      <c r="F2631" s="188"/>
      <c r="G2631" s="187">
        <v>8</v>
      </c>
      <c r="H2631" s="187">
        <v>8</v>
      </c>
      <c r="I2631" s="187">
        <v>8</v>
      </c>
      <c r="J2631" s="188"/>
      <c r="K2631" s="187">
        <v>9.51</v>
      </c>
      <c r="L2631" s="187">
        <v>9.51</v>
      </c>
      <c r="M2631" s="187">
        <v>1010000</v>
      </c>
      <c r="N2631" s="187">
        <v>37300</v>
      </c>
      <c r="O2631" s="187">
        <v>26400</v>
      </c>
      <c r="P2631" s="187">
        <v>24.2</v>
      </c>
      <c r="Q2631" s="187">
        <v>1010000</v>
      </c>
      <c r="R2631" s="187">
        <v>37300</v>
      </c>
      <c r="S2631" s="187">
        <v>26400</v>
      </c>
      <c r="T2631" s="187">
        <v>24.2</v>
      </c>
      <c r="U2631" s="187">
        <v>2010000</v>
      </c>
      <c r="V2631" s="188"/>
    </row>
    <row r="2632" spans="1:22">
      <c r="A2632" s="177" t="s">
        <v>5243</v>
      </c>
      <c r="B2632" s="177" t="s">
        <v>5243</v>
      </c>
      <c r="C2632" s="187">
        <v>6.76</v>
      </c>
      <c r="D2632" s="187">
        <v>861.99999999999989</v>
      </c>
      <c r="E2632" s="187">
        <v>88.9</v>
      </c>
      <c r="F2632" s="188"/>
      <c r="G2632" s="187">
        <v>3.2</v>
      </c>
      <c r="H2632" s="187">
        <v>3.2</v>
      </c>
      <c r="I2632" s="187">
        <v>3.2</v>
      </c>
      <c r="J2632" s="188"/>
      <c r="K2632" s="187">
        <v>27.8</v>
      </c>
      <c r="L2632" s="187">
        <v>27.8</v>
      </c>
      <c r="M2632" s="187">
        <v>792000</v>
      </c>
      <c r="N2632" s="187">
        <v>23500</v>
      </c>
      <c r="O2632" s="187">
        <v>17800</v>
      </c>
      <c r="P2632" s="187">
        <v>30.299999999999997</v>
      </c>
      <c r="Q2632" s="187">
        <v>792000</v>
      </c>
      <c r="R2632" s="187">
        <v>23500</v>
      </c>
      <c r="S2632" s="187">
        <v>17800</v>
      </c>
      <c r="T2632" s="187">
        <v>30.299999999999997</v>
      </c>
      <c r="U2632" s="187">
        <v>1580000</v>
      </c>
      <c r="V2632" s="188"/>
    </row>
    <row r="2633" spans="1:22">
      <c r="A2633" s="179" t="s">
        <v>5244</v>
      </c>
      <c r="B2633" s="179" t="s">
        <v>5244</v>
      </c>
      <c r="C2633" s="187">
        <v>7.57</v>
      </c>
      <c r="D2633" s="187">
        <v>965</v>
      </c>
      <c r="E2633" s="187">
        <v>88.9</v>
      </c>
      <c r="F2633" s="188"/>
      <c r="G2633" s="187">
        <v>3.6</v>
      </c>
      <c r="H2633" s="187">
        <v>3.6</v>
      </c>
      <c r="I2633" s="187">
        <v>3.6</v>
      </c>
      <c r="J2633" s="188"/>
      <c r="K2633" s="187">
        <v>24.7</v>
      </c>
      <c r="L2633" s="187">
        <v>24.7</v>
      </c>
      <c r="M2633" s="187">
        <v>879000</v>
      </c>
      <c r="N2633" s="187">
        <v>26200</v>
      </c>
      <c r="O2633" s="187">
        <v>19800</v>
      </c>
      <c r="P2633" s="187">
        <v>30.2</v>
      </c>
      <c r="Q2633" s="187">
        <v>879000</v>
      </c>
      <c r="R2633" s="187">
        <v>26200</v>
      </c>
      <c r="S2633" s="187">
        <v>19800</v>
      </c>
      <c r="T2633" s="187">
        <v>30.2</v>
      </c>
      <c r="U2633" s="187">
        <v>1760000</v>
      </c>
      <c r="V2633" s="188"/>
    </row>
    <row r="2634" spans="1:22">
      <c r="A2634" s="179" t="s">
        <v>5245</v>
      </c>
      <c r="B2634" s="179" t="s">
        <v>5245</v>
      </c>
      <c r="C2634" s="187">
        <v>8.3800000000000008</v>
      </c>
      <c r="D2634" s="187">
        <v>1070</v>
      </c>
      <c r="E2634" s="187">
        <v>88.9</v>
      </c>
      <c r="F2634" s="188"/>
      <c r="G2634" s="187">
        <v>4</v>
      </c>
      <c r="H2634" s="187">
        <v>4</v>
      </c>
      <c r="I2634" s="187">
        <v>4</v>
      </c>
      <c r="J2634" s="188"/>
      <c r="K2634" s="187">
        <v>22.2</v>
      </c>
      <c r="L2634" s="187">
        <v>22.2</v>
      </c>
      <c r="M2634" s="187">
        <v>963000</v>
      </c>
      <c r="N2634" s="187">
        <v>28900</v>
      </c>
      <c r="O2634" s="187">
        <v>21700</v>
      </c>
      <c r="P2634" s="187">
        <v>30</v>
      </c>
      <c r="Q2634" s="187">
        <v>963000</v>
      </c>
      <c r="R2634" s="187">
        <v>28900</v>
      </c>
      <c r="S2634" s="187">
        <v>21700</v>
      </c>
      <c r="T2634" s="187">
        <v>30</v>
      </c>
      <c r="U2634" s="187">
        <v>1930000</v>
      </c>
      <c r="V2634" s="188"/>
    </row>
    <row r="2635" spans="1:22">
      <c r="A2635" s="179" t="s">
        <v>5246</v>
      </c>
      <c r="B2635" s="179" t="s">
        <v>5246</v>
      </c>
      <c r="C2635" s="187">
        <v>9.3699999999999992</v>
      </c>
      <c r="D2635" s="187">
        <v>1190</v>
      </c>
      <c r="E2635" s="187">
        <v>88.9</v>
      </c>
      <c r="F2635" s="188"/>
      <c r="G2635" s="187">
        <v>4.5</v>
      </c>
      <c r="H2635" s="187">
        <v>4.5</v>
      </c>
      <c r="I2635" s="187">
        <v>4.5</v>
      </c>
      <c r="J2635" s="188"/>
      <c r="K2635" s="187">
        <v>19.8</v>
      </c>
      <c r="L2635" s="187">
        <v>19.8</v>
      </c>
      <c r="M2635" s="187">
        <v>1070000</v>
      </c>
      <c r="N2635" s="187">
        <v>32100</v>
      </c>
      <c r="O2635" s="187">
        <v>24000</v>
      </c>
      <c r="P2635" s="187">
        <v>29.900000000000002</v>
      </c>
      <c r="Q2635" s="187">
        <v>1070000</v>
      </c>
      <c r="R2635" s="187">
        <v>32100</v>
      </c>
      <c r="S2635" s="187">
        <v>24000</v>
      </c>
      <c r="T2635" s="187">
        <v>29.900000000000002</v>
      </c>
      <c r="U2635" s="187">
        <v>2130000</v>
      </c>
      <c r="V2635" s="188"/>
    </row>
    <row r="2636" spans="1:22">
      <c r="A2636" s="179" t="s">
        <v>5247</v>
      </c>
      <c r="B2636" s="179" t="s">
        <v>5247</v>
      </c>
      <c r="C2636" s="187">
        <v>10.3</v>
      </c>
      <c r="D2636" s="187">
        <v>1320</v>
      </c>
      <c r="E2636" s="187">
        <v>88.9</v>
      </c>
      <c r="F2636" s="188"/>
      <c r="G2636" s="187">
        <v>5</v>
      </c>
      <c r="H2636" s="187">
        <v>5</v>
      </c>
      <c r="I2636" s="187">
        <v>5</v>
      </c>
      <c r="J2636" s="188"/>
      <c r="K2636" s="187">
        <v>17.8</v>
      </c>
      <c r="L2636" s="187">
        <v>17.8</v>
      </c>
      <c r="M2636" s="187">
        <v>1160000</v>
      </c>
      <c r="N2636" s="187">
        <v>35200</v>
      </c>
      <c r="O2636" s="187">
        <v>26200</v>
      </c>
      <c r="P2636" s="187">
        <v>29.700000000000003</v>
      </c>
      <c r="Q2636" s="187">
        <v>1160000</v>
      </c>
      <c r="R2636" s="187">
        <v>35200</v>
      </c>
      <c r="S2636" s="187">
        <v>26200</v>
      </c>
      <c r="T2636" s="187">
        <v>29.700000000000003</v>
      </c>
      <c r="U2636" s="187">
        <v>2330000</v>
      </c>
      <c r="V2636" s="188"/>
    </row>
    <row r="2637" spans="1:22">
      <c r="A2637" s="179" t="s">
        <v>5248</v>
      </c>
      <c r="B2637" s="179" t="s">
        <v>5248</v>
      </c>
      <c r="C2637" s="187">
        <v>11.5</v>
      </c>
      <c r="D2637" s="187">
        <v>1470</v>
      </c>
      <c r="E2637" s="187">
        <v>88.9</v>
      </c>
      <c r="F2637" s="188"/>
      <c r="G2637" s="187">
        <v>5.6</v>
      </c>
      <c r="H2637" s="187">
        <v>5.6</v>
      </c>
      <c r="I2637" s="187">
        <v>5.6</v>
      </c>
      <c r="J2637" s="188"/>
      <c r="K2637" s="187">
        <v>15.9</v>
      </c>
      <c r="L2637" s="187">
        <v>15.9</v>
      </c>
      <c r="M2637" s="187">
        <v>1280000</v>
      </c>
      <c r="N2637" s="187">
        <v>38900</v>
      </c>
      <c r="O2637" s="187">
        <v>28700</v>
      </c>
      <c r="P2637" s="187">
        <v>29.5</v>
      </c>
      <c r="Q2637" s="187">
        <v>1280000</v>
      </c>
      <c r="R2637" s="187">
        <v>38900</v>
      </c>
      <c r="S2637" s="187">
        <v>28700</v>
      </c>
      <c r="T2637" s="187">
        <v>29.5</v>
      </c>
      <c r="U2637" s="187">
        <v>2550000</v>
      </c>
      <c r="V2637" s="188"/>
    </row>
    <row r="2638" spans="1:22">
      <c r="A2638" s="179" t="s">
        <v>5249</v>
      </c>
      <c r="B2638" s="179" t="s">
        <v>5249</v>
      </c>
      <c r="C2638" s="187">
        <v>12.8</v>
      </c>
      <c r="D2638" s="187">
        <v>1630</v>
      </c>
      <c r="E2638" s="187">
        <v>88.9</v>
      </c>
      <c r="F2638" s="188"/>
      <c r="G2638" s="187">
        <v>6.3</v>
      </c>
      <c r="H2638" s="187">
        <v>6.3</v>
      </c>
      <c r="I2638" s="187">
        <v>6.3</v>
      </c>
      <c r="J2638" s="188"/>
      <c r="K2638" s="187">
        <v>14.1</v>
      </c>
      <c r="L2638" s="187">
        <v>14.1</v>
      </c>
      <c r="M2638" s="187">
        <v>1400000</v>
      </c>
      <c r="N2638" s="187">
        <v>43100</v>
      </c>
      <c r="O2638" s="187">
        <v>31500</v>
      </c>
      <c r="P2638" s="187">
        <v>29.3</v>
      </c>
      <c r="Q2638" s="187">
        <v>1400000</v>
      </c>
      <c r="R2638" s="187">
        <v>43100</v>
      </c>
      <c r="S2638" s="187">
        <v>31500</v>
      </c>
      <c r="T2638" s="187">
        <v>29.3</v>
      </c>
      <c r="U2638" s="187">
        <v>2800000</v>
      </c>
      <c r="V2638" s="188"/>
    </row>
    <row r="2639" spans="1:22">
      <c r="A2639" s="179" t="s">
        <v>5250</v>
      </c>
      <c r="B2639" s="179" t="s">
        <v>5250</v>
      </c>
      <c r="C2639" s="187">
        <v>14.3</v>
      </c>
      <c r="D2639" s="187">
        <v>1820</v>
      </c>
      <c r="E2639" s="187">
        <v>88.9</v>
      </c>
      <c r="F2639" s="188"/>
      <c r="G2639" s="187">
        <v>7.1</v>
      </c>
      <c r="H2639" s="187">
        <v>7.1</v>
      </c>
      <c r="I2639" s="187">
        <v>7.1</v>
      </c>
      <c r="J2639" s="188"/>
      <c r="K2639" s="187">
        <v>12.5</v>
      </c>
      <c r="L2639" s="187">
        <v>12.5</v>
      </c>
      <c r="M2639" s="187">
        <v>1540000</v>
      </c>
      <c r="N2639" s="187">
        <v>47600</v>
      </c>
      <c r="O2639" s="187">
        <v>34600</v>
      </c>
      <c r="P2639" s="187">
        <v>29</v>
      </c>
      <c r="Q2639" s="187">
        <v>1540000</v>
      </c>
      <c r="R2639" s="187">
        <v>47600</v>
      </c>
      <c r="S2639" s="187">
        <v>34600</v>
      </c>
      <c r="T2639" s="187">
        <v>29</v>
      </c>
      <c r="U2639" s="187">
        <v>3080000</v>
      </c>
      <c r="V2639" s="188"/>
    </row>
    <row r="2640" spans="1:22">
      <c r="A2640" s="179" t="s">
        <v>5251</v>
      </c>
      <c r="B2640" s="179" t="s">
        <v>5251</v>
      </c>
      <c r="C2640" s="187">
        <v>16</v>
      </c>
      <c r="D2640" s="187">
        <v>2030</v>
      </c>
      <c r="E2640" s="187">
        <v>88.9</v>
      </c>
      <c r="F2640" s="188"/>
      <c r="G2640" s="187">
        <v>8</v>
      </c>
      <c r="H2640" s="187">
        <v>8</v>
      </c>
      <c r="I2640" s="187">
        <v>8</v>
      </c>
      <c r="J2640" s="188"/>
      <c r="K2640" s="187">
        <v>11.1</v>
      </c>
      <c r="L2640" s="187">
        <v>11.1</v>
      </c>
      <c r="M2640" s="187">
        <v>1680000</v>
      </c>
      <c r="N2640" s="187">
        <v>52500</v>
      </c>
      <c r="O2640" s="187">
        <v>37800</v>
      </c>
      <c r="P2640" s="187">
        <v>28.700000000000003</v>
      </c>
      <c r="Q2640" s="187">
        <v>1680000</v>
      </c>
      <c r="R2640" s="187">
        <v>52500</v>
      </c>
      <c r="S2640" s="187">
        <v>37800</v>
      </c>
      <c r="T2640" s="187">
        <v>28.700000000000003</v>
      </c>
      <c r="U2640" s="187">
        <v>3360000</v>
      </c>
      <c r="V2640" s="188"/>
    </row>
    <row r="2641" spans="1:22">
      <c r="A2641" s="179" t="s">
        <v>5252</v>
      </c>
      <c r="B2641" s="179" t="s">
        <v>5252</v>
      </c>
      <c r="C2641" s="187">
        <v>19.5</v>
      </c>
      <c r="D2641" s="187">
        <v>2480</v>
      </c>
      <c r="E2641" s="187">
        <v>88.9</v>
      </c>
      <c r="F2641" s="188"/>
      <c r="G2641" s="187">
        <v>10</v>
      </c>
      <c r="H2641" s="187">
        <v>10</v>
      </c>
      <c r="I2641" s="187">
        <v>10</v>
      </c>
      <c r="J2641" s="188"/>
      <c r="K2641" s="187">
        <v>8.89</v>
      </c>
      <c r="L2641" s="187">
        <v>8.89</v>
      </c>
      <c r="M2641" s="187">
        <v>1960000</v>
      </c>
      <c r="N2641" s="187">
        <v>62600</v>
      </c>
      <c r="O2641" s="187">
        <v>44100</v>
      </c>
      <c r="P2641" s="187">
        <v>28.1</v>
      </c>
      <c r="Q2641" s="187">
        <v>1960000</v>
      </c>
      <c r="R2641" s="187">
        <v>62600</v>
      </c>
      <c r="S2641" s="187">
        <v>44100</v>
      </c>
      <c r="T2641" s="187">
        <v>28.1</v>
      </c>
      <c r="U2641" s="187">
        <v>3920000</v>
      </c>
      <c r="V2641" s="188"/>
    </row>
    <row r="2642" spans="1:22">
      <c r="A2642" s="177" t="s">
        <v>5253</v>
      </c>
      <c r="B2642" s="177" t="s">
        <v>5253</v>
      </c>
      <c r="C2642" s="187">
        <v>8.6999999999999993</v>
      </c>
      <c r="D2642" s="187">
        <v>1110</v>
      </c>
      <c r="E2642" s="187">
        <v>101.6</v>
      </c>
      <c r="F2642" s="188"/>
      <c r="G2642" s="187">
        <v>3.6</v>
      </c>
      <c r="H2642" s="187">
        <v>3.6</v>
      </c>
      <c r="I2642" s="187">
        <v>3.6</v>
      </c>
      <c r="J2642" s="188"/>
      <c r="K2642" s="187">
        <v>28.2</v>
      </c>
      <c r="L2642" s="187">
        <v>28.2</v>
      </c>
      <c r="M2642" s="187">
        <v>1330000</v>
      </c>
      <c r="N2642" s="187">
        <v>34600</v>
      </c>
      <c r="O2642" s="187">
        <v>26200</v>
      </c>
      <c r="P2642" s="187">
        <v>34.700000000000003</v>
      </c>
      <c r="Q2642" s="187">
        <v>1330000</v>
      </c>
      <c r="R2642" s="187">
        <v>34600</v>
      </c>
      <c r="S2642" s="187">
        <v>26200</v>
      </c>
      <c r="T2642" s="187">
        <v>34.700000000000003</v>
      </c>
      <c r="U2642" s="187">
        <v>2660000</v>
      </c>
      <c r="V2642" s="188"/>
    </row>
    <row r="2643" spans="1:22">
      <c r="A2643" s="179" t="s">
        <v>5254</v>
      </c>
      <c r="B2643" s="179" t="s">
        <v>5254</v>
      </c>
      <c r="C2643" s="187">
        <v>9.6300000000000008</v>
      </c>
      <c r="D2643" s="187">
        <v>1230</v>
      </c>
      <c r="E2643" s="187">
        <v>101.6</v>
      </c>
      <c r="F2643" s="188"/>
      <c r="G2643" s="187">
        <v>4</v>
      </c>
      <c r="H2643" s="187">
        <v>4</v>
      </c>
      <c r="I2643" s="187">
        <v>4</v>
      </c>
      <c r="J2643" s="188"/>
      <c r="K2643" s="187">
        <v>25.4</v>
      </c>
      <c r="L2643" s="187">
        <v>25.4</v>
      </c>
      <c r="M2643" s="187">
        <v>1460000</v>
      </c>
      <c r="N2643" s="187">
        <v>38100</v>
      </c>
      <c r="O2643" s="187">
        <v>28800</v>
      </c>
      <c r="P2643" s="187">
        <v>34.5</v>
      </c>
      <c r="Q2643" s="187">
        <v>1460000</v>
      </c>
      <c r="R2643" s="187">
        <v>38100</v>
      </c>
      <c r="S2643" s="187">
        <v>28800</v>
      </c>
      <c r="T2643" s="187">
        <v>34.5</v>
      </c>
      <c r="U2643" s="187">
        <v>2930000</v>
      </c>
      <c r="V2643" s="188"/>
    </row>
    <row r="2644" spans="1:22">
      <c r="A2644" s="179" t="s">
        <v>5255</v>
      </c>
      <c r="B2644" s="179" t="s">
        <v>5255</v>
      </c>
      <c r="C2644" s="187">
        <v>10.8</v>
      </c>
      <c r="D2644" s="187">
        <v>1370</v>
      </c>
      <c r="E2644" s="187">
        <v>101.6</v>
      </c>
      <c r="F2644" s="188"/>
      <c r="G2644" s="187">
        <v>4.5</v>
      </c>
      <c r="H2644" s="187">
        <v>4.5</v>
      </c>
      <c r="I2644" s="187">
        <v>4.5</v>
      </c>
      <c r="J2644" s="188"/>
      <c r="K2644" s="187">
        <v>22.6</v>
      </c>
      <c r="L2644" s="187">
        <v>22.6</v>
      </c>
      <c r="M2644" s="187">
        <v>1620000</v>
      </c>
      <c r="N2644" s="187">
        <v>42500</v>
      </c>
      <c r="O2644" s="187">
        <v>31900</v>
      </c>
      <c r="P2644" s="187">
        <v>34.4</v>
      </c>
      <c r="Q2644" s="187">
        <v>1620000</v>
      </c>
      <c r="R2644" s="187">
        <v>42500</v>
      </c>
      <c r="S2644" s="187">
        <v>31900</v>
      </c>
      <c r="T2644" s="187">
        <v>34.4</v>
      </c>
      <c r="U2644" s="187">
        <v>3240000</v>
      </c>
      <c r="V2644" s="188"/>
    </row>
    <row r="2645" spans="1:22">
      <c r="A2645" s="179" t="s">
        <v>5256</v>
      </c>
      <c r="B2645" s="179" t="s">
        <v>5256</v>
      </c>
      <c r="C2645" s="187">
        <v>11.9</v>
      </c>
      <c r="D2645" s="187">
        <v>1520</v>
      </c>
      <c r="E2645" s="187">
        <v>101.6</v>
      </c>
      <c r="F2645" s="188"/>
      <c r="G2645" s="187">
        <v>5</v>
      </c>
      <c r="H2645" s="187">
        <v>5</v>
      </c>
      <c r="I2645" s="187">
        <v>5</v>
      </c>
      <c r="J2645" s="188"/>
      <c r="K2645" s="187">
        <v>20.3</v>
      </c>
      <c r="L2645" s="187">
        <v>20.3</v>
      </c>
      <c r="M2645" s="187">
        <v>1770000</v>
      </c>
      <c r="N2645" s="187">
        <v>46700</v>
      </c>
      <c r="O2645" s="187">
        <v>34900</v>
      </c>
      <c r="P2645" s="187">
        <v>34.200000000000003</v>
      </c>
      <c r="Q2645" s="187">
        <v>1770000</v>
      </c>
      <c r="R2645" s="187">
        <v>46700</v>
      </c>
      <c r="S2645" s="187">
        <v>34900</v>
      </c>
      <c r="T2645" s="187">
        <v>34.200000000000003</v>
      </c>
      <c r="U2645" s="187">
        <v>3550000</v>
      </c>
      <c r="V2645" s="188"/>
    </row>
    <row r="2646" spans="1:22">
      <c r="A2646" s="179" t="s">
        <v>5257</v>
      </c>
      <c r="B2646" s="179" t="s">
        <v>5257</v>
      </c>
      <c r="C2646" s="187">
        <v>13.3</v>
      </c>
      <c r="D2646" s="187">
        <v>1689.9999999999998</v>
      </c>
      <c r="E2646" s="187">
        <v>101.6</v>
      </c>
      <c r="F2646" s="188"/>
      <c r="G2646" s="187">
        <v>5.6</v>
      </c>
      <c r="H2646" s="187">
        <v>5.6</v>
      </c>
      <c r="I2646" s="187">
        <v>5.6</v>
      </c>
      <c r="J2646" s="188"/>
      <c r="K2646" s="187">
        <v>18.100000000000001</v>
      </c>
      <c r="L2646" s="187">
        <v>18.100000000000001</v>
      </c>
      <c r="M2646" s="187">
        <v>1950000</v>
      </c>
      <c r="N2646" s="187">
        <v>51700</v>
      </c>
      <c r="O2646" s="187">
        <v>38400</v>
      </c>
      <c r="P2646" s="187">
        <v>34</v>
      </c>
      <c r="Q2646" s="187">
        <v>1950000</v>
      </c>
      <c r="R2646" s="187">
        <v>51700</v>
      </c>
      <c r="S2646" s="187">
        <v>38400</v>
      </c>
      <c r="T2646" s="187">
        <v>34</v>
      </c>
      <c r="U2646" s="187">
        <v>3900000</v>
      </c>
      <c r="V2646" s="188"/>
    </row>
    <row r="2647" spans="1:22">
      <c r="A2647" s="179" t="s">
        <v>5258</v>
      </c>
      <c r="B2647" s="179" t="s">
        <v>5258</v>
      </c>
      <c r="C2647" s="187">
        <v>14.8</v>
      </c>
      <c r="D2647" s="187">
        <v>1889.9999999999998</v>
      </c>
      <c r="E2647" s="187">
        <v>101.6</v>
      </c>
      <c r="F2647" s="188"/>
      <c r="G2647" s="187">
        <v>6.3</v>
      </c>
      <c r="H2647" s="187">
        <v>6.3</v>
      </c>
      <c r="I2647" s="187">
        <v>6.3</v>
      </c>
      <c r="J2647" s="188"/>
      <c r="K2647" s="187">
        <v>16.100000000000001</v>
      </c>
      <c r="L2647" s="187">
        <v>16.100000000000001</v>
      </c>
      <c r="M2647" s="187">
        <v>2150000</v>
      </c>
      <c r="N2647" s="187">
        <v>57300</v>
      </c>
      <c r="O2647" s="187">
        <v>42300</v>
      </c>
      <c r="P2647" s="187">
        <v>33.799999999999997</v>
      </c>
      <c r="Q2647" s="187">
        <v>2150000</v>
      </c>
      <c r="R2647" s="187">
        <v>57300</v>
      </c>
      <c r="S2647" s="187">
        <v>42300</v>
      </c>
      <c r="T2647" s="187">
        <v>33.799999999999997</v>
      </c>
      <c r="U2647" s="187">
        <v>4300000</v>
      </c>
      <c r="V2647" s="188"/>
    </row>
    <row r="2648" spans="1:22">
      <c r="A2648" s="179" t="s">
        <v>5259</v>
      </c>
      <c r="B2648" s="179" t="s">
        <v>5259</v>
      </c>
      <c r="C2648" s="187">
        <v>16.5</v>
      </c>
      <c r="D2648" s="187">
        <v>2110</v>
      </c>
      <c r="E2648" s="187">
        <v>101.6</v>
      </c>
      <c r="F2648" s="188"/>
      <c r="G2648" s="187">
        <v>7.1</v>
      </c>
      <c r="H2648" s="187">
        <v>7.1</v>
      </c>
      <c r="I2648" s="187">
        <v>7.1</v>
      </c>
      <c r="J2648" s="188"/>
      <c r="K2648" s="187">
        <v>14.3</v>
      </c>
      <c r="L2648" s="187">
        <v>14.3</v>
      </c>
      <c r="M2648" s="187">
        <v>2370000</v>
      </c>
      <c r="N2648" s="187">
        <v>63500</v>
      </c>
      <c r="O2648" s="187">
        <v>46600</v>
      </c>
      <c r="P2648" s="187">
        <v>33.5</v>
      </c>
      <c r="Q2648" s="187">
        <v>2370000</v>
      </c>
      <c r="R2648" s="187">
        <v>63500</v>
      </c>
      <c r="S2648" s="187">
        <v>46600</v>
      </c>
      <c r="T2648" s="187">
        <v>33.5</v>
      </c>
      <c r="U2648" s="187">
        <v>4730000</v>
      </c>
      <c r="V2648" s="188"/>
    </row>
    <row r="2649" spans="1:22">
      <c r="A2649" s="179" t="s">
        <v>5260</v>
      </c>
      <c r="B2649" s="179" t="s">
        <v>5260</v>
      </c>
      <c r="C2649" s="187">
        <v>18.5</v>
      </c>
      <c r="D2649" s="187">
        <v>2350</v>
      </c>
      <c r="E2649" s="187">
        <v>101.6</v>
      </c>
      <c r="F2649" s="188"/>
      <c r="G2649" s="187">
        <v>8</v>
      </c>
      <c r="H2649" s="187">
        <v>8</v>
      </c>
      <c r="I2649" s="187">
        <v>8</v>
      </c>
      <c r="J2649" s="188"/>
      <c r="K2649" s="187">
        <v>12.7</v>
      </c>
      <c r="L2649" s="187">
        <v>12.7</v>
      </c>
      <c r="M2649" s="187">
        <v>2600000</v>
      </c>
      <c r="N2649" s="187">
        <v>70300</v>
      </c>
      <c r="O2649" s="187">
        <v>51100</v>
      </c>
      <c r="P2649" s="187">
        <v>33.199999999999996</v>
      </c>
      <c r="Q2649" s="187">
        <v>2600000</v>
      </c>
      <c r="R2649" s="187">
        <v>70300</v>
      </c>
      <c r="S2649" s="187">
        <v>51100</v>
      </c>
      <c r="T2649" s="187">
        <v>33.199999999999996</v>
      </c>
      <c r="U2649" s="187">
        <v>5190000</v>
      </c>
      <c r="V2649" s="188"/>
    </row>
    <row r="2650" spans="1:22">
      <c r="A2650" s="179" t="s">
        <v>5261</v>
      </c>
      <c r="B2650" s="179" t="s">
        <v>5261</v>
      </c>
      <c r="C2650" s="187">
        <v>22.6</v>
      </c>
      <c r="D2650" s="187">
        <v>2880</v>
      </c>
      <c r="E2650" s="187">
        <v>101.6</v>
      </c>
      <c r="F2650" s="188"/>
      <c r="G2650" s="187">
        <v>10</v>
      </c>
      <c r="H2650" s="187">
        <v>10</v>
      </c>
      <c r="I2650" s="187">
        <v>10</v>
      </c>
      <c r="J2650" s="188"/>
      <c r="K2650" s="187">
        <v>10.199999999999999</v>
      </c>
      <c r="L2650" s="187">
        <v>10.199999999999999</v>
      </c>
      <c r="M2650" s="187">
        <v>3050000</v>
      </c>
      <c r="N2650" s="187">
        <v>84200</v>
      </c>
      <c r="O2650" s="187">
        <v>60100</v>
      </c>
      <c r="P2650" s="187">
        <v>32.599999999999994</v>
      </c>
      <c r="Q2650" s="187">
        <v>3050000</v>
      </c>
      <c r="R2650" s="187">
        <v>84200</v>
      </c>
      <c r="S2650" s="187">
        <v>60100</v>
      </c>
      <c r="T2650" s="187">
        <v>32.599999999999994</v>
      </c>
      <c r="U2650" s="187">
        <v>6110000</v>
      </c>
      <c r="V2650" s="188"/>
    </row>
    <row r="2651" spans="1:22">
      <c r="A2651" s="177" t="s">
        <v>5262</v>
      </c>
      <c r="B2651" s="177" t="s">
        <v>5262</v>
      </c>
      <c r="C2651" s="187">
        <v>9.83</v>
      </c>
      <c r="D2651" s="187">
        <v>1250</v>
      </c>
      <c r="E2651" s="187">
        <v>114.3</v>
      </c>
      <c r="F2651" s="188"/>
      <c r="G2651" s="187">
        <v>3.6</v>
      </c>
      <c r="H2651" s="187">
        <v>3.6</v>
      </c>
      <c r="I2651" s="187">
        <v>3.6</v>
      </c>
      <c r="J2651" s="188"/>
      <c r="K2651" s="187">
        <v>31.8</v>
      </c>
      <c r="L2651" s="187">
        <v>31.8</v>
      </c>
      <c r="M2651" s="187">
        <v>1920000</v>
      </c>
      <c r="N2651" s="187">
        <v>44100</v>
      </c>
      <c r="O2651" s="187">
        <v>33600</v>
      </c>
      <c r="P2651" s="187">
        <v>39.200000000000003</v>
      </c>
      <c r="Q2651" s="187">
        <v>1920000</v>
      </c>
      <c r="R2651" s="187">
        <v>44100</v>
      </c>
      <c r="S2651" s="187">
        <v>33600</v>
      </c>
      <c r="T2651" s="187">
        <v>39.200000000000003</v>
      </c>
      <c r="U2651" s="187">
        <v>3840000</v>
      </c>
      <c r="V2651" s="188"/>
    </row>
    <row r="2652" spans="1:22">
      <c r="A2652" s="179" t="s">
        <v>5263</v>
      </c>
      <c r="B2652" s="179" t="s">
        <v>5263</v>
      </c>
      <c r="C2652" s="187">
        <v>10.9</v>
      </c>
      <c r="D2652" s="187">
        <v>1390</v>
      </c>
      <c r="E2652" s="187">
        <v>114.3</v>
      </c>
      <c r="F2652" s="188"/>
      <c r="G2652" s="187">
        <v>4</v>
      </c>
      <c r="H2652" s="187">
        <v>4</v>
      </c>
      <c r="I2652" s="187">
        <v>4</v>
      </c>
      <c r="J2652" s="188"/>
      <c r="K2652" s="187">
        <v>28.6</v>
      </c>
      <c r="L2652" s="187">
        <v>28.6</v>
      </c>
      <c r="M2652" s="187">
        <v>2110000</v>
      </c>
      <c r="N2652" s="187">
        <v>48700</v>
      </c>
      <c r="O2652" s="187">
        <v>36900</v>
      </c>
      <c r="P2652" s="187">
        <v>39</v>
      </c>
      <c r="Q2652" s="187">
        <v>2110000</v>
      </c>
      <c r="R2652" s="187">
        <v>48700</v>
      </c>
      <c r="S2652" s="187">
        <v>36900</v>
      </c>
      <c r="T2652" s="187">
        <v>39</v>
      </c>
      <c r="U2652" s="187">
        <v>4220000</v>
      </c>
      <c r="V2652" s="188"/>
    </row>
    <row r="2653" spans="1:22">
      <c r="A2653" s="179" t="s">
        <v>5264</v>
      </c>
      <c r="B2653" s="179" t="s">
        <v>5264</v>
      </c>
      <c r="C2653" s="187">
        <v>12.2</v>
      </c>
      <c r="D2653" s="187">
        <v>1550</v>
      </c>
      <c r="E2653" s="187">
        <v>114.3</v>
      </c>
      <c r="F2653" s="188"/>
      <c r="G2653" s="187">
        <v>4.5</v>
      </c>
      <c r="H2653" s="187">
        <v>4.5</v>
      </c>
      <c r="I2653" s="187">
        <v>4.5</v>
      </c>
      <c r="J2653" s="188"/>
      <c r="K2653" s="187">
        <v>25.4</v>
      </c>
      <c r="L2653" s="187">
        <v>25.4</v>
      </c>
      <c r="M2653" s="187">
        <v>2340000</v>
      </c>
      <c r="N2653" s="187">
        <v>54300</v>
      </c>
      <c r="O2653" s="187">
        <v>41000</v>
      </c>
      <c r="P2653" s="187">
        <v>38.9</v>
      </c>
      <c r="Q2653" s="187">
        <v>2340000</v>
      </c>
      <c r="R2653" s="187">
        <v>54300</v>
      </c>
      <c r="S2653" s="187">
        <v>41000</v>
      </c>
      <c r="T2653" s="187">
        <v>38.9</v>
      </c>
      <c r="U2653" s="187">
        <v>4690000</v>
      </c>
      <c r="V2653" s="188"/>
    </row>
    <row r="2654" spans="1:22">
      <c r="A2654" s="179" t="s">
        <v>5265</v>
      </c>
      <c r="B2654" s="179" t="s">
        <v>5265</v>
      </c>
      <c r="C2654" s="187">
        <v>13.5</v>
      </c>
      <c r="D2654" s="187">
        <v>1720</v>
      </c>
      <c r="E2654" s="187">
        <v>114.3</v>
      </c>
      <c r="F2654" s="188"/>
      <c r="G2654" s="187">
        <v>5</v>
      </c>
      <c r="H2654" s="187">
        <v>5</v>
      </c>
      <c r="I2654" s="187">
        <v>5</v>
      </c>
      <c r="J2654" s="188"/>
      <c r="K2654" s="187">
        <v>22.9</v>
      </c>
      <c r="L2654" s="187">
        <v>22.9</v>
      </c>
      <c r="M2654" s="187">
        <v>2570000</v>
      </c>
      <c r="N2654" s="187">
        <v>59800</v>
      </c>
      <c r="O2654" s="187">
        <v>45000</v>
      </c>
      <c r="P2654" s="187">
        <v>38.700000000000003</v>
      </c>
      <c r="Q2654" s="187">
        <v>2570000</v>
      </c>
      <c r="R2654" s="187">
        <v>59800</v>
      </c>
      <c r="S2654" s="187">
        <v>45000</v>
      </c>
      <c r="T2654" s="187">
        <v>38.700000000000003</v>
      </c>
      <c r="U2654" s="187">
        <v>5140000</v>
      </c>
      <c r="V2654" s="188"/>
    </row>
    <row r="2655" spans="1:22">
      <c r="A2655" s="179" t="s">
        <v>5266</v>
      </c>
      <c r="B2655" s="179" t="s">
        <v>5266</v>
      </c>
      <c r="C2655" s="187">
        <v>15</v>
      </c>
      <c r="D2655" s="187">
        <v>1910.0000000000002</v>
      </c>
      <c r="E2655" s="187">
        <v>114.3</v>
      </c>
      <c r="F2655" s="188"/>
      <c r="G2655" s="187">
        <v>5.6</v>
      </c>
      <c r="H2655" s="187">
        <v>5.6</v>
      </c>
      <c r="I2655" s="187">
        <v>5.6</v>
      </c>
      <c r="J2655" s="188"/>
      <c r="K2655" s="187">
        <v>20.399999999999999</v>
      </c>
      <c r="L2655" s="187">
        <v>20.399999999999999</v>
      </c>
      <c r="M2655" s="187">
        <v>2830000</v>
      </c>
      <c r="N2655" s="187">
        <v>66200</v>
      </c>
      <c r="O2655" s="187">
        <v>49600</v>
      </c>
      <c r="P2655" s="187">
        <v>38.5</v>
      </c>
      <c r="Q2655" s="187">
        <v>2830000</v>
      </c>
      <c r="R2655" s="187">
        <v>66200</v>
      </c>
      <c r="S2655" s="187">
        <v>49600</v>
      </c>
      <c r="T2655" s="187">
        <v>38.5</v>
      </c>
      <c r="U2655" s="187">
        <v>5660000</v>
      </c>
      <c r="V2655" s="188"/>
    </row>
    <row r="2656" spans="1:22">
      <c r="A2656" s="179" t="s">
        <v>5267</v>
      </c>
      <c r="B2656" s="179" t="s">
        <v>5267</v>
      </c>
      <c r="C2656" s="187">
        <v>16.8</v>
      </c>
      <c r="D2656" s="187">
        <v>2140</v>
      </c>
      <c r="E2656" s="187">
        <v>114.3</v>
      </c>
      <c r="F2656" s="188"/>
      <c r="G2656" s="187">
        <v>6.3</v>
      </c>
      <c r="H2656" s="187">
        <v>6.3</v>
      </c>
      <c r="I2656" s="187">
        <v>6.3</v>
      </c>
      <c r="J2656" s="188"/>
      <c r="K2656" s="187">
        <v>18.100000000000001</v>
      </c>
      <c r="L2656" s="187">
        <v>18.100000000000001</v>
      </c>
      <c r="M2656" s="187">
        <v>3130000</v>
      </c>
      <c r="N2656" s="187">
        <v>73600</v>
      </c>
      <c r="O2656" s="187">
        <v>54700</v>
      </c>
      <c r="P2656" s="187">
        <v>38.199999999999996</v>
      </c>
      <c r="Q2656" s="187">
        <v>3130000</v>
      </c>
      <c r="R2656" s="187">
        <v>73600</v>
      </c>
      <c r="S2656" s="187">
        <v>54700</v>
      </c>
      <c r="T2656" s="187">
        <v>38.199999999999996</v>
      </c>
      <c r="U2656" s="187">
        <v>6250000</v>
      </c>
      <c r="V2656" s="188"/>
    </row>
    <row r="2657" spans="1:22">
      <c r="A2657" s="179" t="s">
        <v>5268</v>
      </c>
      <c r="B2657" s="179" t="s">
        <v>5268</v>
      </c>
      <c r="C2657" s="187">
        <v>18.8</v>
      </c>
      <c r="D2657" s="187">
        <v>2390</v>
      </c>
      <c r="E2657" s="187">
        <v>114.3</v>
      </c>
      <c r="F2657" s="188"/>
      <c r="G2657" s="187">
        <v>7.1</v>
      </c>
      <c r="H2657" s="187">
        <v>7.1</v>
      </c>
      <c r="I2657" s="187">
        <v>7.1</v>
      </c>
      <c r="J2657" s="188"/>
      <c r="K2657" s="187">
        <v>16.100000000000001</v>
      </c>
      <c r="L2657" s="187">
        <v>16.100000000000001</v>
      </c>
      <c r="M2657" s="187">
        <v>3450000</v>
      </c>
      <c r="N2657" s="187">
        <v>81700</v>
      </c>
      <c r="O2657" s="187">
        <v>60400</v>
      </c>
      <c r="P2657" s="187">
        <v>38</v>
      </c>
      <c r="Q2657" s="187">
        <v>3450000</v>
      </c>
      <c r="R2657" s="187">
        <v>81700</v>
      </c>
      <c r="S2657" s="187">
        <v>60400</v>
      </c>
      <c r="T2657" s="187">
        <v>38</v>
      </c>
      <c r="U2657" s="187">
        <v>6900000</v>
      </c>
      <c r="V2657" s="188"/>
    </row>
    <row r="2658" spans="1:22">
      <c r="A2658" s="179" t="s">
        <v>5269</v>
      </c>
      <c r="B2658" s="179" t="s">
        <v>5269</v>
      </c>
      <c r="C2658" s="187">
        <v>21</v>
      </c>
      <c r="D2658" s="187">
        <v>2670</v>
      </c>
      <c r="E2658" s="187">
        <v>114.3</v>
      </c>
      <c r="F2658" s="188"/>
      <c r="G2658" s="187">
        <v>8</v>
      </c>
      <c r="H2658" s="187">
        <v>8</v>
      </c>
      <c r="I2658" s="187">
        <v>8</v>
      </c>
      <c r="J2658" s="188"/>
      <c r="K2658" s="187">
        <v>14.3</v>
      </c>
      <c r="L2658" s="187">
        <v>14.3</v>
      </c>
      <c r="M2658" s="187">
        <v>3790000</v>
      </c>
      <c r="N2658" s="187">
        <v>90600</v>
      </c>
      <c r="O2658" s="187">
        <v>66400</v>
      </c>
      <c r="P2658" s="187">
        <v>37.700000000000003</v>
      </c>
      <c r="Q2658" s="187">
        <v>3790000</v>
      </c>
      <c r="R2658" s="187">
        <v>90600</v>
      </c>
      <c r="S2658" s="187">
        <v>66400</v>
      </c>
      <c r="T2658" s="187">
        <v>37.700000000000003</v>
      </c>
      <c r="U2658" s="187">
        <v>7590000</v>
      </c>
      <c r="V2658" s="188"/>
    </row>
    <row r="2659" spans="1:22">
      <c r="A2659" s="179" t="s">
        <v>5270</v>
      </c>
      <c r="B2659" s="179" t="s">
        <v>5270</v>
      </c>
      <c r="C2659" s="187">
        <v>25.7</v>
      </c>
      <c r="D2659" s="187">
        <v>3279.9999999999995</v>
      </c>
      <c r="E2659" s="187">
        <v>114.3</v>
      </c>
      <c r="F2659" s="188"/>
      <c r="G2659" s="187">
        <v>10</v>
      </c>
      <c r="H2659" s="187">
        <v>10</v>
      </c>
      <c r="I2659" s="187">
        <v>10</v>
      </c>
      <c r="J2659" s="188"/>
      <c r="K2659" s="187">
        <v>11.4</v>
      </c>
      <c r="L2659" s="187">
        <v>11.4</v>
      </c>
      <c r="M2659" s="187">
        <v>4500000</v>
      </c>
      <c r="N2659" s="187">
        <v>109000</v>
      </c>
      <c r="O2659" s="187">
        <v>78700</v>
      </c>
      <c r="P2659" s="187">
        <v>37</v>
      </c>
      <c r="Q2659" s="187">
        <v>4500000</v>
      </c>
      <c r="R2659" s="187">
        <v>109000</v>
      </c>
      <c r="S2659" s="187">
        <v>78700</v>
      </c>
      <c r="T2659" s="187">
        <v>37</v>
      </c>
      <c r="U2659" s="187">
        <v>8990000</v>
      </c>
      <c r="V2659" s="188"/>
    </row>
    <row r="2660" spans="1:22">
      <c r="A2660" s="177" t="s">
        <v>5271</v>
      </c>
      <c r="B2660" s="177" t="s">
        <v>5271</v>
      </c>
      <c r="C2660" s="187">
        <v>12.1</v>
      </c>
      <c r="D2660" s="187">
        <v>1540</v>
      </c>
      <c r="E2660" s="187">
        <v>139.69999999999999</v>
      </c>
      <c r="F2660" s="188"/>
      <c r="G2660" s="187">
        <v>3.6</v>
      </c>
      <c r="H2660" s="187">
        <v>3.6</v>
      </c>
      <c r="I2660" s="187">
        <v>3.6</v>
      </c>
      <c r="J2660" s="188"/>
      <c r="K2660" s="187">
        <v>38.799999999999997</v>
      </c>
      <c r="L2660" s="187">
        <v>38.799999999999997</v>
      </c>
      <c r="M2660" s="187">
        <v>3570000</v>
      </c>
      <c r="N2660" s="187">
        <v>66700</v>
      </c>
      <c r="O2660" s="187">
        <v>51100</v>
      </c>
      <c r="P2660" s="187">
        <v>48.099999999999994</v>
      </c>
      <c r="Q2660" s="187">
        <v>3570000</v>
      </c>
      <c r="R2660" s="187">
        <v>66700</v>
      </c>
      <c r="S2660" s="187">
        <v>51100</v>
      </c>
      <c r="T2660" s="187">
        <v>48.099999999999994</v>
      </c>
      <c r="U2660" s="187">
        <v>7130000</v>
      </c>
      <c r="V2660" s="188"/>
    </row>
    <row r="2661" spans="1:22">
      <c r="A2661" s="179" t="s">
        <v>5272</v>
      </c>
      <c r="B2661" s="179" t="s">
        <v>5272</v>
      </c>
      <c r="C2661" s="187">
        <v>13.4</v>
      </c>
      <c r="D2661" s="187">
        <v>1710.0000000000002</v>
      </c>
      <c r="E2661" s="187">
        <v>139.69999999999999</v>
      </c>
      <c r="F2661" s="188"/>
      <c r="G2661" s="187">
        <v>4</v>
      </c>
      <c r="H2661" s="187">
        <v>4</v>
      </c>
      <c r="I2661" s="187">
        <v>4</v>
      </c>
      <c r="J2661" s="188"/>
      <c r="K2661" s="187">
        <v>34.9</v>
      </c>
      <c r="L2661" s="187">
        <v>34.9</v>
      </c>
      <c r="M2661" s="187">
        <v>3930000</v>
      </c>
      <c r="N2661" s="187">
        <v>73700</v>
      </c>
      <c r="O2661" s="187">
        <v>56200</v>
      </c>
      <c r="P2661" s="187">
        <v>48</v>
      </c>
      <c r="Q2661" s="187">
        <v>3930000</v>
      </c>
      <c r="R2661" s="187">
        <v>73700</v>
      </c>
      <c r="S2661" s="187">
        <v>56200</v>
      </c>
      <c r="T2661" s="187">
        <v>48</v>
      </c>
      <c r="U2661" s="187">
        <v>7860000</v>
      </c>
      <c r="V2661" s="188"/>
    </row>
    <row r="2662" spans="1:22">
      <c r="A2662" s="179" t="s">
        <v>5273</v>
      </c>
      <c r="B2662" s="179" t="s">
        <v>5273</v>
      </c>
      <c r="C2662" s="187">
        <v>15</v>
      </c>
      <c r="D2662" s="187">
        <v>1910.0000000000002</v>
      </c>
      <c r="E2662" s="187">
        <v>139.69999999999999</v>
      </c>
      <c r="F2662" s="188"/>
      <c r="G2662" s="187">
        <v>4.5</v>
      </c>
      <c r="H2662" s="187">
        <v>4.5</v>
      </c>
      <c r="I2662" s="187">
        <v>4.5</v>
      </c>
      <c r="J2662" s="188"/>
      <c r="K2662" s="187">
        <v>31</v>
      </c>
      <c r="L2662" s="187">
        <v>31</v>
      </c>
      <c r="M2662" s="187">
        <v>4370000</v>
      </c>
      <c r="N2662" s="187">
        <v>82300</v>
      </c>
      <c r="O2662" s="187">
        <v>62600</v>
      </c>
      <c r="P2662" s="187">
        <v>47.800000000000004</v>
      </c>
      <c r="Q2662" s="187">
        <v>4370000</v>
      </c>
      <c r="R2662" s="187">
        <v>82300</v>
      </c>
      <c r="S2662" s="187">
        <v>62600</v>
      </c>
      <c r="T2662" s="187">
        <v>47.800000000000004</v>
      </c>
      <c r="U2662" s="187">
        <v>8740000</v>
      </c>
      <c r="V2662" s="188"/>
    </row>
    <row r="2663" spans="1:22">
      <c r="A2663" s="179" t="s">
        <v>5274</v>
      </c>
      <c r="B2663" s="179" t="s">
        <v>5274</v>
      </c>
      <c r="C2663" s="187">
        <v>16.600000000000001</v>
      </c>
      <c r="D2663" s="187">
        <v>2120</v>
      </c>
      <c r="E2663" s="187">
        <v>139.69999999999999</v>
      </c>
      <c r="F2663" s="188"/>
      <c r="G2663" s="187">
        <v>5</v>
      </c>
      <c r="H2663" s="187">
        <v>5</v>
      </c>
      <c r="I2663" s="187">
        <v>5</v>
      </c>
      <c r="J2663" s="188"/>
      <c r="K2663" s="187">
        <v>27.9</v>
      </c>
      <c r="L2663" s="187">
        <v>27.9</v>
      </c>
      <c r="M2663" s="187">
        <v>4810000</v>
      </c>
      <c r="N2663" s="187">
        <v>90800</v>
      </c>
      <c r="O2663" s="187">
        <v>68800</v>
      </c>
      <c r="P2663" s="187">
        <v>47.699999999999996</v>
      </c>
      <c r="Q2663" s="187">
        <v>4810000</v>
      </c>
      <c r="R2663" s="187">
        <v>90800</v>
      </c>
      <c r="S2663" s="187">
        <v>68800</v>
      </c>
      <c r="T2663" s="187">
        <v>47.699999999999996</v>
      </c>
      <c r="U2663" s="187">
        <v>9610000</v>
      </c>
      <c r="V2663" s="188"/>
    </row>
    <row r="2664" spans="1:22">
      <c r="A2664" s="179" t="s">
        <v>5275</v>
      </c>
      <c r="B2664" s="179" t="s">
        <v>5275</v>
      </c>
      <c r="C2664" s="187">
        <v>18.5</v>
      </c>
      <c r="D2664" s="187">
        <v>2360</v>
      </c>
      <c r="E2664" s="187">
        <v>139.69999999999999</v>
      </c>
      <c r="F2664" s="188"/>
      <c r="G2664" s="187">
        <v>5.6</v>
      </c>
      <c r="H2664" s="187">
        <v>5.6</v>
      </c>
      <c r="I2664" s="187">
        <v>5.6</v>
      </c>
      <c r="J2664" s="188"/>
      <c r="K2664" s="187">
        <v>24.9</v>
      </c>
      <c r="L2664" s="187">
        <v>24.9</v>
      </c>
      <c r="M2664" s="187">
        <v>5310000</v>
      </c>
      <c r="N2664" s="187">
        <v>101000</v>
      </c>
      <c r="O2664" s="187">
        <v>76100</v>
      </c>
      <c r="P2664" s="187">
        <v>47.5</v>
      </c>
      <c r="Q2664" s="187">
        <v>5310000</v>
      </c>
      <c r="R2664" s="187">
        <v>101000</v>
      </c>
      <c r="S2664" s="187">
        <v>76100</v>
      </c>
      <c r="T2664" s="187">
        <v>47.5</v>
      </c>
      <c r="U2664" s="187">
        <v>10600000</v>
      </c>
      <c r="V2664" s="188"/>
    </row>
    <row r="2665" spans="1:22">
      <c r="A2665" s="179" t="s">
        <v>5276</v>
      </c>
      <c r="B2665" s="179" t="s">
        <v>5276</v>
      </c>
      <c r="C2665" s="187">
        <v>20.7</v>
      </c>
      <c r="D2665" s="187">
        <v>2640</v>
      </c>
      <c r="E2665" s="187">
        <v>139.69999999999999</v>
      </c>
      <c r="F2665" s="188"/>
      <c r="G2665" s="187">
        <v>6.3</v>
      </c>
      <c r="H2665" s="187">
        <v>6.3</v>
      </c>
      <c r="I2665" s="187">
        <v>6.3</v>
      </c>
      <c r="J2665" s="188"/>
      <c r="K2665" s="187">
        <v>22.2</v>
      </c>
      <c r="L2665" s="187">
        <v>22.2</v>
      </c>
      <c r="M2665" s="187">
        <v>5890000</v>
      </c>
      <c r="N2665" s="187">
        <v>112000</v>
      </c>
      <c r="O2665" s="187">
        <v>84300</v>
      </c>
      <c r="P2665" s="187">
        <v>47.199999999999996</v>
      </c>
      <c r="Q2665" s="187">
        <v>5890000</v>
      </c>
      <c r="R2665" s="187">
        <v>112000</v>
      </c>
      <c r="S2665" s="187">
        <v>84300</v>
      </c>
      <c r="T2665" s="187">
        <v>47.199999999999996</v>
      </c>
      <c r="U2665" s="187">
        <v>11800000</v>
      </c>
      <c r="V2665" s="188"/>
    </row>
    <row r="2666" spans="1:22">
      <c r="A2666" s="179" t="s">
        <v>5277</v>
      </c>
      <c r="B2666" s="179" t="s">
        <v>5277</v>
      </c>
      <c r="C2666" s="187">
        <v>23.2</v>
      </c>
      <c r="D2666" s="187">
        <v>2960</v>
      </c>
      <c r="E2666" s="187">
        <v>139.69999999999999</v>
      </c>
      <c r="F2666" s="188"/>
      <c r="G2666" s="187">
        <v>7.1</v>
      </c>
      <c r="H2666" s="187">
        <v>7.1</v>
      </c>
      <c r="I2666" s="187">
        <v>7.1</v>
      </c>
      <c r="J2666" s="188"/>
      <c r="K2666" s="187">
        <v>19.7</v>
      </c>
      <c r="L2666" s="187">
        <v>19.7</v>
      </c>
      <c r="M2666" s="187">
        <v>6520000</v>
      </c>
      <c r="N2666" s="187">
        <v>125000</v>
      </c>
      <c r="O2666" s="187">
        <v>93300</v>
      </c>
      <c r="P2666" s="187">
        <v>46.900000000000006</v>
      </c>
      <c r="Q2666" s="187">
        <v>6520000</v>
      </c>
      <c r="R2666" s="187">
        <v>125000</v>
      </c>
      <c r="S2666" s="187">
        <v>93300</v>
      </c>
      <c r="T2666" s="187">
        <v>46.900000000000006</v>
      </c>
      <c r="U2666" s="187">
        <v>13000000</v>
      </c>
      <c r="V2666" s="188"/>
    </row>
    <row r="2667" spans="1:22">
      <c r="A2667" s="179" t="s">
        <v>5278</v>
      </c>
      <c r="B2667" s="179" t="s">
        <v>5278</v>
      </c>
      <c r="C2667" s="187">
        <v>26</v>
      </c>
      <c r="D2667" s="187">
        <v>3310</v>
      </c>
      <c r="E2667" s="187">
        <v>139.69999999999999</v>
      </c>
      <c r="F2667" s="188"/>
      <c r="G2667" s="187">
        <v>8</v>
      </c>
      <c r="H2667" s="187">
        <v>8</v>
      </c>
      <c r="I2667" s="187">
        <v>8</v>
      </c>
      <c r="J2667" s="188"/>
      <c r="K2667" s="187">
        <v>17.5</v>
      </c>
      <c r="L2667" s="187">
        <v>17.5</v>
      </c>
      <c r="M2667" s="187">
        <v>7200000</v>
      </c>
      <c r="N2667" s="187">
        <v>139000</v>
      </c>
      <c r="O2667" s="187">
        <v>103000</v>
      </c>
      <c r="P2667" s="187">
        <v>46.6</v>
      </c>
      <c r="Q2667" s="187">
        <v>7200000</v>
      </c>
      <c r="R2667" s="187">
        <v>139000</v>
      </c>
      <c r="S2667" s="187">
        <v>103000</v>
      </c>
      <c r="T2667" s="187">
        <v>46.6</v>
      </c>
      <c r="U2667" s="187">
        <v>14400000</v>
      </c>
      <c r="V2667" s="188"/>
    </row>
    <row r="2668" spans="1:22">
      <c r="A2668" s="179" t="s">
        <v>5279</v>
      </c>
      <c r="B2668" s="179" t="s">
        <v>5279</v>
      </c>
      <c r="C2668" s="187">
        <v>32</v>
      </c>
      <c r="D2668" s="187">
        <v>4070.0000000000005</v>
      </c>
      <c r="E2668" s="187">
        <v>139.69999999999999</v>
      </c>
      <c r="F2668" s="188"/>
      <c r="G2668" s="187">
        <v>10</v>
      </c>
      <c r="H2668" s="187">
        <v>10</v>
      </c>
      <c r="I2668" s="187">
        <v>10</v>
      </c>
      <c r="J2668" s="188"/>
      <c r="K2668" s="187">
        <v>14</v>
      </c>
      <c r="L2668" s="187">
        <v>14</v>
      </c>
      <c r="M2668" s="187">
        <v>8620000</v>
      </c>
      <c r="N2668" s="187">
        <v>169000</v>
      </c>
      <c r="O2668" s="187">
        <v>123000</v>
      </c>
      <c r="P2668" s="187">
        <v>46</v>
      </c>
      <c r="Q2668" s="187">
        <v>8620000</v>
      </c>
      <c r="R2668" s="187">
        <v>169000</v>
      </c>
      <c r="S2668" s="187">
        <v>123000</v>
      </c>
      <c r="T2668" s="187">
        <v>46</v>
      </c>
      <c r="U2668" s="187">
        <v>17200000</v>
      </c>
      <c r="V2668" s="188"/>
    </row>
    <row r="2669" spans="1:22">
      <c r="A2669" s="177" t="s">
        <v>5280</v>
      </c>
      <c r="B2669" s="177" t="s">
        <v>5280</v>
      </c>
      <c r="C2669" s="187">
        <v>20.100000000000001</v>
      </c>
      <c r="D2669" s="187">
        <v>2570</v>
      </c>
      <c r="E2669" s="187">
        <v>168.3</v>
      </c>
      <c r="F2669" s="188"/>
      <c r="G2669" s="187">
        <v>5</v>
      </c>
      <c r="H2669" s="187">
        <v>5</v>
      </c>
      <c r="I2669" s="187">
        <v>5</v>
      </c>
      <c r="J2669" s="188"/>
      <c r="K2669" s="187">
        <v>33.700000000000003</v>
      </c>
      <c r="L2669" s="187">
        <v>33.700000000000003</v>
      </c>
      <c r="M2669" s="187">
        <v>8560000</v>
      </c>
      <c r="N2669" s="187">
        <v>133000</v>
      </c>
      <c r="O2669" s="187">
        <v>102000</v>
      </c>
      <c r="P2669" s="187">
        <v>57.800000000000004</v>
      </c>
      <c r="Q2669" s="187">
        <v>8560000</v>
      </c>
      <c r="R2669" s="187">
        <v>133000</v>
      </c>
      <c r="S2669" s="187">
        <v>102000</v>
      </c>
      <c r="T2669" s="187">
        <v>57.800000000000004</v>
      </c>
      <c r="U2669" s="187">
        <v>17100000</v>
      </c>
      <c r="V2669" s="188"/>
    </row>
    <row r="2670" spans="1:22">
      <c r="A2670" s="179" t="s">
        <v>5281</v>
      </c>
      <c r="B2670" s="179" t="s">
        <v>5281</v>
      </c>
      <c r="C2670" s="187">
        <v>22.5</v>
      </c>
      <c r="D2670" s="187">
        <v>2860</v>
      </c>
      <c r="E2670" s="187">
        <v>168.3</v>
      </c>
      <c r="F2670" s="188"/>
      <c r="G2670" s="187">
        <v>5.6</v>
      </c>
      <c r="H2670" s="187">
        <v>5.6</v>
      </c>
      <c r="I2670" s="187">
        <v>5.6</v>
      </c>
      <c r="J2670" s="188"/>
      <c r="K2670" s="187">
        <v>30.1</v>
      </c>
      <c r="L2670" s="187">
        <v>30.1</v>
      </c>
      <c r="M2670" s="187">
        <v>9480000</v>
      </c>
      <c r="N2670" s="187">
        <v>148000</v>
      </c>
      <c r="O2670" s="187">
        <v>113000</v>
      </c>
      <c r="P2670" s="187">
        <v>57.599999999999994</v>
      </c>
      <c r="Q2670" s="187">
        <v>9480000</v>
      </c>
      <c r="R2670" s="187">
        <v>148000</v>
      </c>
      <c r="S2670" s="187">
        <v>113000</v>
      </c>
      <c r="T2670" s="187">
        <v>57.599999999999994</v>
      </c>
      <c r="U2670" s="187">
        <v>19000000</v>
      </c>
      <c r="V2670" s="188"/>
    </row>
    <row r="2671" spans="1:22">
      <c r="A2671" s="179" t="s">
        <v>5282</v>
      </c>
      <c r="B2671" s="179" t="s">
        <v>5282</v>
      </c>
      <c r="C2671" s="187">
        <v>25.2</v>
      </c>
      <c r="D2671" s="187">
        <v>3210</v>
      </c>
      <c r="E2671" s="187">
        <v>168.3</v>
      </c>
      <c r="F2671" s="188"/>
      <c r="G2671" s="187">
        <v>6.3</v>
      </c>
      <c r="H2671" s="187">
        <v>6.3</v>
      </c>
      <c r="I2671" s="187">
        <v>6.3</v>
      </c>
      <c r="J2671" s="188"/>
      <c r="K2671" s="187">
        <v>26.7</v>
      </c>
      <c r="L2671" s="187">
        <v>26.7</v>
      </c>
      <c r="M2671" s="187">
        <v>10500000</v>
      </c>
      <c r="N2671" s="187">
        <v>165000</v>
      </c>
      <c r="O2671" s="187">
        <v>125000</v>
      </c>
      <c r="P2671" s="187">
        <v>57.300000000000004</v>
      </c>
      <c r="Q2671" s="187">
        <v>10500000</v>
      </c>
      <c r="R2671" s="187">
        <v>165000</v>
      </c>
      <c r="S2671" s="187">
        <v>125000</v>
      </c>
      <c r="T2671" s="187">
        <v>57.300000000000004</v>
      </c>
      <c r="U2671" s="187">
        <v>21100000</v>
      </c>
      <c r="V2671" s="188"/>
    </row>
    <row r="2672" spans="1:22">
      <c r="A2672" s="179" t="s">
        <v>5283</v>
      </c>
      <c r="B2672" s="179" t="s">
        <v>5283</v>
      </c>
      <c r="C2672" s="187">
        <v>28.2</v>
      </c>
      <c r="D2672" s="187">
        <v>3600</v>
      </c>
      <c r="E2672" s="187">
        <v>168.3</v>
      </c>
      <c r="F2672" s="188"/>
      <c r="G2672" s="187">
        <v>7.1</v>
      </c>
      <c r="H2672" s="187">
        <v>7.1</v>
      </c>
      <c r="I2672" s="187">
        <v>7.1</v>
      </c>
      <c r="J2672" s="188"/>
      <c r="K2672" s="187">
        <v>23.7</v>
      </c>
      <c r="L2672" s="187">
        <v>23.7</v>
      </c>
      <c r="M2672" s="187">
        <v>11700000</v>
      </c>
      <c r="N2672" s="187">
        <v>185000</v>
      </c>
      <c r="O2672" s="187">
        <v>139000</v>
      </c>
      <c r="P2672" s="187">
        <v>57</v>
      </c>
      <c r="Q2672" s="187">
        <v>11700000</v>
      </c>
      <c r="R2672" s="187">
        <v>185000</v>
      </c>
      <c r="S2672" s="187">
        <v>139000</v>
      </c>
      <c r="T2672" s="187">
        <v>57</v>
      </c>
      <c r="U2672" s="187">
        <v>23400000</v>
      </c>
      <c r="V2672" s="188"/>
    </row>
    <row r="2673" spans="1:22">
      <c r="A2673" s="179" t="s">
        <v>5284</v>
      </c>
      <c r="B2673" s="179" t="s">
        <v>5284</v>
      </c>
      <c r="C2673" s="187">
        <v>31.6</v>
      </c>
      <c r="D2673" s="187">
        <v>4029.9999999999995</v>
      </c>
      <c r="E2673" s="187">
        <v>168.3</v>
      </c>
      <c r="F2673" s="188"/>
      <c r="G2673" s="187">
        <v>8</v>
      </c>
      <c r="H2673" s="187">
        <v>8</v>
      </c>
      <c r="I2673" s="187">
        <v>8</v>
      </c>
      <c r="J2673" s="188"/>
      <c r="K2673" s="187">
        <v>21</v>
      </c>
      <c r="L2673" s="187">
        <v>21</v>
      </c>
      <c r="M2673" s="187">
        <v>13000000</v>
      </c>
      <c r="N2673" s="187">
        <v>206000</v>
      </c>
      <c r="O2673" s="187">
        <v>154000</v>
      </c>
      <c r="P2673" s="187">
        <v>56.7</v>
      </c>
      <c r="Q2673" s="187">
        <v>13000000</v>
      </c>
      <c r="R2673" s="187">
        <v>206000</v>
      </c>
      <c r="S2673" s="187">
        <v>154000</v>
      </c>
      <c r="T2673" s="187">
        <v>56.7</v>
      </c>
      <c r="U2673" s="187">
        <v>26000000</v>
      </c>
      <c r="V2673" s="188"/>
    </row>
    <row r="2674" spans="1:22">
      <c r="A2674" s="179" t="s">
        <v>5285</v>
      </c>
      <c r="B2674" s="179" t="s">
        <v>5285</v>
      </c>
      <c r="C2674" s="187">
        <v>39</v>
      </c>
      <c r="D2674" s="187">
        <v>4970</v>
      </c>
      <c r="E2674" s="187">
        <v>168.3</v>
      </c>
      <c r="F2674" s="188"/>
      <c r="G2674" s="187">
        <v>10</v>
      </c>
      <c r="H2674" s="187">
        <v>10</v>
      </c>
      <c r="I2674" s="187">
        <v>10</v>
      </c>
      <c r="J2674" s="188"/>
      <c r="K2674" s="187">
        <v>16.8</v>
      </c>
      <c r="L2674" s="187">
        <v>16.8</v>
      </c>
      <c r="M2674" s="187">
        <v>15600000</v>
      </c>
      <c r="N2674" s="187">
        <v>251000</v>
      </c>
      <c r="O2674" s="187">
        <v>186000</v>
      </c>
      <c r="P2674" s="187">
        <v>56.1</v>
      </c>
      <c r="Q2674" s="187">
        <v>15600000</v>
      </c>
      <c r="R2674" s="187">
        <v>251000</v>
      </c>
      <c r="S2674" s="187">
        <v>186000</v>
      </c>
      <c r="T2674" s="187">
        <v>56.1</v>
      </c>
      <c r="U2674" s="187">
        <v>31300000</v>
      </c>
      <c r="V2674" s="188"/>
    </row>
    <row r="2675" spans="1:22">
      <c r="A2675" s="179" t="s">
        <v>5286</v>
      </c>
      <c r="B2675" s="179" t="s">
        <v>5286</v>
      </c>
      <c r="C2675" s="187">
        <v>42.7</v>
      </c>
      <c r="D2675" s="187">
        <v>5440</v>
      </c>
      <c r="E2675" s="187">
        <v>168.3</v>
      </c>
      <c r="F2675" s="188"/>
      <c r="G2675" s="187">
        <v>11</v>
      </c>
      <c r="H2675" s="187">
        <v>11</v>
      </c>
      <c r="I2675" s="187">
        <v>11</v>
      </c>
      <c r="J2675" s="188"/>
      <c r="K2675" s="187">
        <v>15.3</v>
      </c>
      <c r="L2675" s="187">
        <v>15.3</v>
      </c>
      <c r="M2675" s="187">
        <v>16900000</v>
      </c>
      <c r="N2675" s="187">
        <v>273000</v>
      </c>
      <c r="O2675" s="187">
        <v>201000</v>
      </c>
      <c r="P2675" s="187">
        <v>55.7</v>
      </c>
      <c r="Q2675" s="187">
        <v>16900000</v>
      </c>
      <c r="R2675" s="187">
        <v>273000</v>
      </c>
      <c r="S2675" s="187">
        <v>201000</v>
      </c>
      <c r="T2675" s="187">
        <v>55.7</v>
      </c>
      <c r="U2675" s="187">
        <v>33800000</v>
      </c>
      <c r="V2675" s="188"/>
    </row>
    <row r="2676" spans="1:22">
      <c r="A2676" s="179" t="s">
        <v>5287</v>
      </c>
      <c r="B2676" s="179" t="s">
        <v>5287</v>
      </c>
      <c r="C2676" s="187">
        <v>48</v>
      </c>
      <c r="D2676" s="187">
        <v>6120</v>
      </c>
      <c r="E2676" s="187">
        <v>168.3</v>
      </c>
      <c r="F2676" s="188"/>
      <c r="G2676" s="187">
        <v>12.5</v>
      </c>
      <c r="H2676" s="187">
        <v>12.5</v>
      </c>
      <c r="I2676" s="187">
        <v>12.5</v>
      </c>
      <c r="J2676" s="188"/>
      <c r="K2676" s="187">
        <v>13.5</v>
      </c>
      <c r="L2676" s="187">
        <v>13.5</v>
      </c>
      <c r="M2676" s="187">
        <v>18700000</v>
      </c>
      <c r="N2676" s="187">
        <v>304000</v>
      </c>
      <c r="O2676" s="187">
        <v>222000</v>
      </c>
      <c r="P2676" s="187">
        <v>55.300000000000004</v>
      </c>
      <c r="Q2676" s="187">
        <v>18700000</v>
      </c>
      <c r="R2676" s="187">
        <v>304000</v>
      </c>
      <c r="S2676" s="187">
        <v>222000</v>
      </c>
      <c r="T2676" s="187">
        <v>55.300000000000004</v>
      </c>
      <c r="U2676" s="187">
        <v>37400000</v>
      </c>
      <c r="V2676" s="188"/>
    </row>
    <row r="2677" spans="1:22">
      <c r="A2677" s="177" t="s">
        <v>5288</v>
      </c>
      <c r="B2677" s="177" t="s">
        <v>5288</v>
      </c>
      <c r="C2677" s="187">
        <v>23.3</v>
      </c>
      <c r="D2677" s="187">
        <v>2960</v>
      </c>
      <c r="E2677" s="187">
        <v>193.7</v>
      </c>
      <c r="F2677" s="188"/>
      <c r="G2677" s="187">
        <v>5</v>
      </c>
      <c r="H2677" s="187">
        <v>5</v>
      </c>
      <c r="I2677" s="187">
        <v>5</v>
      </c>
      <c r="J2677" s="188"/>
      <c r="K2677" s="187">
        <v>38.700000000000003</v>
      </c>
      <c r="L2677" s="187">
        <v>38.700000000000003</v>
      </c>
      <c r="M2677" s="187">
        <v>13200000</v>
      </c>
      <c r="N2677" s="187">
        <v>178000</v>
      </c>
      <c r="O2677" s="187">
        <v>136000</v>
      </c>
      <c r="P2677" s="187">
        <v>66.7</v>
      </c>
      <c r="Q2677" s="187">
        <v>13200000</v>
      </c>
      <c r="R2677" s="187">
        <v>178000</v>
      </c>
      <c r="S2677" s="187">
        <v>136000</v>
      </c>
      <c r="T2677" s="187">
        <v>66.7</v>
      </c>
      <c r="U2677" s="187">
        <v>26400000</v>
      </c>
      <c r="V2677" s="188"/>
    </row>
    <row r="2678" spans="1:22">
      <c r="A2678" s="179" t="s">
        <v>5289</v>
      </c>
      <c r="B2678" s="179" t="s">
        <v>5289</v>
      </c>
      <c r="C2678" s="187">
        <v>26</v>
      </c>
      <c r="D2678" s="187">
        <v>3310</v>
      </c>
      <c r="E2678" s="187">
        <v>193.7</v>
      </c>
      <c r="F2678" s="188"/>
      <c r="G2678" s="187">
        <v>5.6</v>
      </c>
      <c r="H2678" s="187">
        <v>5.6</v>
      </c>
      <c r="I2678" s="187">
        <v>5.6</v>
      </c>
      <c r="J2678" s="188"/>
      <c r="K2678" s="187">
        <v>34.6</v>
      </c>
      <c r="L2678" s="187">
        <v>34.6</v>
      </c>
      <c r="M2678" s="187">
        <v>14600000</v>
      </c>
      <c r="N2678" s="187">
        <v>198000</v>
      </c>
      <c r="O2678" s="187">
        <v>151000</v>
      </c>
      <c r="P2678" s="187">
        <v>66.5</v>
      </c>
      <c r="Q2678" s="187">
        <v>14600000</v>
      </c>
      <c r="R2678" s="187">
        <v>198000</v>
      </c>
      <c r="S2678" s="187">
        <v>151000</v>
      </c>
      <c r="T2678" s="187">
        <v>66.5</v>
      </c>
      <c r="U2678" s="187">
        <v>29300000</v>
      </c>
      <c r="V2678" s="188"/>
    </row>
    <row r="2679" spans="1:22">
      <c r="A2679" s="179" t="s">
        <v>5290</v>
      </c>
      <c r="B2679" s="179" t="s">
        <v>5290</v>
      </c>
      <c r="C2679" s="187">
        <v>29.1</v>
      </c>
      <c r="D2679" s="187">
        <v>3710</v>
      </c>
      <c r="E2679" s="187">
        <v>193.7</v>
      </c>
      <c r="F2679" s="188"/>
      <c r="G2679" s="187">
        <v>6.3</v>
      </c>
      <c r="H2679" s="187">
        <v>6.3</v>
      </c>
      <c r="I2679" s="187">
        <v>6.3</v>
      </c>
      <c r="J2679" s="188"/>
      <c r="K2679" s="187">
        <v>30.7</v>
      </c>
      <c r="L2679" s="187">
        <v>30.7</v>
      </c>
      <c r="M2679" s="187">
        <v>16300000</v>
      </c>
      <c r="N2679" s="187">
        <v>221000</v>
      </c>
      <c r="O2679" s="187">
        <v>168000</v>
      </c>
      <c r="P2679" s="187">
        <v>66.3</v>
      </c>
      <c r="Q2679" s="187">
        <v>16300000</v>
      </c>
      <c r="R2679" s="187">
        <v>221000</v>
      </c>
      <c r="S2679" s="187">
        <v>168000</v>
      </c>
      <c r="T2679" s="187">
        <v>66.3</v>
      </c>
      <c r="U2679" s="187">
        <v>32600000</v>
      </c>
      <c r="V2679" s="188"/>
    </row>
    <row r="2680" spans="1:22">
      <c r="A2680" s="179" t="s">
        <v>5291</v>
      </c>
      <c r="B2680" s="179" t="s">
        <v>5291</v>
      </c>
      <c r="C2680" s="187">
        <v>32.700000000000003</v>
      </c>
      <c r="D2680" s="187">
        <v>4160</v>
      </c>
      <c r="E2680" s="187">
        <v>193.7</v>
      </c>
      <c r="F2680" s="188"/>
      <c r="G2680" s="187">
        <v>7.1</v>
      </c>
      <c r="H2680" s="187">
        <v>7.1</v>
      </c>
      <c r="I2680" s="187">
        <v>7.1</v>
      </c>
      <c r="J2680" s="188"/>
      <c r="K2680" s="187">
        <v>27.3</v>
      </c>
      <c r="L2680" s="187">
        <v>27.3</v>
      </c>
      <c r="M2680" s="187">
        <v>18100000</v>
      </c>
      <c r="N2680" s="187">
        <v>247000</v>
      </c>
      <c r="O2680" s="187">
        <v>187000</v>
      </c>
      <c r="P2680" s="187">
        <v>66</v>
      </c>
      <c r="Q2680" s="187">
        <v>18100000</v>
      </c>
      <c r="R2680" s="187">
        <v>247000</v>
      </c>
      <c r="S2680" s="187">
        <v>187000</v>
      </c>
      <c r="T2680" s="187">
        <v>66</v>
      </c>
      <c r="U2680" s="187">
        <v>36300000</v>
      </c>
      <c r="V2680" s="188"/>
    </row>
    <row r="2681" spans="1:22">
      <c r="A2681" s="179" t="s">
        <v>5292</v>
      </c>
      <c r="B2681" s="179" t="s">
        <v>5292</v>
      </c>
      <c r="C2681" s="187">
        <v>36.6</v>
      </c>
      <c r="D2681" s="187">
        <v>4670</v>
      </c>
      <c r="E2681" s="187">
        <v>193.7</v>
      </c>
      <c r="F2681" s="188"/>
      <c r="G2681" s="187">
        <v>8</v>
      </c>
      <c r="H2681" s="187">
        <v>8</v>
      </c>
      <c r="I2681" s="187">
        <v>8</v>
      </c>
      <c r="J2681" s="188"/>
      <c r="K2681" s="187">
        <v>24.2</v>
      </c>
      <c r="L2681" s="187">
        <v>24.2</v>
      </c>
      <c r="M2681" s="187">
        <v>20200000</v>
      </c>
      <c r="N2681" s="187">
        <v>276000</v>
      </c>
      <c r="O2681" s="187">
        <v>208000</v>
      </c>
      <c r="P2681" s="187">
        <v>65.7</v>
      </c>
      <c r="Q2681" s="187">
        <v>20200000</v>
      </c>
      <c r="R2681" s="187">
        <v>276000</v>
      </c>
      <c r="S2681" s="187">
        <v>208000</v>
      </c>
      <c r="T2681" s="187">
        <v>65.7</v>
      </c>
      <c r="U2681" s="187">
        <v>40300000</v>
      </c>
      <c r="V2681" s="188"/>
    </row>
    <row r="2682" spans="1:22">
      <c r="A2682" s="179" t="s">
        <v>5293</v>
      </c>
      <c r="B2682" s="179" t="s">
        <v>5293</v>
      </c>
      <c r="C2682" s="187">
        <v>45.3</v>
      </c>
      <c r="D2682" s="187">
        <v>5770</v>
      </c>
      <c r="E2682" s="187">
        <v>193.7</v>
      </c>
      <c r="F2682" s="188"/>
      <c r="G2682" s="187">
        <v>10</v>
      </c>
      <c r="H2682" s="187">
        <v>10</v>
      </c>
      <c r="I2682" s="187">
        <v>10</v>
      </c>
      <c r="J2682" s="188"/>
      <c r="K2682" s="187">
        <v>19.399999999999999</v>
      </c>
      <c r="L2682" s="187">
        <v>19.399999999999999</v>
      </c>
      <c r="M2682" s="187">
        <v>24400000</v>
      </c>
      <c r="N2682" s="187">
        <v>338000</v>
      </c>
      <c r="O2682" s="187">
        <v>252000</v>
      </c>
      <c r="P2682" s="187">
        <v>65</v>
      </c>
      <c r="Q2682" s="187">
        <v>24400000</v>
      </c>
      <c r="R2682" s="187">
        <v>338000</v>
      </c>
      <c r="S2682" s="187">
        <v>252000</v>
      </c>
      <c r="T2682" s="187">
        <v>65</v>
      </c>
      <c r="U2682" s="187">
        <v>48800000</v>
      </c>
      <c r="V2682" s="188"/>
    </row>
    <row r="2683" spans="1:22">
      <c r="A2683" s="179" t="s">
        <v>5294</v>
      </c>
      <c r="B2683" s="179" t="s">
        <v>5294</v>
      </c>
      <c r="C2683" s="187">
        <v>49.6</v>
      </c>
      <c r="D2683" s="187">
        <v>6310</v>
      </c>
      <c r="E2683" s="187">
        <v>193.7</v>
      </c>
      <c r="F2683" s="188"/>
      <c r="G2683" s="187">
        <v>11</v>
      </c>
      <c r="H2683" s="187">
        <v>11</v>
      </c>
      <c r="I2683" s="187">
        <v>11</v>
      </c>
      <c r="J2683" s="188"/>
      <c r="K2683" s="187">
        <v>17.600000000000001</v>
      </c>
      <c r="L2683" s="187">
        <v>17.600000000000001</v>
      </c>
      <c r="M2683" s="187">
        <v>26400000</v>
      </c>
      <c r="N2683" s="187">
        <v>368000</v>
      </c>
      <c r="O2683" s="187">
        <v>273000</v>
      </c>
      <c r="P2683" s="187">
        <v>64.7</v>
      </c>
      <c r="Q2683" s="187">
        <v>26400000</v>
      </c>
      <c r="R2683" s="187">
        <v>368000</v>
      </c>
      <c r="S2683" s="187">
        <v>273000</v>
      </c>
      <c r="T2683" s="187">
        <v>64.7</v>
      </c>
      <c r="U2683" s="187">
        <v>52900000</v>
      </c>
      <c r="V2683" s="188"/>
    </row>
    <row r="2684" spans="1:22">
      <c r="A2684" s="179" t="s">
        <v>5295</v>
      </c>
      <c r="B2684" s="179" t="s">
        <v>5295</v>
      </c>
      <c r="C2684" s="187">
        <v>55.9</v>
      </c>
      <c r="D2684" s="187">
        <v>7120</v>
      </c>
      <c r="E2684" s="187">
        <v>193.7</v>
      </c>
      <c r="F2684" s="188"/>
      <c r="G2684" s="187">
        <v>12.5</v>
      </c>
      <c r="H2684" s="187">
        <v>12.5</v>
      </c>
      <c r="I2684" s="187">
        <v>12.5</v>
      </c>
      <c r="J2684" s="188"/>
      <c r="K2684" s="187">
        <v>15.5</v>
      </c>
      <c r="L2684" s="187">
        <v>15.5</v>
      </c>
      <c r="M2684" s="187">
        <v>29300000</v>
      </c>
      <c r="N2684" s="187">
        <v>411000</v>
      </c>
      <c r="O2684" s="187">
        <v>303000</v>
      </c>
      <c r="P2684" s="187">
        <v>64.2</v>
      </c>
      <c r="Q2684" s="187">
        <v>29300000</v>
      </c>
      <c r="R2684" s="187">
        <v>411000</v>
      </c>
      <c r="S2684" s="187">
        <v>303000</v>
      </c>
      <c r="T2684" s="187">
        <v>64.2</v>
      </c>
      <c r="U2684" s="187">
        <v>58700000</v>
      </c>
      <c r="V2684" s="188"/>
    </row>
    <row r="2685" spans="1:22">
      <c r="A2685" s="179" t="s">
        <v>5296</v>
      </c>
      <c r="B2685" s="179" t="s">
        <v>5296</v>
      </c>
      <c r="C2685" s="187">
        <v>62.9</v>
      </c>
      <c r="D2685" s="187">
        <v>8009.9999999999991</v>
      </c>
      <c r="E2685" s="187">
        <v>193.7</v>
      </c>
      <c r="F2685" s="188"/>
      <c r="G2685" s="187">
        <v>14.2</v>
      </c>
      <c r="H2685" s="187">
        <v>14.2</v>
      </c>
      <c r="I2685" s="187">
        <v>14.2</v>
      </c>
      <c r="J2685" s="188"/>
      <c r="K2685" s="187">
        <v>13.6</v>
      </c>
      <c r="L2685" s="187">
        <v>13.6</v>
      </c>
      <c r="M2685" s="187">
        <v>32400000</v>
      </c>
      <c r="N2685" s="187">
        <v>458000</v>
      </c>
      <c r="O2685" s="187">
        <v>335000</v>
      </c>
      <c r="P2685" s="187">
        <v>63.7</v>
      </c>
      <c r="Q2685" s="187">
        <v>32400000</v>
      </c>
      <c r="R2685" s="187">
        <v>458000</v>
      </c>
      <c r="S2685" s="187">
        <v>335000</v>
      </c>
      <c r="T2685" s="187">
        <v>63.7</v>
      </c>
      <c r="U2685" s="187">
        <v>64900000</v>
      </c>
      <c r="V2685" s="188"/>
    </row>
    <row r="2686" spans="1:22">
      <c r="A2686" s="179" t="s">
        <v>5297</v>
      </c>
      <c r="B2686" s="179" t="s">
        <v>5297</v>
      </c>
      <c r="C2686" s="187">
        <v>70.099999999999994</v>
      </c>
      <c r="D2686" s="187">
        <v>8930</v>
      </c>
      <c r="E2686" s="187">
        <v>193.7</v>
      </c>
      <c r="F2686" s="188"/>
      <c r="G2686" s="187">
        <v>16</v>
      </c>
      <c r="H2686" s="187">
        <v>16</v>
      </c>
      <c r="I2686" s="187">
        <v>16</v>
      </c>
      <c r="J2686" s="188"/>
      <c r="K2686" s="187">
        <v>12.1</v>
      </c>
      <c r="L2686" s="187">
        <v>12.1</v>
      </c>
      <c r="M2686" s="187">
        <v>35500000</v>
      </c>
      <c r="N2686" s="187">
        <v>507000</v>
      </c>
      <c r="O2686" s="187">
        <v>367000</v>
      </c>
      <c r="P2686" s="187">
        <v>63.099999999999994</v>
      </c>
      <c r="Q2686" s="187">
        <v>35500000</v>
      </c>
      <c r="R2686" s="187">
        <v>507000</v>
      </c>
      <c r="S2686" s="187">
        <v>367000</v>
      </c>
      <c r="T2686" s="187">
        <v>63.099999999999994</v>
      </c>
      <c r="U2686" s="187">
        <v>71100000</v>
      </c>
      <c r="V2686" s="188"/>
    </row>
    <row r="2687" spans="1:22">
      <c r="A2687" s="177" t="s">
        <v>5298</v>
      </c>
      <c r="B2687" s="177" t="s">
        <v>5298</v>
      </c>
      <c r="C2687" s="187">
        <v>23.8</v>
      </c>
      <c r="D2687" s="187">
        <v>3030</v>
      </c>
      <c r="E2687" s="187">
        <v>219.1</v>
      </c>
      <c r="F2687" s="188"/>
      <c r="G2687" s="187">
        <v>4.5</v>
      </c>
      <c r="H2687" s="187">
        <v>4.5</v>
      </c>
      <c r="I2687" s="187">
        <v>4.5</v>
      </c>
      <c r="J2687" s="188"/>
      <c r="K2687" s="187">
        <v>48.7</v>
      </c>
      <c r="L2687" s="187">
        <v>48.7</v>
      </c>
      <c r="M2687" s="187">
        <v>17500000</v>
      </c>
      <c r="N2687" s="187">
        <v>207000</v>
      </c>
      <c r="O2687" s="187">
        <v>159000</v>
      </c>
      <c r="P2687" s="187">
        <v>75.900000000000006</v>
      </c>
      <c r="Q2687" s="187">
        <v>17500000</v>
      </c>
      <c r="R2687" s="187">
        <v>207000</v>
      </c>
      <c r="S2687" s="187">
        <v>159000</v>
      </c>
      <c r="T2687" s="187">
        <v>75.900000000000006</v>
      </c>
      <c r="U2687" s="187">
        <v>34900000</v>
      </c>
      <c r="V2687" s="188"/>
    </row>
    <row r="2688" spans="1:22">
      <c r="A2688" s="179" t="s">
        <v>5299</v>
      </c>
      <c r="B2688" s="179" t="s">
        <v>5299</v>
      </c>
      <c r="C2688" s="187">
        <v>26.4</v>
      </c>
      <c r="D2688" s="187">
        <v>3360</v>
      </c>
      <c r="E2688" s="187">
        <v>219.1</v>
      </c>
      <c r="F2688" s="188"/>
      <c r="G2688" s="187">
        <v>5</v>
      </c>
      <c r="H2688" s="187">
        <v>5</v>
      </c>
      <c r="I2688" s="187">
        <v>5</v>
      </c>
      <c r="J2688" s="188"/>
      <c r="K2688" s="187">
        <v>43.8</v>
      </c>
      <c r="L2688" s="187">
        <v>43.8</v>
      </c>
      <c r="M2688" s="187">
        <v>19300000</v>
      </c>
      <c r="N2688" s="187">
        <v>229000</v>
      </c>
      <c r="O2688" s="187">
        <v>176000</v>
      </c>
      <c r="P2688" s="187">
        <v>75.7</v>
      </c>
      <c r="Q2688" s="187">
        <v>19300000</v>
      </c>
      <c r="R2688" s="187">
        <v>229000</v>
      </c>
      <c r="S2688" s="187">
        <v>176000</v>
      </c>
      <c r="T2688" s="187">
        <v>75.7</v>
      </c>
      <c r="U2688" s="187">
        <v>38600000</v>
      </c>
      <c r="V2688" s="188"/>
    </row>
    <row r="2689" spans="1:22">
      <c r="A2689" s="179" t="s">
        <v>5300</v>
      </c>
      <c r="B2689" s="179" t="s">
        <v>5300</v>
      </c>
      <c r="C2689" s="187">
        <v>29.5</v>
      </c>
      <c r="D2689" s="187">
        <v>3760</v>
      </c>
      <c r="E2689" s="187">
        <v>219.1</v>
      </c>
      <c r="F2689" s="188"/>
      <c r="G2689" s="187">
        <v>5.6</v>
      </c>
      <c r="H2689" s="187">
        <v>5.6</v>
      </c>
      <c r="I2689" s="187">
        <v>5.6</v>
      </c>
      <c r="J2689" s="188"/>
      <c r="K2689" s="187">
        <v>39.1</v>
      </c>
      <c r="L2689" s="187">
        <v>39.1</v>
      </c>
      <c r="M2689" s="187">
        <v>21400000</v>
      </c>
      <c r="N2689" s="187">
        <v>255000</v>
      </c>
      <c r="O2689" s="187">
        <v>195000</v>
      </c>
      <c r="P2689" s="187">
        <v>75.5</v>
      </c>
      <c r="Q2689" s="187">
        <v>21400000</v>
      </c>
      <c r="R2689" s="187">
        <v>255000</v>
      </c>
      <c r="S2689" s="187">
        <v>195000</v>
      </c>
      <c r="T2689" s="187">
        <v>75.5</v>
      </c>
      <c r="U2689" s="187">
        <v>42800000</v>
      </c>
      <c r="V2689" s="188"/>
    </row>
    <row r="2690" spans="1:22">
      <c r="A2690" s="179" t="s">
        <v>5301</v>
      </c>
      <c r="B2690" s="179" t="s">
        <v>5301</v>
      </c>
      <c r="C2690" s="187">
        <v>33.1</v>
      </c>
      <c r="D2690" s="187">
        <v>4210</v>
      </c>
      <c r="E2690" s="187">
        <v>219.1</v>
      </c>
      <c r="F2690" s="188"/>
      <c r="G2690" s="187">
        <v>6.3</v>
      </c>
      <c r="H2690" s="187">
        <v>6.3</v>
      </c>
      <c r="I2690" s="187">
        <v>6.3</v>
      </c>
      <c r="J2690" s="188"/>
      <c r="K2690" s="187">
        <v>34.799999999999997</v>
      </c>
      <c r="L2690" s="187">
        <v>34.799999999999997</v>
      </c>
      <c r="M2690" s="187">
        <v>23900000</v>
      </c>
      <c r="N2690" s="187">
        <v>285000</v>
      </c>
      <c r="O2690" s="187">
        <v>218000</v>
      </c>
      <c r="P2690" s="187">
        <v>75.3</v>
      </c>
      <c r="Q2690" s="187">
        <v>23900000</v>
      </c>
      <c r="R2690" s="187">
        <v>285000</v>
      </c>
      <c r="S2690" s="187">
        <v>218000</v>
      </c>
      <c r="T2690" s="187">
        <v>75.3</v>
      </c>
      <c r="U2690" s="187">
        <v>47700000</v>
      </c>
      <c r="V2690" s="188"/>
    </row>
    <row r="2691" spans="1:22">
      <c r="A2691" s="179" t="s">
        <v>5302</v>
      </c>
      <c r="B2691" s="179" t="s">
        <v>5302</v>
      </c>
      <c r="C2691" s="187">
        <v>37.1</v>
      </c>
      <c r="D2691" s="187">
        <v>4730</v>
      </c>
      <c r="E2691" s="187">
        <v>219.1</v>
      </c>
      <c r="F2691" s="188"/>
      <c r="G2691" s="187">
        <v>7.1</v>
      </c>
      <c r="H2691" s="187">
        <v>7.1</v>
      </c>
      <c r="I2691" s="187">
        <v>7.1</v>
      </c>
      <c r="J2691" s="188"/>
      <c r="K2691" s="187">
        <v>30.9</v>
      </c>
      <c r="L2691" s="187">
        <v>30.9</v>
      </c>
      <c r="M2691" s="187">
        <v>26600000</v>
      </c>
      <c r="N2691" s="187">
        <v>319000</v>
      </c>
      <c r="O2691" s="187">
        <v>243000</v>
      </c>
      <c r="P2691" s="187">
        <v>75</v>
      </c>
      <c r="Q2691" s="187">
        <v>26600000</v>
      </c>
      <c r="R2691" s="187">
        <v>319000</v>
      </c>
      <c r="S2691" s="187">
        <v>243000</v>
      </c>
      <c r="T2691" s="187">
        <v>75</v>
      </c>
      <c r="U2691" s="187">
        <v>53200000</v>
      </c>
      <c r="V2691" s="188"/>
    </row>
    <row r="2692" spans="1:22">
      <c r="A2692" s="179" t="s">
        <v>5303</v>
      </c>
      <c r="B2692" s="179" t="s">
        <v>5303</v>
      </c>
      <c r="C2692" s="187">
        <v>41.6</v>
      </c>
      <c r="D2692" s="187">
        <v>5310</v>
      </c>
      <c r="E2692" s="187">
        <v>219.1</v>
      </c>
      <c r="F2692" s="188"/>
      <c r="G2692" s="187">
        <v>8</v>
      </c>
      <c r="H2692" s="187">
        <v>8</v>
      </c>
      <c r="I2692" s="187">
        <v>8</v>
      </c>
      <c r="J2692" s="188"/>
      <c r="K2692" s="187">
        <v>27.4</v>
      </c>
      <c r="L2692" s="187">
        <v>27.4</v>
      </c>
      <c r="M2692" s="187">
        <v>29600000</v>
      </c>
      <c r="N2692" s="187">
        <v>357000</v>
      </c>
      <c r="O2692" s="187">
        <v>270000</v>
      </c>
      <c r="P2692" s="187">
        <v>74.7</v>
      </c>
      <c r="Q2692" s="187">
        <v>29600000</v>
      </c>
      <c r="R2692" s="187">
        <v>357000</v>
      </c>
      <c r="S2692" s="187">
        <v>270000</v>
      </c>
      <c r="T2692" s="187">
        <v>74.7</v>
      </c>
      <c r="U2692" s="187">
        <v>59200000</v>
      </c>
      <c r="V2692" s="188"/>
    </row>
    <row r="2693" spans="1:22">
      <c r="A2693" s="179" t="s">
        <v>5304</v>
      </c>
      <c r="B2693" s="179" t="s">
        <v>5304</v>
      </c>
      <c r="C2693" s="187">
        <v>51.6</v>
      </c>
      <c r="D2693" s="187">
        <v>6570</v>
      </c>
      <c r="E2693" s="187">
        <v>219.1</v>
      </c>
      <c r="F2693" s="188"/>
      <c r="G2693" s="187">
        <v>10</v>
      </c>
      <c r="H2693" s="187">
        <v>10</v>
      </c>
      <c r="I2693" s="187">
        <v>10</v>
      </c>
      <c r="J2693" s="188"/>
      <c r="K2693" s="187">
        <v>21.9</v>
      </c>
      <c r="L2693" s="187">
        <v>21.9</v>
      </c>
      <c r="M2693" s="187">
        <v>36000000</v>
      </c>
      <c r="N2693" s="187">
        <v>438000</v>
      </c>
      <c r="O2693" s="187">
        <v>328000</v>
      </c>
      <c r="P2693" s="187">
        <v>74</v>
      </c>
      <c r="Q2693" s="187">
        <v>36000000</v>
      </c>
      <c r="R2693" s="187">
        <v>438000</v>
      </c>
      <c r="S2693" s="187">
        <v>328000</v>
      </c>
      <c r="T2693" s="187">
        <v>74</v>
      </c>
      <c r="U2693" s="187">
        <v>72000000</v>
      </c>
      <c r="V2693" s="188"/>
    </row>
    <row r="2694" spans="1:22">
      <c r="A2694" s="179" t="s">
        <v>5305</v>
      </c>
      <c r="B2694" s="179" t="s">
        <v>5305</v>
      </c>
      <c r="C2694" s="187">
        <v>56.5</v>
      </c>
      <c r="D2694" s="187">
        <v>7190.0000000000009</v>
      </c>
      <c r="E2694" s="187">
        <v>219.1</v>
      </c>
      <c r="F2694" s="188"/>
      <c r="G2694" s="187">
        <v>11</v>
      </c>
      <c r="H2694" s="187">
        <v>11</v>
      </c>
      <c r="I2694" s="187">
        <v>11</v>
      </c>
      <c r="J2694" s="188"/>
      <c r="K2694" s="187">
        <v>19.899999999999999</v>
      </c>
      <c r="L2694" s="187">
        <v>19.899999999999999</v>
      </c>
      <c r="M2694" s="187">
        <v>39000000</v>
      </c>
      <c r="N2694" s="187">
        <v>477000</v>
      </c>
      <c r="O2694" s="187">
        <v>356000</v>
      </c>
      <c r="P2694" s="187">
        <v>73.7</v>
      </c>
      <c r="Q2694" s="187">
        <v>39000000</v>
      </c>
      <c r="R2694" s="187">
        <v>477000</v>
      </c>
      <c r="S2694" s="187">
        <v>356000</v>
      </c>
      <c r="T2694" s="187">
        <v>73.7</v>
      </c>
      <c r="U2694" s="187">
        <v>78100000</v>
      </c>
      <c r="V2694" s="188"/>
    </row>
    <row r="2695" spans="1:22">
      <c r="A2695" s="179" t="s">
        <v>5306</v>
      </c>
      <c r="B2695" s="179" t="s">
        <v>5306</v>
      </c>
      <c r="C2695" s="187">
        <v>63.7</v>
      </c>
      <c r="D2695" s="187">
        <v>8109.9999999999991</v>
      </c>
      <c r="E2695" s="187">
        <v>219.1</v>
      </c>
      <c r="F2695" s="188"/>
      <c r="G2695" s="187">
        <v>12.5</v>
      </c>
      <c r="H2695" s="187">
        <v>12.5</v>
      </c>
      <c r="I2695" s="187">
        <v>12.5</v>
      </c>
      <c r="J2695" s="188"/>
      <c r="K2695" s="187">
        <v>17.5</v>
      </c>
      <c r="L2695" s="187">
        <v>17.5</v>
      </c>
      <c r="M2695" s="187">
        <v>43400000</v>
      </c>
      <c r="N2695" s="187">
        <v>534000</v>
      </c>
      <c r="O2695" s="187">
        <v>397000</v>
      </c>
      <c r="P2695" s="187">
        <v>73.2</v>
      </c>
      <c r="Q2695" s="187">
        <v>43400000</v>
      </c>
      <c r="R2695" s="187">
        <v>534000</v>
      </c>
      <c r="S2695" s="187">
        <v>397000</v>
      </c>
      <c r="T2695" s="187">
        <v>73.2</v>
      </c>
      <c r="U2695" s="187">
        <v>86900000</v>
      </c>
      <c r="V2695" s="188"/>
    </row>
    <row r="2696" spans="1:22">
      <c r="A2696" s="179" t="s">
        <v>5307</v>
      </c>
      <c r="B2696" s="179" t="s">
        <v>5307</v>
      </c>
      <c r="C2696" s="187">
        <v>71.8</v>
      </c>
      <c r="D2696" s="187">
        <v>9140</v>
      </c>
      <c r="E2696" s="187">
        <v>219.1</v>
      </c>
      <c r="F2696" s="188"/>
      <c r="G2696" s="187">
        <v>14.2</v>
      </c>
      <c r="H2696" s="187">
        <v>14.2</v>
      </c>
      <c r="I2696" s="187">
        <v>14.2</v>
      </c>
      <c r="J2696" s="188"/>
      <c r="K2696" s="187">
        <v>15.4</v>
      </c>
      <c r="L2696" s="187">
        <v>15.4</v>
      </c>
      <c r="M2696" s="187">
        <v>48200000</v>
      </c>
      <c r="N2696" s="187">
        <v>597000</v>
      </c>
      <c r="O2696" s="187">
        <v>440000</v>
      </c>
      <c r="P2696" s="187">
        <v>72.599999999999994</v>
      </c>
      <c r="Q2696" s="187">
        <v>48200000</v>
      </c>
      <c r="R2696" s="187">
        <v>597000</v>
      </c>
      <c r="S2696" s="187">
        <v>440000</v>
      </c>
      <c r="T2696" s="187">
        <v>72.599999999999994</v>
      </c>
      <c r="U2696" s="187">
        <v>96400000</v>
      </c>
      <c r="V2696" s="188"/>
    </row>
    <row r="2697" spans="1:22">
      <c r="A2697" s="179" t="s">
        <v>5308</v>
      </c>
      <c r="B2697" s="179" t="s">
        <v>5308</v>
      </c>
      <c r="C2697" s="187">
        <v>80.099999999999994</v>
      </c>
      <c r="D2697" s="187">
        <v>10200</v>
      </c>
      <c r="E2697" s="187">
        <v>219.1</v>
      </c>
      <c r="F2697" s="188"/>
      <c r="G2697" s="187">
        <v>16</v>
      </c>
      <c r="H2697" s="187">
        <v>16</v>
      </c>
      <c r="I2697" s="187">
        <v>16</v>
      </c>
      <c r="J2697" s="188"/>
      <c r="K2697" s="187">
        <v>13.7</v>
      </c>
      <c r="L2697" s="187">
        <v>13.7</v>
      </c>
      <c r="M2697" s="187">
        <v>53000000</v>
      </c>
      <c r="N2697" s="187">
        <v>661000</v>
      </c>
      <c r="O2697" s="187">
        <v>483000</v>
      </c>
      <c r="P2697" s="187">
        <v>72</v>
      </c>
      <c r="Q2697" s="187">
        <v>53000000</v>
      </c>
      <c r="R2697" s="187">
        <v>661000</v>
      </c>
      <c r="S2697" s="187">
        <v>483000</v>
      </c>
      <c r="T2697" s="187">
        <v>72</v>
      </c>
      <c r="U2697" s="187">
        <v>106000000</v>
      </c>
      <c r="V2697" s="188"/>
    </row>
    <row r="2698" spans="1:22">
      <c r="A2698" s="177" t="s">
        <v>5309</v>
      </c>
      <c r="B2698" s="177" t="s">
        <v>5309</v>
      </c>
      <c r="C2698" s="187">
        <v>29.5</v>
      </c>
      <c r="D2698" s="187">
        <v>3760</v>
      </c>
      <c r="E2698" s="187">
        <v>244.5</v>
      </c>
      <c r="F2698" s="188"/>
      <c r="G2698" s="187">
        <v>5</v>
      </c>
      <c r="H2698" s="187">
        <v>5</v>
      </c>
      <c r="I2698" s="187">
        <v>5</v>
      </c>
      <c r="J2698" s="188"/>
      <c r="K2698" s="187">
        <v>48.9</v>
      </c>
      <c r="L2698" s="187">
        <v>48.9</v>
      </c>
      <c r="M2698" s="187">
        <v>27000000</v>
      </c>
      <c r="N2698" s="187">
        <v>287000</v>
      </c>
      <c r="O2698" s="187">
        <v>221000</v>
      </c>
      <c r="P2698" s="187">
        <v>84.7</v>
      </c>
      <c r="Q2698" s="187">
        <v>27000000</v>
      </c>
      <c r="R2698" s="187">
        <v>287000</v>
      </c>
      <c r="S2698" s="187">
        <v>221000</v>
      </c>
      <c r="T2698" s="187">
        <v>84.7</v>
      </c>
      <c r="U2698" s="187">
        <v>54000000</v>
      </c>
      <c r="V2698" s="188"/>
    </row>
    <row r="2699" spans="1:22">
      <c r="A2699" s="179" t="s">
        <v>5310</v>
      </c>
      <c r="B2699" s="179" t="s">
        <v>5310</v>
      </c>
      <c r="C2699" s="187">
        <v>33</v>
      </c>
      <c r="D2699" s="187">
        <v>4200</v>
      </c>
      <c r="E2699" s="187">
        <v>244.5</v>
      </c>
      <c r="F2699" s="188"/>
      <c r="G2699" s="187">
        <v>5.6</v>
      </c>
      <c r="H2699" s="187">
        <v>5.6</v>
      </c>
      <c r="I2699" s="187">
        <v>5.6</v>
      </c>
      <c r="J2699" s="188"/>
      <c r="K2699" s="187">
        <v>43.7</v>
      </c>
      <c r="L2699" s="187">
        <v>43.7</v>
      </c>
      <c r="M2699" s="187">
        <v>30000000</v>
      </c>
      <c r="N2699" s="187">
        <v>320000</v>
      </c>
      <c r="O2699" s="187">
        <v>245000</v>
      </c>
      <c r="P2699" s="187">
        <v>84.5</v>
      </c>
      <c r="Q2699" s="187">
        <v>30000000</v>
      </c>
      <c r="R2699" s="187">
        <v>320000</v>
      </c>
      <c r="S2699" s="187">
        <v>245000</v>
      </c>
      <c r="T2699" s="187">
        <v>84.5</v>
      </c>
      <c r="U2699" s="187">
        <v>60000000</v>
      </c>
      <c r="V2699" s="188"/>
    </row>
    <row r="2700" spans="1:22">
      <c r="A2700" s="179" t="s">
        <v>5311</v>
      </c>
      <c r="B2700" s="179" t="s">
        <v>5311</v>
      </c>
      <c r="C2700" s="187">
        <v>37</v>
      </c>
      <c r="D2700" s="187">
        <v>4710</v>
      </c>
      <c r="E2700" s="187">
        <v>244.5</v>
      </c>
      <c r="F2700" s="188"/>
      <c r="G2700" s="187">
        <v>6.3</v>
      </c>
      <c r="H2700" s="187">
        <v>6.3</v>
      </c>
      <c r="I2700" s="187">
        <v>6.3</v>
      </c>
      <c r="J2700" s="188"/>
      <c r="K2700" s="187">
        <v>38.799999999999997</v>
      </c>
      <c r="L2700" s="187">
        <v>38.799999999999997</v>
      </c>
      <c r="M2700" s="187">
        <v>33500000</v>
      </c>
      <c r="N2700" s="187">
        <v>358000</v>
      </c>
      <c r="O2700" s="187">
        <v>274000</v>
      </c>
      <c r="P2700" s="187">
        <v>84.2</v>
      </c>
      <c r="Q2700" s="187">
        <v>33500000</v>
      </c>
      <c r="R2700" s="187">
        <v>358000</v>
      </c>
      <c r="S2700" s="187">
        <v>274000</v>
      </c>
      <c r="T2700" s="187">
        <v>84.2</v>
      </c>
      <c r="U2700" s="187">
        <v>66900000</v>
      </c>
      <c r="V2700" s="188"/>
    </row>
    <row r="2701" spans="1:22">
      <c r="A2701" s="179" t="s">
        <v>5312</v>
      </c>
      <c r="B2701" s="179" t="s">
        <v>5312</v>
      </c>
      <c r="C2701" s="187">
        <v>41.6</v>
      </c>
      <c r="D2701" s="187">
        <v>5300</v>
      </c>
      <c r="E2701" s="187">
        <v>244.5</v>
      </c>
      <c r="F2701" s="188"/>
      <c r="G2701" s="187">
        <v>7.1</v>
      </c>
      <c r="H2701" s="187">
        <v>7.1</v>
      </c>
      <c r="I2701" s="187">
        <v>7.1</v>
      </c>
      <c r="J2701" s="188"/>
      <c r="K2701" s="187">
        <v>34.4</v>
      </c>
      <c r="L2701" s="187">
        <v>34.4</v>
      </c>
      <c r="M2701" s="187">
        <v>37300000</v>
      </c>
      <c r="N2701" s="187">
        <v>400000</v>
      </c>
      <c r="O2701" s="187">
        <v>305000</v>
      </c>
      <c r="P2701" s="187">
        <v>84</v>
      </c>
      <c r="Q2701" s="187">
        <v>37300000</v>
      </c>
      <c r="R2701" s="187">
        <v>400000</v>
      </c>
      <c r="S2701" s="187">
        <v>305000</v>
      </c>
      <c r="T2701" s="187">
        <v>84</v>
      </c>
      <c r="U2701" s="187">
        <v>74700000</v>
      </c>
      <c r="V2701" s="188"/>
    </row>
    <row r="2702" spans="1:22">
      <c r="A2702" s="179" t="s">
        <v>5313</v>
      </c>
      <c r="B2702" s="179" t="s">
        <v>5313</v>
      </c>
      <c r="C2702" s="187">
        <v>46.7</v>
      </c>
      <c r="D2702" s="187">
        <v>5940</v>
      </c>
      <c r="E2702" s="187">
        <v>244.5</v>
      </c>
      <c r="F2702" s="188"/>
      <c r="G2702" s="187">
        <v>8</v>
      </c>
      <c r="H2702" s="187">
        <v>8</v>
      </c>
      <c r="I2702" s="187">
        <v>8</v>
      </c>
      <c r="J2702" s="188"/>
      <c r="K2702" s="187">
        <v>30.6</v>
      </c>
      <c r="L2702" s="187">
        <v>30.6</v>
      </c>
      <c r="M2702" s="187">
        <v>41600000</v>
      </c>
      <c r="N2702" s="187">
        <v>448000</v>
      </c>
      <c r="O2702" s="187">
        <v>340000</v>
      </c>
      <c r="P2702" s="187">
        <v>83.699999999999989</v>
      </c>
      <c r="Q2702" s="187">
        <v>41600000</v>
      </c>
      <c r="R2702" s="187">
        <v>448000</v>
      </c>
      <c r="S2702" s="187">
        <v>340000</v>
      </c>
      <c r="T2702" s="187">
        <v>83.699999999999989</v>
      </c>
      <c r="U2702" s="187">
        <v>83200000</v>
      </c>
      <c r="V2702" s="188"/>
    </row>
    <row r="2703" spans="1:22">
      <c r="A2703" s="179" t="s">
        <v>5314</v>
      </c>
      <c r="B2703" s="179" t="s">
        <v>5314</v>
      </c>
      <c r="C2703" s="187">
        <v>57.8</v>
      </c>
      <c r="D2703" s="187">
        <v>7370</v>
      </c>
      <c r="E2703" s="187">
        <v>244.5</v>
      </c>
      <c r="F2703" s="188"/>
      <c r="G2703" s="187">
        <v>10</v>
      </c>
      <c r="H2703" s="187">
        <v>10</v>
      </c>
      <c r="I2703" s="187">
        <v>10</v>
      </c>
      <c r="J2703" s="188"/>
      <c r="K2703" s="187">
        <v>24.5</v>
      </c>
      <c r="L2703" s="187">
        <v>24.5</v>
      </c>
      <c r="M2703" s="187">
        <v>50700000</v>
      </c>
      <c r="N2703" s="187">
        <v>550000</v>
      </c>
      <c r="O2703" s="187">
        <v>415000</v>
      </c>
      <c r="P2703" s="187">
        <v>83</v>
      </c>
      <c r="Q2703" s="187">
        <v>50700000</v>
      </c>
      <c r="R2703" s="187">
        <v>550000</v>
      </c>
      <c r="S2703" s="187">
        <v>415000</v>
      </c>
      <c r="T2703" s="187">
        <v>83</v>
      </c>
      <c r="U2703" s="187">
        <v>101000000</v>
      </c>
      <c r="V2703" s="188"/>
    </row>
    <row r="2704" spans="1:22">
      <c r="A2704" s="179" t="s">
        <v>5315</v>
      </c>
      <c r="B2704" s="179" t="s">
        <v>5315</v>
      </c>
      <c r="C2704" s="187">
        <v>63.3</v>
      </c>
      <c r="D2704" s="187">
        <v>8070</v>
      </c>
      <c r="E2704" s="187">
        <v>244.5</v>
      </c>
      <c r="F2704" s="188"/>
      <c r="G2704" s="187">
        <v>11</v>
      </c>
      <c r="H2704" s="187">
        <v>11</v>
      </c>
      <c r="I2704" s="187">
        <v>11</v>
      </c>
      <c r="J2704" s="188"/>
      <c r="K2704" s="187">
        <v>22.2</v>
      </c>
      <c r="L2704" s="187">
        <v>22.2</v>
      </c>
      <c r="M2704" s="187">
        <v>55100000</v>
      </c>
      <c r="N2704" s="187">
        <v>600000</v>
      </c>
      <c r="O2704" s="187">
        <v>451000</v>
      </c>
      <c r="P2704" s="187">
        <v>82.6</v>
      </c>
      <c r="Q2704" s="187">
        <v>55100000</v>
      </c>
      <c r="R2704" s="187">
        <v>600000</v>
      </c>
      <c r="S2704" s="187">
        <v>451000</v>
      </c>
      <c r="T2704" s="187">
        <v>82.6</v>
      </c>
      <c r="U2704" s="187">
        <v>110000000</v>
      </c>
      <c r="V2704" s="188"/>
    </row>
    <row r="2705" spans="1:22">
      <c r="A2705" s="179" t="s">
        <v>5316</v>
      </c>
      <c r="B2705" s="179" t="s">
        <v>5316</v>
      </c>
      <c r="C2705" s="187">
        <v>71.5</v>
      </c>
      <c r="D2705" s="187">
        <v>9110</v>
      </c>
      <c r="E2705" s="187">
        <v>244.5</v>
      </c>
      <c r="F2705" s="188"/>
      <c r="G2705" s="187">
        <v>12.5</v>
      </c>
      <c r="H2705" s="187">
        <v>12.5</v>
      </c>
      <c r="I2705" s="187">
        <v>12.5</v>
      </c>
      <c r="J2705" s="188"/>
      <c r="K2705" s="187">
        <v>19.600000000000001</v>
      </c>
      <c r="L2705" s="187">
        <v>19.600000000000001</v>
      </c>
      <c r="M2705" s="187">
        <v>61500000</v>
      </c>
      <c r="N2705" s="187">
        <v>673000</v>
      </c>
      <c r="O2705" s="187">
        <v>503000</v>
      </c>
      <c r="P2705" s="187">
        <v>82.100000000000009</v>
      </c>
      <c r="Q2705" s="187">
        <v>61500000</v>
      </c>
      <c r="R2705" s="187">
        <v>673000</v>
      </c>
      <c r="S2705" s="187">
        <v>503000</v>
      </c>
      <c r="T2705" s="187">
        <v>82.100000000000009</v>
      </c>
      <c r="U2705" s="187">
        <v>123000000</v>
      </c>
      <c r="V2705" s="188"/>
    </row>
    <row r="2706" spans="1:22">
      <c r="A2706" s="179" t="s">
        <v>5317</v>
      </c>
      <c r="B2706" s="179" t="s">
        <v>5317</v>
      </c>
      <c r="C2706" s="187">
        <v>80.599999999999994</v>
      </c>
      <c r="D2706" s="187">
        <v>10300</v>
      </c>
      <c r="E2706" s="187">
        <v>244.5</v>
      </c>
      <c r="F2706" s="188"/>
      <c r="G2706" s="187">
        <v>14.2</v>
      </c>
      <c r="H2706" s="187">
        <v>14.2</v>
      </c>
      <c r="I2706" s="187">
        <v>14.2</v>
      </c>
      <c r="J2706" s="188"/>
      <c r="K2706" s="187">
        <v>17.2</v>
      </c>
      <c r="L2706" s="187">
        <v>17.2</v>
      </c>
      <c r="M2706" s="187">
        <v>68400000</v>
      </c>
      <c r="N2706" s="187">
        <v>754000</v>
      </c>
      <c r="O2706" s="187">
        <v>559000</v>
      </c>
      <c r="P2706" s="187">
        <v>81.599999999999994</v>
      </c>
      <c r="Q2706" s="187">
        <v>68400000</v>
      </c>
      <c r="R2706" s="187">
        <v>754000</v>
      </c>
      <c r="S2706" s="187">
        <v>559000</v>
      </c>
      <c r="T2706" s="187">
        <v>81.599999999999994</v>
      </c>
      <c r="U2706" s="187">
        <v>137000000</v>
      </c>
      <c r="V2706" s="188"/>
    </row>
    <row r="2707" spans="1:22">
      <c r="A2707" s="179" t="s">
        <v>5318</v>
      </c>
      <c r="B2707" s="179" t="s">
        <v>5318</v>
      </c>
      <c r="C2707" s="187">
        <v>90.2</v>
      </c>
      <c r="D2707" s="187">
        <v>11500</v>
      </c>
      <c r="E2707" s="187">
        <v>244.5</v>
      </c>
      <c r="F2707" s="188"/>
      <c r="G2707" s="187">
        <v>16</v>
      </c>
      <c r="H2707" s="187">
        <v>16</v>
      </c>
      <c r="I2707" s="187">
        <v>16</v>
      </c>
      <c r="J2707" s="188"/>
      <c r="K2707" s="187">
        <v>15.3</v>
      </c>
      <c r="L2707" s="187">
        <v>15.3</v>
      </c>
      <c r="M2707" s="187">
        <v>75300000</v>
      </c>
      <c r="N2707" s="187">
        <v>837000</v>
      </c>
      <c r="O2707" s="187">
        <v>616000</v>
      </c>
      <c r="P2707" s="187">
        <v>81</v>
      </c>
      <c r="Q2707" s="187">
        <v>75300000</v>
      </c>
      <c r="R2707" s="187">
        <v>837000</v>
      </c>
      <c r="S2707" s="187">
        <v>616000</v>
      </c>
      <c r="T2707" s="187">
        <v>81</v>
      </c>
      <c r="U2707" s="187">
        <v>151000000</v>
      </c>
      <c r="V2707" s="188"/>
    </row>
    <row r="2708" spans="1:22">
      <c r="A2708" s="177" t="s">
        <v>5319</v>
      </c>
      <c r="B2708" s="177" t="s">
        <v>5319</v>
      </c>
      <c r="C2708" s="187">
        <v>33</v>
      </c>
      <c r="D2708" s="187">
        <v>4210</v>
      </c>
      <c r="E2708" s="187">
        <v>273</v>
      </c>
      <c r="F2708" s="188"/>
      <c r="G2708" s="187">
        <v>5</v>
      </c>
      <c r="H2708" s="187">
        <v>5</v>
      </c>
      <c r="I2708" s="187">
        <v>5</v>
      </c>
      <c r="J2708" s="188"/>
      <c r="K2708" s="187">
        <v>54.6</v>
      </c>
      <c r="L2708" s="187">
        <v>54.6</v>
      </c>
      <c r="M2708" s="187">
        <v>37800000</v>
      </c>
      <c r="N2708" s="187">
        <v>359000</v>
      </c>
      <c r="O2708" s="187">
        <v>277000</v>
      </c>
      <c r="P2708" s="187">
        <v>94.800000000000011</v>
      </c>
      <c r="Q2708" s="187">
        <v>37800000</v>
      </c>
      <c r="R2708" s="187">
        <v>359000</v>
      </c>
      <c r="S2708" s="187">
        <v>277000</v>
      </c>
      <c r="T2708" s="187">
        <v>94.800000000000011</v>
      </c>
      <c r="U2708" s="187">
        <v>75600000</v>
      </c>
      <c r="V2708" s="188"/>
    </row>
    <row r="2709" spans="1:22">
      <c r="A2709" s="179" t="s">
        <v>5320</v>
      </c>
      <c r="B2709" s="179" t="s">
        <v>5320</v>
      </c>
      <c r="C2709" s="187">
        <v>36.9</v>
      </c>
      <c r="D2709" s="187">
        <v>4700</v>
      </c>
      <c r="E2709" s="187">
        <v>273</v>
      </c>
      <c r="F2709" s="188"/>
      <c r="G2709" s="187">
        <v>5.6</v>
      </c>
      <c r="H2709" s="187">
        <v>5.6</v>
      </c>
      <c r="I2709" s="187">
        <v>5.6</v>
      </c>
      <c r="J2709" s="188"/>
      <c r="K2709" s="187">
        <v>48.8</v>
      </c>
      <c r="L2709" s="187">
        <v>48.8</v>
      </c>
      <c r="M2709" s="187">
        <v>42100000</v>
      </c>
      <c r="N2709" s="187">
        <v>400000</v>
      </c>
      <c r="O2709" s="187">
        <v>308000</v>
      </c>
      <c r="P2709" s="187">
        <v>94.600000000000009</v>
      </c>
      <c r="Q2709" s="187">
        <v>42100000</v>
      </c>
      <c r="R2709" s="187">
        <v>400000</v>
      </c>
      <c r="S2709" s="187">
        <v>308000</v>
      </c>
      <c r="T2709" s="187">
        <v>94.600000000000009</v>
      </c>
      <c r="U2709" s="187">
        <v>84100000</v>
      </c>
      <c r="V2709" s="188"/>
    </row>
    <row r="2710" spans="1:22">
      <c r="A2710" s="179" t="s">
        <v>5321</v>
      </c>
      <c r="B2710" s="179" t="s">
        <v>5321</v>
      </c>
      <c r="C2710" s="187">
        <v>41.4</v>
      </c>
      <c r="D2710" s="187">
        <v>5280</v>
      </c>
      <c r="E2710" s="187">
        <v>273</v>
      </c>
      <c r="F2710" s="188"/>
      <c r="G2710" s="187">
        <v>6.3</v>
      </c>
      <c r="H2710" s="187">
        <v>6.3</v>
      </c>
      <c r="I2710" s="187">
        <v>6.3</v>
      </c>
      <c r="J2710" s="188"/>
      <c r="K2710" s="187">
        <v>43.3</v>
      </c>
      <c r="L2710" s="187">
        <v>43.3</v>
      </c>
      <c r="M2710" s="187">
        <v>47000000</v>
      </c>
      <c r="N2710" s="187">
        <v>448000</v>
      </c>
      <c r="O2710" s="187">
        <v>344000</v>
      </c>
      <c r="P2710" s="187">
        <v>94.3</v>
      </c>
      <c r="Q2710" s="187">
        <v>47000000</v>
      </c>
      <c r="R2710" s="187">
        <v>448000</v>
      </c>
      <c r="S2710" s="187">
        <v>344000</v>
      </c>
      <c r="T2710" s="187">
        <v>94.3</v>
      </c>
      <c r="U2710" s="187">
        <v>93900000</v>
      </c>
      <c r="V2710" s="188"/>
    </row>
    <row r="2711" spans="1:22">
      <c r="A2711" s="179" t="s">
        <v>5322</v>
      </c>
      <c r="B2711" s="179" t="s">
        <v>5322</v>
      </c>
      <c r="C2711" s="187">
        <v>46.6</v>
      </c>
      <c r="D2711" s="187">
        <v>5930</v>
      </c>
      <c r="E2711" s="187">
        <v>273</v>
      </c>
      <c r="F2711" s="188"/>
      <c r="G2711" s="187">
        <v>7.1</v>
      </c>
      <c r="H2711" s="187">
        <v>7.1</v>
      </c>
      <c r="I2711" s="187">
        <v>7.1</v>
      </c>
      <c r="J2711" s="188"/>
      <c r="K2711" s="187">
        <v>38.5</v>
      </c>
      <c r="L2711" s="187">
        <v>38.5</v>
      </c>
      <c r="M2711" s="187">
        <v>52400000</v>
      </c>
      <c r="N2711" s="187">
        <v>502000</v>
      </c>
      <c r="O2711" s="187">
        <v>384000</v>
      </c>
      <c r="P2711" s="187">
        <v>94</v>
      </c>
      <c r="Q2711" s="187">
        <v>52400000</v>
      </c>
      <c r="R2711" s="187">
        <v>502000</v>
      </c>
      <c r="S2711" s="187">
        <v>384000</v>
      </c>
      <c r="T2711" s="187">
        <v>94</v>
      </c>
      <c r="U2711" s="187">
        <v>105000000</v>
      </c>
      <c r="V2711" s="188"/>
    </row>
    <row r="2712" spans="1:22">
      <c r="A2712" s="179" t="s">
        <v>5323</v>
      </c>
      <c r="B2712" s="179" t="s">
        <v>5323</v>
      </c>
      <c r="C2712" s="187">
        <v>52.3</v>
      </c>
      <c r="D2712" s="187">
        <v>6659.9999999999991</v>
      </c>
      <c r="E2712" s="187">
        <v>273</v>
      </c>
      <c r="F2712" s="188"/>
      <c r="G2712" s="187">
        <v>8</v>
      </c>
      <c r="H2712" s="187">
        <v>8</v>
      </c>
      <c r="I2712" s="187">
        <v>8</v>
      </c>
      <c r="J2712" s="188"/>
      <c r="K2712" s="187">
        <v>34.1</v>
      </c>
      <c r="L2712" s="187">
        <v>34.1</v>
      </c>
      <c r="M2712" s="187">
        <v>58500000</v>
      </c>
      <c r="N2712" s="187">
        <v>562000</v>
      </c>
      <c r="O2712" s="187">
        <v>429000</v>
      </c>
      <c r="P2712" s="187">
        <v>93.699999999999989</v>
      </c>
      <c r="Q2712" s="187">
        <v>58500000</v>
      </c>
      <c r="R2712" s="187">
        <v>562000</v>
      </c>
      <c r="S2712" s="187">
        <v>429000</v>
      </c>
      <c r="T2712" s="187">
        <v>93.699999999999989</v>
      </c>
      <c r="U2712" s="187">
        <v>117000000</v>
      </c>
      <c r="V2712" s="188"/>
    </row>
    <row r="2713" spans="1:22">
      <c r="A2713" s="179" t="s">
        <v>5324</v>
      </c>
      <c r="B2713" s="179" t="s">
        <v>5324</v>
      </c>
      <c r="C2713" s="187">
        <v>64.900000000000006</v>
      </c>
      <c r="D2713" s="187">
        <v>8260</v>
      </c>
      <c r="E2713" s="187">
        <v>273</v>
      </c>
      <c r="F2713" s="188"/>
      <c r="G2713" s="187">
        <v>10</v>
      </c>
      <c r="H2713" s="187">
        <v>10</v>
      </c>
      <c r="I2713" s="187">
        <v>10</v>
      </c>
      <c r="J2713" s="188"/>
      <c r="K2713" s="187">
        <v>27.3</v>
      </c>
      <c r="L2713" s="187">
        <v>27.3</v>
      </c>
      <c r="M2713" s="187">
        <v>71500000</v>
      </c>
      <c r="N2713" s="187">
        <v>692000</v>
      </c>
      <c r="O2713" s="187">
        <v>524000</v>
      </c>
      <c r="P2713" s="187">
        <v>93.100000000000009</v>
      </c>
      <c r="Q2713" s="187">
        <v>71500000</v>
      </c>
      <c r="R2713" s="187">
        <v>692000</v>
      </c>
      <c r="S2713" s="187">
        <v>524000</v>
      </c>
      <c r="T2713" s="187">
        <v>93.100000000000009</v>
      </c>
      <c r="U2713" s="187">
        <v>143000000</v>
      </c>
      <c r="V2713" s="188"/>
    </row>
    <row r="2714" spans="1:22">
      <c r="A2714" s="179" t="s">
        <v>5325</v>
      </c>
      <c r="B2714" s="179" t="s">
        <v>5325</v>
      </c>
      <c r="C2714" s="187">
        <v>71.099999999999994</v>
      </c>
      <c r="D2714" s="187">
        <v>9050</v>
      </c>
      <c r="E2714" s="187">
        <v>273</v>
      </c>
      <c r="F2714" s="188"/>
      <c r="G2714" s="187">
        <v>11</v>
      </c>
      <c r="H2714" s="187">
        <v>11</v>
      </c>
      <c r="I2714" s="187">
        <v>11</v>
      </c>
      <c r="J2714" s="188"/>
      <c r="K2714" s="187">
        <v>24.8</v>
      </c>
      <c r="L2714" s="187">
        <v>24.8</v>
      </c>
      <c r="M2714" s="187">
        <v>77800000</v>
      </c>
      <c r="N2714" s="187">
        <v>756000</v>
      </c>
      <c r="O2714" s="187">
        <v>570000</v>
      </c>
      <c r="P2714" s="187">
        <v>92.699999999999989</v>
      </c>
      <c r="Q2714" s="187">
        <v>77800000</v>
      </c>
      <c r="R2714" s="187">
        <v>756000</v>
      </c>
      <c r="S2714" s="187">
        <v>570000</v>
      </c>
      <c r="T2714" s="187">
        <v>92.699999999999989</v>
      </c>
      <c r="U2714" s="187">
        <v>156000000</v>
      </c>
      <c r="V2714" s="188"/>
    </row>
    <row r="2715" spans="1:22">
      <c r="A2715" s="179" t="s">
        <v>5326</v>
      </c>
      <c r="B2715" s="179" t="s">
        <v>5326</v>
      </c>
      <c r="C2715" s="187">
        <v>80.3</v>
      </c>
      <c r="D2715" s="187">
        <v>10200</v>
      </c>
      <c r="E2715" s="187">
        <v>273</v>
      </c>
      <c r="F2715" s="188"/>
      <c r="G2715" s="187">
        <v>12.5</v>
      </c>
      <c r="H2715" s="187">
        <v>12.5</v>
      </c>
      <c r="I2715" s="187">
        <v>12.5</v>
      </c>
      <c r="J2715" s="188"/>
      <c r="K2715" s="187">
        <v>21.8</v>
      </c>
      <c r="L2715" s="187">
        <v>21.8</v>
      </c>
      <c r="M2715" s="187">
        <v>87000000</v>
      </c>
      <c r="N2715" s="187">
        <v>849000</v>
      </c>
      <c r="O2715" s="187">
        <v>637000</v>
      </c>
      <c r="P2715" s="187">
        <v>92.2</v>
      </c>
      <c r="Q2715" s="187">
        <v>87000000</v>
      </c>
      <c r="R2715" s="187">
        <v>849000</v>
      </c>
      <c r="S2715" s="187">
        <v>637000</v>
      </c>
      <c r="T2715" s="187">
        <v>92.2</v>
      </c>
      <c r="U2715" s="187">
        <v>174000000</v>
      </c>
      <c r="V2715" s="188"/>
    </row>
    <row r="2716" spans="1:22">
      <c r="A2716" s="179" t="s">
        <v>5327</v>
      </c>
      <c r="B2716" s="179" t="s">
        <v>5327</v>
      </c>
      <c r="C2716" s="187">
        <v>90.6</v>
      </c>
      <c r="D2716" s="187">
        <v>11500</v>
      </c>
      <c r="E2716" s="187">
        <v>273</v>
      </c>
      <c r="F2716" s="188"/>
      <c r="G2716" s="187">
        <v>14.2</v>
      </c>
      <c r="H2716" s="187">
        <v>14.2</v>
      </c>
      <c r="I2716" s="187">
        <v>14.2</v>
      </c>
      <c r="J2716" s="188"/>
      <c r="K2716" s="187">
        <v>19.2</v>
      </c>
      <c r="L2716" s="187">
        <v>19.2</v>
      </c>
      <c r="M2716" s="187">
        <v>97000000</v>
      </c>
      <c r="N2716" s="187">
        <v>952000</v>
      </c>
      <c r="O2716" s="187">
        <v>710000</v>
      </c>
      <c r="P2716" s="187">
        <v>91.6</v>
      </c>
      <c r="Q2716" s="187">
        <v>97000000</v>
      </c>
      <c r="R2716" s="187">
        <v>952000</v>
      </c>
      <c r="S2716" s="187">
        <v>710000</v>
      </c>
      <c r="T2716" s="187">
        <v>91.6</v>
      </c>
      <c r="U2716" s="187">
        <v>194000000</v>
      </c>
      <c r="V2716" s="188"/>
    </row>
    <row r="2717" spans="1:22">
      <c r="A2717" s="179" t="s">
        <v>5328</v>
      </c>
      <c r="B2717" s="179" t="s">
        <v>5328</v>
      </c>
      <c r="C2717" s="187">
        <v>101</v>
      </c>
      <c r="D2717" s="187">
        <v>12900</v>
      </c>
      <c r="E2717" s="187">
        <v>273</v>
      </c>
      <c r="F2717" s="188"/>
      <c r="G2717" s="187">
        <v>16</v>
      </c>
      <c r="H2717" s="187">
        <v>16</v>
      </c>
      <c r="I2717" s="187">
        <v>16</v>
      </c>
      <c r="J2717" s="188"/>
      <c r="K2717" s="187">
        <v>17.100000000000001</v>
      </c>
      <c r="L2717" s="187">
        <v>17.100000000000001</v>
      </c>
      <c r="M2717" s="187">
        <v>107000000</v>
      </c>
      <c r="N2717" s="187">
        <v>1060000</v>
      </c>
      <c r="O2717" s="187">
        <v>784000</v>
      </c>
      <c r="P2717" s="187">
        <v>91</v>
      </c>
      <c r="Q2717" s="187">
        <v>107000000</v>
      </c>
      <c r="R2717" s="187">
        <v>1060000</v>
      </c>
      <c r="S2717" s="187">
        <v>784000</v>
      </c>
      <c r="T2717" s="187">
        <v>91</v>
      </c>
      <c r="U2717" s="187">
        <v>214000000</v>
      </c>
      <c r="V2717" s="188"/>
    </row>
    <row r="2718" spans="1:22">
      <c r="A2718" s="177" t="s">
        <v>5329</v>
      </c>
      <c r="B2718" s="177" t="s">
        <v>5329</v>
      </c>
      <c r="C2718" s="187">
        <v>39.299999999999997</v>
      </c>
      <c r="D2718" s="187">
        <v>5010</v>
      </c>
      <c r="E2718" s="187">
        <v>323.89999999999998</v>
      </c>
      <c r="F2718" s="188"/>
      <c r="G2718" s="187">
        <v>5</v>
      </c>
      <c r="H2718" s="187">
        <v>5</v>
      </c>
      <c r="I2718" s="187">
        <v>5</v>
      </c>
      <c r="J2718" s="188"/>
      <c r="K2718" s="187">
        <v>64.8</v>
      </c>
      <c r="L2718" s="187">
        <v>64.8</v>
      </c>
      <c r="M2718" s="187">
        <v>63700000</v>
      </c>
      <c r="N2718" s="187">
        <v>509000</v>
      </c>
      <c r="O2718" s="187">
        <v>393000</v>
      </c>
      <c r="P2718" s="187">
        <v>113</v>
      </c>
      <c r="Q2718" s="187">
        <v>63700000</v>
      </c>
      <c r="R2718" s="187">
        <v>509000</v>
      </c>
      <c r="S2718" s="187">
        <v>393000</v>
      </c>
      <c r="T2718" s="187">
        <v>113</v>
      </c>
      <c r="U2718" s="187">
        <v>127000000</v>
      </c>
      <c r="V2718" s="188"/>
    </row>
    <row r="2719" spans="1:22">
      <c r="A2719" s="179" t="s">
        <v>5330</v>
      </c>
      <c r="B2719" s="179" t="s">
        <v>5330</v>
      </c>
      <c r="C2719" s="187">
        <v>44</v>
      </c>
      <c r="D2719" s="187">
        <v>5600</v>
      </c>
      <c r="E2719" s="187">
        <v>323.89999999999998</v>
      </c>
      <c r="F2719" s="188"/>
      <c r="G2719" s="187">
        <v>5.6</v>
      </c>
      <c r="H2719" s="187">
        <v>5.6</v>
      </c>
      <c r="I2719" s="187">
        <v>5.6</v>
      </c>
      <c r="J2719" s="188"/>
      <c r="K2719" s="187">
        <v>57.8</v>
      </c>
      <c r="L2719" s="187">
        <v>57.8</v>
      </c>
      <c r="M2719" s="187">
        <v>70900000</v>
      </c>
      <c r="N2719" s="187">
        <v>567000</v>
      </c>
      <c r="O2719" s="187">
        <v>438000</v>
      </c>
      <c r="P2719" s="187">
        <v>113</v>
      </c>
      <c r="Q2719" s="187">
        <v>70900000</v>
      </c>
      <c r="R2719" s="187">
        <v>567000</v>
      </c>
      <c r="S2719" s="187">
        <v>438000</v>
      </c>
      <c r="T2719" s="187">
        <v>113</v>
      </c>
      <c r="U2719" s="187">
        <v>142000000</v>
      </c>
      <c r="V2719" s="188"/>
    </row>
    <row r="2720" spans="1:22">
      <c r="A2720" s="179" t="s">
        <v>5331</v>
      </c>
      <c r="B2720" s="179" t="s">
        <v>5331</v>
      </c>
      <c r="C2720" s="187">
        <v>49.3</v>
      </c>
      <c r="D2720" s="187">
        <v>6290</v>
      </c>
      <c r="E2720" s="187">
        <v>323.89999999999998</v>
      </c>
      <c r="F2720" s="188"/>
      <c r="G2720" s="187">
        <v>6.3</v>
      </c>
      <c r="H2720" s="187">
        <v>6.3</v>
      </c>
      <c r="I2720" s="187">
        <v>6.3</v>
      </c>
      <c r="J2720" s="188"/>
      <c r="K2720" s="187">
        <v>51.4</v>
      </c>
      <c r="L2720" s="187">
        <v>51.4</v>
      </c>
      <c r="M2720" s="187">
        <v>79300000</v>
      </c>
      <c r="N2720" s="187">
        <v>636000</v>
      </c>
      <c r="O2720" s="187">
        <v>490000</v>
      </c>
      <c r="P2720" s="187">
        <v>112</v>
      </c>
      <c r="Q2720" s="187">
        <v>79300000</v>
      </c>
      <c r="R2720" s="187">
        <v>636000</v>
      </c>
      <c r="S2720" s="187">
        <v>490000</v>
      </c>
      <c r="T2720" s="187">
        <v>112</v>
      </c>
      <c r="U2720" s="187">
        <v>159000000</v>
      </c>
      <c r="V2720" s="188"/>
    </row>
    <row r="2721" spans="1:22">
      <c r="A2721" s="179" t="s">
        <v>5332</v>
      </c>
      <c r="B2721" s="179" t="s">
        <v>5332</v>
      </c>
      <c r="C2721" s="187">
        <v>55.5</v>
      </c>
      <c r="D2721" s="187">
        <v>7070</v>
      </c>
      <c r="E2721" s="187">
        <v>323.89999999999998</v>
      </c>
      <c r="F2721" s="188"/>
      <c r="G2721" s="187">
        <v>7.1</v>
      </c>
      <c r="H2721" s="187">
        <v>7.1</v>
      </c>
      <c r="I2721" s="187">
        <v>7.1</v>
      </c>
      <c r="J2721" s="188"/>
      <c r="K2721" s="187">
        <v>45.6</v>
      </c>
      <c r="L2721" s="187">
        <v>45.6</v>
      </c>
      <c r="M2721" s="187">
        <v>88700000</v>
      </c>
      <c r="N2721" s="187">
        <v>713000</v>
      </c>
      <c r="O2721" s="187">
        <v>548000</v>
      </c>
      <c r="P2721" s="187">
        <v>112</v>
      </c>
      <c r="Q2721" s="187">
        <v>88700000</v>
      </c>
      <c r="R2721" s="187">
        <v>713000</v>
      </c>
      <c r="S2721" s="187">
        <v>548000</v>
      </c>
      <c r="T2721" s="187">
        <v>112</v>
      </c>
      <c r="U2721" s="187">
        <v>177000000</v>
      </c>
      <c r="V2721" s="188"/>
    </row>
    <row r="2722" spans="1:22">
      <c r="A2722" s="179" t="s">
        <v>5333</v>
      </c>
      <c r="B2722" s="179" t="s">
        <v>5333</v>
      </c>
      <c r="C2722" s="187">
        <v>62.3</v>
      </c>
      <c r="D2722" s="187">
        <v>7940.0000000000009</v>
      </c>
      <c r="E2722" s="187">
        <v>323.89999999999998</v>
      </c>
      <c r="F2722" s="188"/>
      <c r="G2722" s="187">
        <v>8</v>
      </c>
      <c r="H2722" s="187">
        <v>8</v>
      </c>
      <c r="I2722" s="187">
        <v>8</v>
      </c>
      <c r="J2722" s="188"/>
      <c r="K2722" s="187">
        <v>40.5</v>
      </c>
      <c r="L2722" s="187">
        <v>40.5</v>
      </c>
      <c r="M2722" s="187">
        <v>99100000</v>
      </c>
      <c r="N2722" s="187">
        <v>799000</v>
      </c>
      <c r="O2722" s="187">
        <v>612000</v>
      </c>
      <c r="P2722" s="187">
        <v>112</v>
      </c>
      <c r="Q2722" s="187">
        <v>99100000</v>
      </c>
      <c r="R2722" s="187">
        <v>799000</v>
      </c>
      <c r="S2722" s="187">
        <v>612000</v>
      </c>
      <c r="T2722" s="187">
        <v>112</v>
      </c>
      <c r="U2722" s="187">
        <v>198000000</v>
      </c>
      <c r="V2722" s="188"/>
    </row>
    <row r="2723" spans="1:22">
      <c r="A2723" s="179" t="s">
        <v>5334</v>
      </c>
      <c r="B2723" s="179" t="s">
        <v>5334</v>
      </c>
      <c r="C2723" s="187">
        <v>77.400000000000006</v>
      </c>
      <c r="D2723" s="187">
        <v>9860</v>
      </c>
      <c r="E2723" s="187">
        <v>323.89999999999998</v>
      </c>
      <c r="F2723" s="188"/>
      <c r="G2723" s="187">
        <v>10</v>
      </c>
      <c r="H2723" s="187">
        <v>10</v>
      </c>
      <c r="I2723" s="187">
        <v>10</v>
      </c>
      <c r="J2723" s="188"/>
      <c r="K2723" s="187">
        <v>32.4</v>
      </c>
      <c r="L2723" s="187">
        <v>32.4</v>
      </c>
      <c r="M2723" s="187">
        <v>122000000</v>
      </c>
      <c r="N2723" s="187">
        <v>986000</v>
      </c>
      <c r="O2723" s="187">
        <v>751000</v>
      </c>
      <c r="P2723" s="187">
        <v>111</v>
      </c>
      <c r="Q2723" s="187">
        <v>122000000</v>
      </c>
      <c r="R2723" s="187">
        <v>986000</v>
      </c>
      <c r="S2723" s="187">
        <v>751000</v>
      </c>
      <c r="T2723" s="187">
        <v>111</v>
      </c>
      <c r="U2723" s="187">
        <v>243000000</v>
      </c>
      <c r="V2723" s="188"/>
    </row>
    <row r="2724" spans="1:22">
      <c r="A2724" s="179" t="s">
        <v>5335</v>
      </c>
      <c r="B2724" s="179" t="s">
        <v>5335</v>
      </c>
      <c r="C2724" s="187">
        <v>84.9</v>
      </c>
      <c r="D2724" s="187">
        <v>10800</v>
      </c>
      <c r="E2724" s="187">
        <v>323.89999999999998</v>
      </c>
      <c r="F2724" s="188"/>
      <c r="G2724" s="187">
        <v>11</v>
      </c>
      <c r="H2724" s="187">
        <v>11</v>
      </c>
      <c r="I2724" s="187">
        <v>11</v>
      </c>
      <c r="J2724" s="188"/>
      <c r="K2724" s="187">
        <v>29.4</v>
      </c>
      <c r="L2724" s="187">
        <v>29.4</v>
      </c>
      <c r="M2724" s="187">
        <v>132000000</v>
      </c>
      <c r="N2724" s="187">
        <v>1080000</v>
      </c>
      <c r="O2724" s="187">
        <v>818000</v>
      </c>
      <c r="P2724" s="187">
        <v>111</v>
      </c>
      <c r="Q2724" s="187">
        <v>132000000</v>
      </c>
      <c r="R2724" s="187">
        <v>1080000</v>
      </c>
      <c r="S2724" s="187">
        <v>818000</v>
      </c>
      <c r="T2724" s="187">
        <v>111</v>
      </c>
      <c r="U2724" s="187">
        <v>265000000</v>
      </c>
      <c r="V2724" s="188"/>
    </row>
    <row r="2725" spans="1:22">
      <c r="A2725" s="179" t="s">
        <v>5336</v>
      </c>
      <c r="B2725" s="179" t="s">
        <v>5336</v>
      </c>
      <c r="C2725" s="187">
        <v>96</v>
      </c>
      <c r="D2725" s="187">
        <v>12200</v>
      </c>
      <c r="E2725" s="187">
        <v>323.89999999999998</v>
      </c>
      <c r="F2725" s="188"/>
      <c r="G2725" s="187">
        <v>12.5</v>
      </c>
      <c r="H2725" s="187">
        <v>12.5</v>
      </c>
      <c r="I2725" s="187">
        <v>12.5</v>
      </c>
      <c r="J2725" s="188"/>
      <c r="K2725" s="187">
        <v>25.9</v>
      </c>
      <c r="L2725" s="187">
        <v>25.9</v>
      </c>
      <c r="M2725" s="187">
        <v>148000000</v>
      </c>
      <c r="N2725" s="187">
        <v>1210000</v>
      </c>
      <c r="O2725" s="187">
        <v>917000</v>
      </c>
      <c r="P2725" s="187">
        <v>110</v>
      </c>
      <c r="Q2725" s="187">
        <v>148000000</v>
      </c>
      <c r="R2725" s="187">
        <v>1210000</v>
      </c>
      <c r="S2725" s="187">
        <v>917000</v>
      </c>
      <c r="T2725" s="187">
        <v>110</v>
      </c>
      <c r="U2725" s="187">
        <v>297000000</v>
      </c>
      <c r="V2725" s="188"/>
    </row>
    <row r="2726" spans="1:22">
      <c r="A2726" s="179" t="s">
        <v>5337</v>
      </c>
      <c r="B2726" s="179" t="s">
        <v>5337</v>
      </c>
      <c r="C2726" s="187">
        <v>108</v>
      </c>
      <c r="D2726" s="187">
        <v>13800</v>
      </c>
      <c r="E2726" s="187">
        <v>323.89999999999998</v>
      </c>
      <c r="F2726" s="188"/>
      <c r="G2726" s="187">
        <v>14.2</v>
      </c>
      <c r="H2726" s="187">
        <v>14.2</v>
      </c>
      <c r="I2726" s="187">
        <v>14.2</v>
      </c>
      <c r="J2726" s="188"/>
      <c r="K2726" s="187">
        <v>22.8</v>
      </c>
      <c r="L2726" s="187">
        <v>22.8</v>
      </c>
      <c r="M2726" s="187">
        <v>166000000</v>
      </c>
      <c r="N2726" s="187">
        <v>1360000</v>
      </c>
      <c r="O2726" s="187">
        <v>1020000</v>
      </c>
      <c r="P2726" s="187">
        <v>110</v>
      </c>
      <c r="Q2726" s="187">
        <v>166000000</v>
      </c>
      <c r="R2726" s="187">
        <v>1360000</v>
      </c>
      <c r="S2726" s="187">
        <v>1020000</v>
      </c>
      <c r="T2726" s="187">
        <v>110</v>
      </c>
      <c r="U2726" s="187">
        <v>332000000</v>
      </c>
      <c r="V2726" s="188"/>
    </row>
    <row r="2727" spans="1:22">
      <c r="A2727" s="179" t="s">
        <v>5338</v>
      </c>
      <c r="B2727" s="179" t="s">
        <v>5338</v>
      </c>
      <c r="C2727" s="187">
        <v>121</v>
      </c>
      <c r="D2727" s="187">
        <v>15500</v>
      </c>
      <c r="E2727" s="187">
        <v>323.89999999999998</v>
      </c>
      <c r="F2727" s="188"/>
      <c r="G2727" s="187">
        <v>16</v>
      </c>
      <c r="H2727" s="187">
        <v>16</v>
      </c>
      <c r="I2727" s="187">
        <v>16</v>
      </c>
      <c r="J2727" s="188"/>
      <c r="K2727" s="187">
        <v>20.2</v>
      </c>
      <c r="L2727" s="187">
        <v>20.2</v>
      </c>
      <c r="M2727" s="187">
        <v>184000000</v>
      </c>
      <c r="N2727" s="187">
        <v>1520000</v>
      </c>
      <c r="O2727" s="187">
        <v>1140000</v>
      </c>
      <c r="P2727" s="187">
        <v>109</v>
      </c>
      <c r="Q2727" s="187">
        <v>184000000</v>
      </c>
      <c r="R2727" s="187">
        <v>1520000</v>
      </c>
      <c r="S2727" s="187">
        <v>1140000</v>
      </c>
      <c r="T2727" s="187">
        <v>109</v>
      </c>
      <c r="U2727" s="187">
        <v>368000000</v>
      </c>
      <c r="V2727" s="188"/>
    </row>
    <row r="2728" spans="1:22">
      <c r="A2728" s="177" t="s">
        <v>5339</v>
      </c>
      <c r="B2728" s="177" t="s">
        <v>5339</v>
      </c>
      <c r="C2728" s="187">
        <v>54.3</v>
      </c>
      <c r="D2728" s="187">
        <v>6909.9999999999991</v>
      </c>
      <c r="E2728" s="187">
        <v>355.6</v>
      </c>
      <c r="F2728" s="188"/>
      <c r="G2728" s="187">
        <v>6.3</v>
      </c>
      <c r="H2728" s="187">
        <v>6.3</v>
      </c>
      <c r="I2728" s="187">
        <v>6.3</v>
      </c>
      <c r="J2728" s="188"/>
      <c r="K2728" s="187">
        <v>56.4</v>
      </c>
      <c r="L2728" s="187">
        <v>56.4</v>
      </c>
      <c r="M2728" s="187">
        <v>105000000</v>
      </c>
      <c r="N2728" s="187">
        <v>769000</v>
      </c>
      <c r="O2728" s="187">
        <v>593000</v>
      </c>
      <c r="P2728" s="187">
        <v>124</v>
      </c>
      <c r="Q2728" s="187">
        <v>105000000</v>
      </c>
      <c r="R2728" s="187">
        <v>769000</v>
      </c>
      <c r="S2728" s="187">
        <v>593000</v>
      </c>
      <c r="T2728" s="187">
        <v>124</v>
      </c>
      <c r="U2728" s="187">
        <v>211000000</v>
      </c>
      <c r="V2728" s="188"/>
    </row>
    <row r="2729" spans="1:22">
      <c r="A2729" s="179" t="s">
        <v>5340</v>
      </c>
      <c r="B2729" s="179" t="s">
        <v>5340</v>
      </c>
      <c r="C2729" s="187">
        <v>61</v>
      </c>
      <c r="D2729" s="187">
        <v>7770</v>
      </c>
      <c r="E2729" s="187">
        <v>355.6</v>
      </c>
      <c r="F2729" s="188"/>
      <c r="G2729" s="187">
        <v>7.1</v>
      </c>
      <c r="H2729" s="187">
        <v>7.1</v>
      </c>
      <c r="I2729" s="187">
        <v>7.1</v>
      </c>
      <c r="J2729" s="188"/>
      <c r="K2729" s="187">
        <v>50.1</v>
      </c>
      <c r="L2729" s="187">
        <v>50.1</v>
      </c>
      <c r="M2729" s="187">
        <v>118000000</v>
      </c>
      <c r="N2729" s="187">
        <v>862000</v>
      </c>
      <c r="O2729" s="187">
        <v>664000</v>
      </c>
      <c r="P2729" s="187">
        <v>123</v>
      </c>
      <c r="Q2729" s="187">
        <v>118000000</v>
      </c>
      <c r="R2729" s="187">
        <v>862000</v>
      </c>
      <c r="S2729" s="187">
        <v>664000</v>
      </c>
      <c r="T2729" s="187">
        <v>123</v>
      </c>
      <c r="U2729" s="187">
        <v>236000000</v>
      </c>
      <c r="V2729" s="188"/>
    </row>
    <row r="2730" spans="1:22">
      <c r="A2730" s="179" t="s">
        <v>5341</v>
      </c>
      <c r="B2730" s="179" t="s">
        <v>5341</v>
      </c>
      <c r="C2730" s="187">
        <v>68.599999999999994</v>
      </c>
      <c r="D2730" s="187">
        <v>8740</v>
      </c>
      <c r="E2730" s="187">
        <v>355.6</v>
      </c>
      <c r="F2730" s="188"/>
      <c r="G2730" s="187">
        <v>8</v>
      </c>
      <c r="H2730" s="187">
        <v>8</v>
      </c>
      <c r="I2730" s="187">
        <v>8</v>
      </c>
      <c r="J2730" s="188"/>
      <c r="K2730" s="187">
        <v>44.5</v>
      </c>
      <c r="L2730" s="187">
        <v>44.5</v>
      </c>
      <c r="M2730" s="187">
        <v>132000000</v>
      </c>
      <c r="N2730" s="187">
        <v>967000</v>
      </c>
      <c r="O2730" s="187">
        <v>742000</v>
      </c>
      <c r="P2730" s="187">
        <v>123</v>
      </c>
      <c r="Q2730" s="187">
        <v>132000000</v>
      </c>
      <c r="R2730" s="187">
        <v>967000</v>
      </c>
      <c r="S2730" s="187">
        <v>742000</v>
      </c>
      <c r="T2730" s="187">
        <v>123</v>
      </c>
      <c r="U2730" s="187">
        <v>264000000</v>
      </c>
      <c r="V2730" s="188"/>
    </row>
    <row r="2731" spans="1:22">
      <c r="A2731" s="179" t="s">
        <v>5342</v>
      </c>
      <c r="B2731" s="179" t="s">
        <v>5342</v>
      </c>
      <c r="C2731" s="187">
        <v>85.2</v>
      </c>
      <c r="D2731" s="187">
        <v>10900</v>
      </c>
      <c r="E2731" s="187">
        <v>355.6</v>
      </c>
      <c r="F2731" s="188"/>
      <c r="G2731" s="187">
        <v>10</v>
      </c>
      <c r="H2731" s="187">
        <v>10</v>
      </c>
      <c r="I2731" s="187">
        <v>10</v>
      </c>
      <c r="J2731" s="188"/>
      <c r="K2731" s="187">
        <v>35.6</v>
      </c>
      <c r="L2731" s="187">
        <v>35.6</v>
      </c>
      <c r="M2731" s="187">
        <v>162000000</v>
      </c>
      <c r="N2731" s="187">
        <v>1200000</v>
      </c>
      <c r="O2731" s="187">
        <v>912000</v>
      </c>
      <c r="P2731" s="187">
        <v>122</v>
      </c>
      <c r="Q2731" s="187">
        <v>162000000</v>
      </c>
      <c r="R2731" s="187">
        <v>1200000</v>
      </c>
      <c r="S2731" s="187">
        <v>912000</v>
      </c>
      <c r="T2731" s="187">
        <v>122</v>
      </c>
      <c r="U2731" s="187">
        <v>324000000</v>
      </c>
      <c r="V2731" s="188"/>
    </row>
    <row r="2732" spans="1:22">
      <c r="A2732" s="179" t="s">
        <v>5343</v>
      </c>
      <c r="B2732" s="179" t="s">
        <v>5343</v>
      </c>
      <c r="C2732" s="187">
        <v>93.5</v>
      </c>
      <c r="D2732" s="187">
        <v>11900</v>
      </c>
      <c r="E2732" s="187">
        <v>355.6</v>
      </c>
      <c r="F2732" s="188"/>
      <c r="G2732" s="187">
        <v>11</v>
      </c>
      <c r="H2732" s="187">
        <v>11</v>
      </c>
      <c r="I2732" s="187">
        <v>11</v>
      </c>
      <c r="J2732" s="188"/>
      <c r="K2732" s="187">
        <v>32.299999999999997</v>
      </c>
      <c r="L2732" s="187">
        <v>32.299999999999997</v>
      </c>
      <c r="M2732" s="187">
        <v>177000000</v>
      </c>
      <c r="N2732" s="187">
        <v>1310000</v>
      </c>
      <c r="O2732" s="187">
        <v>995000</v>
      </c>
      <c r="P2732" s="187">
        <v>122</v>
      </c>
      <c r="Q2732" s="187">
        <v>177000000</v>
      </c>
      <c r="R2732" s="187">
        <v>1310000</v>
      </c>
      <c r="S2732" s="187">
        <v>995000</v>
      </c>
      <c r="T2732" s="187">
        <v>122</v>
      </c>
      <c r="U2732" s="187">
        <v>354000000</v>
      </c>
      <c r="V2732" s="188"/>
    </row>
    <row r="2733" spans="1:22">
      <c r="A2733" s="179" t="s">
        <v>5344</v>
      </c>
      <c r="B2733" s="179" t="s">
        <v>5344</v>
      </c>
      <c r="C2733" s="187">
        <v>106</v>
      </c>
      <c r="D2733" s="187">
        <v>13500</v>
      </c>
      <c r="E2733" s="187">
        <v>355.6</v>
      </c>
      <c r="F2733" s="188"/>
      <c r="G2733" s="187">
        <v>12.5</v>
      </c>
      <c r="H2733" s="187">
        <v>12.5</v>
      </c>
      <c r="I2733" s="187">
        <v>12.5</v>
      </c>
      <c r="J2733" s="188"/>
      <c r="K2733" s="187">
        <v>28.4</v>
      </c>
      <c r="L2733" s="187">
        <v>28.4</v>
      </c>
      <c r="M2733" s="187">
        <v>199000000</v>
      </c>
      <c r="N2733" s="187">
        <v>1470000</v>
      </c>
      <c r="O2733" s="187">
        <v>1120000</v>
      </c>
      <c r="P2733" s="187">
        <v>121</v>
      </c>
      <c r="Q2733" s="187">
        <v>199000000</v>
      </c>
      <c r="R2733" s="187">
        <v>1470000</v>
      </c>
      <c r="S2733" s="187">
        <v>1120000</v>
      </c>
      <c r="T2733" s="187">
        <v>121</v>
      </c>
      <c r="U2733" s="187">
        <v>397000000</v>
      </c>
      <c r="V2733" s="188"/>
    </row>
    <row r="2734" spans="1:22">
      <c r="A2734" s="179" t="s">
        <v>5345</v>
      </c>
      <c r="B2734" s="179" t="s">
        <v>5345</v>
      </c>
      <c r="C2734" s="187">
        <v>120</v>
      </c>
      <c r="D2734" s="187">
        <v>15200</v>
      </c>
      <c r="E2734" s="187">
        <v>355.6</v>
      </c>
      <c r="F2734" s="188"/>
      <c r="G2734" s="187">
        <v>14.2</v>
      </c>
      <c r="H2734" s="187">
        <v>14.2</v>
      </c>
      <c r="I2734" s="187">
        <v>14.2</v>
      </c>
      <c r="J2734" s="188"/>
      <c r="K2734" s="187">
        <v>25</v>
      </c>
      <c r="L2734" s="187">
        <v>25</v>
      </c>
      <c r="M2734" s="187">
        <v>222000000</v>
      </c>
      <c r="N2734" s="187">
        <v>1660000</v>
      </c>
      <c r="O2734" s="187">
        <v>1250000</v>
      </c>
      <c r="P2734" s="187">
        <v>121</v>
      </c>
      <c r="Q2734" s="187">
        <v>222000000</v>
      </c>
      <c r="R2734" s="187">
        <v>1660000</v>
      </c>
      <c r="S2734" s="187">
        <v>1250000</v>
      </c>
      <c r="T2734" s="187">
        <v>121</v>
      </c>
      <c r="U2734" s="187">
        <v>445000000</v>
      </c>
      <c r="V2734" s="188"/>
    </row>
    <row r="2735" spans="1:22">
      <c r="A2735" s="179" t="s">
        <v>5346</v>
      </c>
      <c r="B2735" s="179" t="s">
        <v>5346</v>
      </c>
      <c r="C2735" s="187">
        <v>134</v>
      </c>
      <c r="D2735" s="187">
        <v>17100</v>
      </c>
      <c r="E2735" s="187">
        <v>355.6</v>
      </c>
      <c r="F2735" s="188"/>
      <c r="G2735" s="187">
        <v>16</v>
      </c>
      <c r="H2735" s="187">
        <v>16</v>
      </c>
      <c r="I2735" s="187">
        <v>16</v>
      </c>
      <c r="J2735" s="188"/>
      <c r="K2735" s="187">
        <v>22.2</v>
      </c>
      <c r="L2735" s="187">
        <v>22.2</v>
      </c>
      <c r="M2735" s="187">
        <v>247000000</v>
      </c>
      <c r="N2735" s="187">
        <v>1850000</v>
      </c>
      <c r="O2735" s="187">
        <v>1390000</v>
      </c>
      <c r="P2735" s="187">
        <v>120</v>
      </c>
      <c r="Q2735" s="187">
        <v>247000000</v>
      </c>
      <c r="R2735" s="187">
        <v>1850000</v>
      </c>
      <c r="S2735" s="187">
        <v>1390000</v>
      </c>
      <c r="T2735" s="187">
        <v>120</v>
      </c>
      <c r="U2735" s="187">
        <v>493000000</v>
      </c>
      <c r="V2735" s="188"/>
    </row>
    <row r="2736" spans="1:22">
      <c r="A2736" s="177" t="s">
        <v>5347</v>
      </c>
      <c r="B2736" s="177" t="s">
        <v>5347</v>
      </c>
      <c r="C2736" s="187">
        <v>97.8</v>
      </c>
      <c r="D2736" s="187">
        <v>12500</v>
      </c>
      <c r="E2736" s="187">
        <v>406.4</v>
      </c>
      <c r="F2736" s="188"/>
      <c r="G2736" s="187">
        <v>10</v>
      </c>
      <c r="H2736" s="187">
        <v>10</v>
      </c>
      <c r="I2736" s="187">
        <v>10</v>
      </c>
      <c r="J2736" s="188"/>
      <c r="K2736" s="187">
        <v>40.6</v>
      </c>
      <c r="L2736" s="187">
        <v>40.6</v>
      </c>
      <c r="M2736" s="187">
        <v>245000000</v>
      </c>
      <c r="N2736" s="187">
        <v>1570000</v>
      </c>
      <c r="O2736" s="187">
        <v>1200000</v>
      </c>
      <c r="P2736" s="187">
        <v>140</v>
      </c>
      <c r="Q2736" s="187">
        <v>245000000</v>
      </c>
      <c r="R2736" s="187">
        <v>1570000</v>
      </c>
      <c r="S2736" s="187">
        <v>1200000</v>
      </c>
      <c r="T2736" s="187">
        <v>140</v>
      </c>
      <c r="U2736" s="187">
        <v>490000000</v>
      </c>
      <c r="V2736" s="188"/>
    </row>
    <row r="2737" spans="1:22">
      <c r="A2737" s="179" t="s">
        <v>5348</v>
      </c>
      <c r="B2737" s="179" t="s">
        <v>5348</v>
      </c>
      <c r="C2737" s="187">
        <v>107</v>
      </c>
      <c r="D2737" s="187">
        <v>13700</v>
      </c>
      <c r="E2737" s="187">
        <v>406.4</v>
      </c>
      <c r="F2737" s="188"/>
      <c r="G2737" s="187">
        <v>11</v>
      </c>
      <c r="H2737" s="187">
        <v>11</v>
      </c>
      <c r="I2737" s="187">
        <v>11</v>
      </c>
      <c r="J2737" s="188"/>
      <c r="K2737" s="187">
        <v>36.9</v>
      </c>
      <c r="L2737" s="187">
        <v>36.9</v>
      </c>
      <c r="M2737" s="187">
        <v>267000000</v>
      </c>
      <c r="N2737" s="187">
        <v>1720000</v>
      </c>
      <c r="O2737" s="187">
        <v>1320000</v>
      </c>
      <c r="P2737" s="187">
        <v>140</v>
      </c>
      <c r="Q2737" s="187">
        <v>267000000</v>
      </c>
      <c r="R2737" s="187">
        <v>1720000</v>
      </c>
      <c r="S2737" s="187">
        <v>1320000</v>
      </c>
      <c r="T2737" s="187">
        <v>140</v>
      </c>
      <c r="U2737" s="187">
        <v>534000000</v>
      </c>
      <c r="V2737" s="188"/>
    </row>
    <row r="2738" spans="1:22">
      <c r="A2738" s="179" t="s">
        <v>5349</v>
      </c>
      <c r="B2738" s="179" t="s">
        <v>5349</v>
      </c>
      <c r="C2738" s="187">
        <v>121</v>
      </c>
      <c r="D2738" s="187">
        <v>15500</v>
      </c>
      <c r="E2738" s="187">
        <v>406.4</v>
      </c>
      <c r="F2738" s="188"/>
      <c r="G2738" s="187">
        <v>12.5</v>
      </c>
      <c r="H2738" s="187">
        <v>12.5</v>
      </c>
      <c r="I2738" s="187">
        <v>12.5</v>
      </c>
      <c r="J2738" s="188"/>
      <c r="K2738" s="187">
        <v>32.5</v>
      </c>
      <c r="L2738" s="187">
        <v>32.5</v>
      </c>
      <c r="M2738" s="187">
        <v>300000000</v>
      </c>
      <c r="N2738" s="187">
        <v>1940000</v>
      </c>
      <c r="O2738" s="187">
        <v>1480000</v>
      </c>
      <c r="P2738" s="187">
        <v>139</v>
      </c>
      <c r="Q2738" s="187">
        <v>300000000</v>
      </c>
      <c r="R2738" s="187">
        <v>1940000</v>
      </c>
      <c r="S2738" s="187">
        <v>1480000</v>
      </c>
      <c r="T2738" s="187">
        <v>139</v>
      </c>
      <c r="U2738" s="187">
        <v>601000000</v>
      </c>
      <c r="V2738" s="188"/>
    </row>
    <row r="2739" spans="1:22">
      <c r="A2739" s="179" t="s">
        <v>5350</v>
      </c>
      <c r="B2739" s="179" t="s">
        <v>5350</v>
      </c>
      <c r="C2739" s="187">
        <v>137</v>
      </c>
      <c r="D2739" s="187">
        <v>17500</v>
      </c>
      <c r="E2739" s="187">
        <v>406.4</v>
      </c>
      <c r="F2739" s="188"/>
      <c r="G2739" s="187">
        <v>14.2</v>
      </c>
      <c r="H2739" s="187">
        <v>14.2</v>
      </c>
      <c r="I2739" s="187">
        <v>14.2</v>
      </c>
      <c r="J2739" s="188"/>
      <c r="K2739" s="187">
        <v>28.6</v>
      </c>
      <c r="L2739" s="187">
        <v>28.6</v>
      </c>
      <c r="M2739" s="187">
        <v>337000000</v>
      </c>
      <c r="N2739" s="187">
        <v>2180000</v>
      </c>
      <c r="O2739" s="187">
        <v>1660000</v>
      </c>
      <c r="P2739" s="187">
        <v>139</v>
      </c>
      <c r="Q2739" s="187">
        <v>337000000</v>
      </c>
      <c r="R2739" s="187">
        <v>2180000</v>
      </c>
      <c r="S2739" s="187">
        <v>1660000</v>
      </c>
      <c r="T2739" s="187">
        <v>139</v>
      </c>
      <c r="U2739" s="187">
        <v>674000000</v>
      </c>
      <c r="V2739" s="188"/>
    </row>
    <row r="2740" spans="1:22">
      <c r="A2740" s="179" t="s">
        <v>5351</v>
      </c>
      <c r="B2740" s="179" t="s">
        <v>5351</v>
      </c>
      <c r="C2740" s="187">
        <v>154</v>
      </c>
      <c r="D2740" s="187">
        <v>19600</v>
      </c>
      <c r="E2740" s="187">
        <v>406.4</v>
      </c>
      <c r="F2740" s="188"/>
      <c r="G2740" s="187">
        <v>16</v>
      </c>
      <c r="H2740" s="187">
        <v>16</v>
      </c>
      <c r="I2740" s="187">
        <v>16</v>
      </c>
      <c r="J2740" s="188"/>
      <c r="K2740" s="187">
        <v>25.4</v>
      </c>
      <c r="L2740" s="187">
        <v>25.4</v>
      </c>
      <c r="M2740" s="187">
        <v>374000000</v>
      </c>
      <c r="N2740" s="187">
        <v>2440000</v>
      </c>
      <c r="O2740" s="187">
        <v>1840000</v>
      </c>
      <c r="P2740" s="187">
        <v>138</v>
      </c>
      <c r="Q2740" s="187">
        <v>374000000</v>
      </c>
      <c r="R2740" s="187">
        <v>2440000</v>
      </c>
      <c r="S2740" s="187">
        <v>1840000</v>
      </c>
      <c r="T2740" s="187">
        <v>138</v>
      </c>
      <c r="U2740" s="187">
        <v>749000000</v>
      </c>
      <c r="V2740" s="188"/>
    </row>
    <row r="2741" spans="1:22">
      <c r="A2741" s="177" t="s">
        <v>5352</v>
      </c>
      <c r="B2741" s="177" t="s">
        <v>5352</v>
      </c>
      <c r="C2741" s="187">
        <v>110</v>
      </c>
      <c r="D2741" s="187">
        <v>14000</v>
      </c>
      <c r="E2741" s="187">
        <v>457</v>
      </c>
      <c r="F2741" s="188"/>
      <c r="G2741" s="187">
        <v>10</v>
      </c>
      <c r="H2741" s="187">
        <v>10</v>
      </c>
      <c r="I2741" s="187">
        <v>10</v>
      </c>
      <c r="J2741" s="188"/>
      <c r="K2741" s="187">
        <v>45.7</v>
      </c>
      <c r="L2741" s="187">
        <v>45.7</v>
      </c>
      <c r="M2741" s="187">
        <v>351000000</v>
      </c>
      <c r="N2741" s="187">
        <v>2000000</v>
      </c>
      <c r="O2741" s="187">
        <v>1540000</v>
      </c>
      <c r="P2741" s="187">
        <v>158</v>
      </c>
      <c r="Q2741" s="187">
        <v>351000000</v>
      </c>
      <c r="R2741" s="187">
        <v>2000000</v>
      </c>
      <c r="S2741" s="187">
        <v>1540000</v>
      </c>
      <c r="T2741" s="187">
        <v>158</v>
      </c>
      <c r="U2741" s="187">
        <v>702000000</v>
      </c>
      <c r="V2741" s="188"/>
    </row>
    <row r="2742" spans="1:22">
      <c r="A2742" s="179" t="s">
        <v>5353</v>
      </c>
      <c r="B2742" s="179" t="s">
        <v>5353</v>
      </c>
      <c r="C2742" s="187">
        <v>121</v>
      </c>
      <c r="D2742" s="187">
        <v>15400</v>
      </c>
      <c r="E2742" s="187">
        <v>457</v>
      </c>
      <c r="F2742" s="188"/>
      <c r="G2742" s="187">
        <v>11</v>
      </c>
      <c r="H2742" s="187">
        <v>11</v>
      </c>
      <c r="I2742" s="187">
        <v>11</v>
      </c>
      <c r="J2742" s="188"/>
      <c r="K2742" s="187">
        <v>41.5</v>
      </c>
      <c r="L2742" s="187">
        <v>41.5</v>
      </c>
      <c r="M2742" s="187">
        <v>383000000</v>
      </c>
      <c r="N2742" s="187">
        <v>2190000</v>
      </c>
      <c r="O2742" s="187">
        <v>1680000</v>
      </c>
      <c r="P2742" s="187">
        <v>158</v>
      </c>
      <c r="Q2742" s="187">
        <v>383000000</v>
      </c>
      <c r="R2742" s="187">
        <v>2190000</v>
      </c>
      <c r="S2742" s="187">
        <v>1680000</v>
      </c>
      <c r="T2742" s="187">
        <v>158</v>
      </c>
      <c r="U2742" s="187">
        <v>767000000</v>
      </c>
      <c r="V2742" s="188"/>
    </row>
    <row r="2743" spans="1:22">
      <c r="A2743" s="179" t="s">
        <v>5354</v>
      </c>
      <c r="B2743" s="179" t="s">
        <v>5354</v>
      </c>
      <c r="C2743" s="187">
        <v>137</v>
      </c>
      <c r="D2743" s="187">
        <v>17500</v>
      </c>
      <c r="E2743" s="187">
        <v>457</v>
      </c>
      <c r="F2743" s="188"/>
      <c r="G2743" s="187">
        <v>12.5</v>
      </c>
      <c r="H2743" s="187">
        <v>12.5</v>
      </c>
      <c r="I2743" s="187">
        <v>12.5</v>
      </c>
      <c r="J2743" s="188"/>
      <c r="K2743" s="187">
        <v>36.6</v>
      </c>
      <c r="L2743" s="187">
        <v>36.6</v>
      </c>
      <c r="M2743" s="187">
        <v>431000000</v>
      </c>
      <c r="N2743" s="187">
        <v>2470000</v>
      </c>
      <c r="O2743" s="187">
        <v>1890000</v>
      </c>
      <c r="P2743" s="187">
        <v>157</v>
      </c>
      <c r="Q2743" s="187">
        <v>431000000</v>
      </c>
      <c r="R2743" s="187">
        <v>2470000</v>
      </c>
      <c r="S2743" s="187">
        <v>1890000</v>
      </c>
      <c r="T2743" s="187">
        <v>157</v>
      </c>
      <c r="U2743" s="187">
        <v>863000000</v>
      </c>
      <c r="V2743" s="188"/>
    </row>
    <row r="2744" spans="1:22">
      <c r="A2744" s="179" t="s">
        <v>5355</v>
      </c>
      <c r="B2744" s="179" t="s">
        <v>5355</v>
      </c>
      <c r="C2744" s="187">
        <v>155</v>
      </c>
      <c r="D2744" s="187">
        <v>19800</v>
      </c>
      <c r="E2744" s="187">
        <v>457</v>
      </c>
      <c r="F2744" s="188"/>
      <c r="G2744" s="187">
        <v>14.2</v>
      </c>
      <c r="H2744" s="187">
        <v>14.2</v>
      </c>
      <c r="I2744" s="187">
        <v>14.2</v>
      </c>
      <c r="J2744" s="188"/>
      <c r="K2744" s="187">
        <v>32.200000000000003</v>
      </c>
      <c r="L2744" s="187">
        <v>32.200000000000003</v>
      </c>
      <c r="M2744" s="187">
        <v>485000000</v>
      </c>
      <c r="N2744" s="187">
        <v>2780000</v>
      </c>
      <c r="O2744" s="187">
        <v>2120000</v>
      </c>
      <c r="P2744" s="187">
        <v>157</v>
      </c>
      <c r="Q2744" s="187">
        <v>485000000</v>
      </c>
      <c r="R2744" s="187">
        <v>2780000</v>
      </c>
      <c r="S2744" s="187">
        <v>2120000</v>
      </c>
      <c r="T2744" s="187">
        <v>157</v>
      </c>
      <c r="U2744" s="187">
        <v>969000000</v>
      </c>
      <c r="V2744" s="188"/>
    </row>
    <row r="2745" spans="1:22">
      <c r="A2745" s="179" t="s">
        <v>5356</v>
      </c>
      <c r="B2745" s="179" t="s">
        <v>5356</v>
      </c>
      <c r="C2745" s="187">
        <v>174</v>
      </c>
      <c r="D2745" s="187">
        <v>22200</v>
      </c>
      <c r="E2745" s="187">
        <v>457</v>
      </c>
      <c r="F2745" s="188"/>
      <c r="G2745" s="187">
        <v>16</v>
      </c>
      <c r="H2745" s="187">
        <v>16</v>
      </c>
      <c r="I2745" s="187">
        <v>16</v>
      </c>
      <c r="J2745" s="188"/>
      <c r="K2745" s="187">
        <v>28.6</v>
      </c>
      <c r="L2745" s="187">
        <v>28.6</v>
      </c>
      <c r="M2745" s="187">
        <v>540000000</v>
      </c>
      <c r="N2745" s="187">
        <v>3110000</v>
      </c>
      <c r="O2745" s="187">
        <v>2360000</v>
      </c>
      <c r="P2745" s="187">
        <v>156</v>
      </c>
      <c r="Q2745" s="187">
        <v>540000000</v>
      </c>
      <c r="R2745" s="187">
        <v>3110000</v>
      </c>
      <c r="S2745" s="187">
        <v>2360000</v>
      </c>
      <c r="T2745" s="187">
        <v>156</v>
      </c>
      <c r="U2745" s="187">
        <v>1080000000</v>
      </c>
      <c r="V2745" s="188"/>
    </row>
    <row r="2746" spans="1:22">
      <c r="A2746" s="177" t="s">
        <v>5357</v>
      </c>
      <c r="B2746" s="177" t="s">
        <v>5357</v>
      </c>
      <c r="C2746" s="187">
        <v>123</v>
      </c>
      <c r="D2746" s="187">
        <v>15600</v>
      </c>
      <c r="E2746" s="187">
        <v>508</v>
      </c>
      <c r="F2746" s="188"/>
      <c r="G2746" s="187">
        <v>10</v>
      </c>
      <c r="H2746" s="187">
        <v>10</v>
      </c>
      <c r="I2746" s="187">
        <v>10</v>
      </c>
      <c r="J2746" s="188"/>
      <c r="K2746" s="187">
        <v>50.8</v>
      </c>
      <c r="L2746" s="187">
        <v>50.8</v>
      </c>
      <c r="M2746" s="187">
        <v>485000000</v>
      </c>
      <c r="N2746" s="187">
        <v>2480000</v>
      </c>
      <c r="O2746" s="187">
        <v>1910000</v>
      </c>
      <c r="P2746" s="187">
        <v>176</v>
      </c>
      <c r="Q2746" s="187">
        <v>485000000</v>
      </c>
      <c r="R2746" s="187">
        <v>2480000</v>
      </c>
      <c r="S2746" s="187">
        <v>1910000</v>
      </c>
      <c r="T2746" s="187">
        <v>176</v>
      </c>
      <c r="U2746" s="187">
        <v>970000000</v>
      </c>
      <c r="V2746" s="188"/>
    </row>
    <row r="2747" spans="1:22">
      <c r="A2747" s="179" t="s">
        <v>5358</v>
      </c>
      <c r="B2747" s="179" t="s">
        <v>5358</v>
      </c>
      <c r="C2747" s="187">
        <v>135</v>
      </c>
      <c r="D2747" s="187">
        <v>17200</v>
      </c>
      <c r="E2747" s="187">
        <v>508</v>
      </c>
      <c r="F2747" s="188"/>
      <c r="G2747" s="187">
        <v>11</v>
      </c>
      <c r="H2747" s="187">
        <v>11</v>
      </c>
      <c r="I2747" s="187">
        <v>11</v>
      </c>
      <c r="J2747" s="188"/>
      <c r="K2747" s="187">
        <v>46.2</v>
      </c>
      <c r="L2747" s="187">
        <v>46.2</v>
      </c>
      <c r="M2747" s="187">
        <v>531000000</v>
      </c>
      <c r="N2747" s="187">
        <v>2720000</v>
      </c>
      <c r="O2747" s="187">
        <v>2090000</v>
      </c>
      <c r="P2747" s="187">
        <v>176</v>
      </c>
      <c r="Q2747" s="187">
        <v>531000000</v>
      </c>
      <c r="R2747" s="187">
        <v>2720000</v>
      </c>
      <c r="S2747" s="187">
        <v>2090000</v>
      </c>
      <c r="T2747" s="187">
        <v>176</v>
      </c>
      <c r="U2747" s="187">
        <v>1060000000</v>
      </c>
      <c r="V2747" s="188"/>
    </row>
    <row r="2748" spans="1:22">
      <c r="A2748" s="179" t="s">
        <v>5359</v>
      </c>
      <c r="B2748" s="179" t="s">
        <v>5359</v>
      </c>
      <c r="C2748" s="187">
        <v>153</v>
      </c>
      <c r="D2748" s="187">
        <v>19500</v>
      </c>
      <c r="E2748" s="187">
        <v>508</v>
      </c>
      <c r="F2748" s="188"/>
      <c r="G2748" s="187">
        <v>12.5</v>
      </c>
      <c r="H2748" s="187">
        <v>12.5</v>
      </c>
      <c r="I2748" s="187">
        <v>12.5</v>
      </c>
      <c r="J2748" s="188"/>
      <c r="K2748" s="187">
        <v>40.6</v>
      </c>
      <c r="L2748" s="187">
        <v>40.6</v>
      </c>
      <c r="M2748" s="187">
        <v>598000000</v>
      </c>
      <c r="N2748" s="187">
        <v>3070000</v>
      </c>
      <c r="O2748" s="187">
        <v>2350000</v>
      </c>
      <c r="P2748" s="187">
        <v>175</v>
      </c>
      <c r="Q2748" s="187">
        <v>598000000</v>
      </c>
      <c r="R2748" s="187">
        <v>3070000</v>
      </c>
      <c r="S2748" s="187">
        <v>2350000</v>
      </c>
      <c r="T2748" s="187">
        <v>175</v>
      </c>
      <c r="U2748" s="187">
        <v>1200000000</v>
      </c>
      <c r="V2748" s="188"/>
    </row>
    <row r="2749" spans="1:22">
      <c r="A2749" s="179" t="s">
        <v>5360</v>
      </c>
      <c r="B2749" s="179" t="s">
        <v>5360</v>
      </c>
      <c r="C2749" s="187">
        <v>173</v>
      </c>
      <c r="D2749" s="187">
        <v>22000</v>
      </c>
      <c r="E2749" s="187">
        <v>508</v>
      </c>
      <c r="F2749" s="188"/>
      <c r="G2749" s="187">
        <v>14.2</v>
      </c>
      <c r="H2749" s="187">
        <v>14.2</v>
      </c>
      <c r="I2749" s="187">
        <v>14.2</v>
      </c>
      <c r="J2749" s="188"/>
      <c r="K2749" s="187">
        <v>35.799999999999997</v>
      </c>
      <c r="L2749" s="187">
        <v>35.799999999999997</v>
      </c>
      <c r="M2749" s="187">
        <v>672000000</v>
      </c>
      <c r="N2749" s="187">
        <v>3460000</v>
      </c>
      <c r="O2749" s="187">
        <v>2650000</v>
      </c>
      <c r="P2749" s="187">
        <v>175</v>
      </c>
      <c r="Q2749" s="187">
        <v>672000000</v>
      </c>
      <c r="R2749" s="187">
        <v>3460000</v>
      </c>
      <c r="S2749" s="187">
        <v>2650000</v>
      </c>
      <c r="T2749" s="187">
        <v>175</v>
      </c>
      <c r="U2749" s="187">
        <v>1340000000</v>
      </c>
      <c r="V2749" s="188"/>
    </row>
    <row r="2750" spans="1:22">
      <c r="A2750" s="179" t="s">
        <v>5361</v>
      </c>
      <c r="B2750" s="179" t="s">
        <v>5361</v>
      </c>
      <c r="C2750" s="187">
        <v>194</v>
      </c>
      <c r="D2750" s="187">
        <v>24700</v>
      </c>
      <c r="E2750" s="187">
        <v>508</v>
      </c>
      <c r="F2750" s="188"/>
      <c r="G2750" s="187">
        <v>16</v>
      </c>
      <c r="H2750" s="187">
        <v>16</v>
      </c>
      <c r="I2750" s="187">
        <v>16</v>
      </c>
      <c r="J2750" s="188"/>
      <c r="K2750" s="187">
        <v>31.8</v>
      </c>
      <c r="L2750" s="187">
        <v>31.8</v>
      </c>
      <c r="M2750" s="187">
        <v>749000000</v>
      </c>
      <c r="N2750" s="187">
        <v>3870000</v>
      </c>
      <c r="O2750" s="187">
        <v>2950000</v>
      </c>
      <c r="P2750" s="187">
        <v>174</v>
      </c>
      <c r="Q2750" s="187">
        <v>749000000</v>
      </c>
      <c r="R2750" s="187">
        <v>3870000</v>
      </c>
      <c r="S2750" s="187">
        <v>2950000</v>
      </c>
      <c r="T2750" s="187">
        <v>174</v>
      </c>
      <c r="U2750" s="187">
        <v>1500000000</v>
      </c>
      <c r="V2750" s="188"/>
    </row>
    <row r="2751" spans="1:22">
      <c r="A2751" s="190" t="s">
        <v>5465</v>
      </c>
      <c r="B2751" s="190" t="s">
        <v>5465</v>
      </c>
      <c r="C2751" s="187">
        <v>3.31</v>
      </c>
      <c r="D2751" s="187">
        <v>421</v>
      </c>
      <c r="E2751" s="188">
        <v>40</v>
      </c>
      <c r="F2751" s="188">
        <v>40</v>
      </c>
      <c r="G2751" s="187">
        <v>2.9</v>
      </c>
      <c r="H2751" s="187">
        <v>2.9</v>
      </c>
      <c r="I2751" s="187">
        <v>2.9</v>
      </c>
      <c r="J2751" s="188"/>
      <c r="K2751" s="187">
        <v>10.8</v>
      </c>
      <c r="L2751" s="187">
        <v>10.8</v>
      </c>
      <c r="M2751" s="187">
        <v>95399.999999999985</v>
      </c>
      <c r="N2751" s="187">
        <v>5810</v>
      </c>
      <c r="O2751" s="187">
        <v>4770</v>
      </c>
      <c r="P2751" s="187">
        <v>15</v>
      </c>
      <c r="Q2751" s="187">
        <v>95399.999999999985</v>
      </c>
      <c r="R2751" s="187">
        <v>5810</v>
      </c>
      <c r="S2751" s="187">
        <v>4770</v>
      </c>
      <c r="T2751" s="187">
        <v>15</v>
      </c>
      <c r="U2751" s="187">
        <v>153000</v>
      </c>
      <c r="V2751" s="188"/>
    </row>
    <row r="2752" spans="1:22">
      <c r="A2752" s="190" t="s">
        <v>5466</v>
      </c>
      <c r="B2752" s="190" t="s">
        <v>5466</v>
      </c>
      <c r="C2752" s="187">
        <v>3.41</v>
      </c>
      <c r="D2752" s="187">
        <v>434</v>
      </c>
      <c r="E2752" s="188">
        <v>40</v>
      </c>
      <c r="F2752" s="188">
        <v>40</v>
      </c>
      <c r="G2752" s="187">
        <v>3</v>
      </c>
      <c r="H2752" s="187">
        <v>3</v>
      </c>
      <c r="I2752" s="187">
        <v>3</v>
      </c>
      <c r="J2752" s="188"/>
      <c r="K2752" s="187">
        <v>10.3</v>
      </c>
      <c r="L2752" s="187">
        <v>10.3</v>
      </c>
      <c r="M2752" s="187">
        <v>97800</v>
      </c>
      <c r="N2752" s="187">
        <v>5970</v>
      </c>
      <c r="O2752" s="187">
        <v>4890</v>
      </c>
      <c r="P2752" s="187">
        <v>15</v>
      </c>
      <c r="Q2752" s="187">
        <v>97800</v>
      </c>
      <c r="R2752" s="187">
        <v>5970</v>
      </c>
      <c r="S2752" s="187">
        <v>4890</v>
      </c>
      <c r="T2752" s="187">
        <v>15</v>
      </c>
      <c r="U2752" s="187">
        <v>157000</v>
      </c>
      <c r="V2752" s="188"/>
    </row>
    <row r="2753" spans="1:22">
      <c r="A2753" s="190" t="s">
        <v>5467</v>
      </c>
      <c r="B2753" s="190" t="s">
        <v>5467</v>
      </c>
      <c r="C2753" s="187">
        <v>3.61</v>
      </c>
      <c r="D2753" s="187">
        <v>459.99999999999994</v>
      </c>
      <c r="E2753" s="188">
        <v>40</v>
      </c>
      <c r="F2753" s="188">
        <v>40</v>
      </c>
      <c r="G2753" s="187">
        <v>3.2</v>
      </c>
      <c r="H2753" s="187">
        <v>3.2</v>
      </c>
      <c r="I2753" s="187">
        <v>3.2</v>
      </c>
      <c r="J2753" s="188"/>
      <c r="K2753" s="187">
        <v>9.5</v>
      </c>
      <c r="L2753" s="187">
        <v>9.5</v>
      </c>
      <c r="M2753" s="187">
        <v>102000</v>
      </c>
      <c r="N2753" s="187">
        <v>6280</v>
      </c>
      <c r="O2753" s="187">
        <v>5110</v>
      </c>
      <c r="P2753" s="187">
        <v>14.9</v>
      </c>
      <c r="Q2753" s="187">
        <v>102000</v>
      </c>
      <c r="R2753" s="187">
        <v>6280</v>
      </c>
      <c r="S2753" s="187">
        <v>5110</v>
      </c>
      <c r="T2753" s="187">
        <v>14.9</v>
      </c>
      <c r="U2753" s="187">
        <v>165000</v>
      </c>
      <c r="V2753" s="188"/>
    </row>
    <row r="2754" spans="1:22">
      <c r="A2754" s="190" t="s">
        <v>5362</v>
      </c>
      <c r="B2754" s="190" t="s">
        <v>5362</v>
      </c>
      <c r="C2754" s="187">
        <v>4.01</v>
      </c>
      <c r="D2754" s="187">
        <v>509.99999999999994</v>
      </c>
      <c r="E2754" s="188">
        <v>40</v>
      </c>
      <c r="F2754" s="188">
        <v>40</v>
      </c>
      <c r="G2754" s="187">
        <v>3.6</v>
      </c>
      <c r="H2754" s="187">
        <v>3.6</v>
      </c>
      <c r="I2754" s="187">
        <v>3.6</v>
      </c>
      <c r="J2754" s="188"/>
      <c r="K2754" s="187">
        <v>8.11</v>
      </c>
      <c r="L2754" s="187">
        <v>8.11</v>
      </c>
      <c r="M2754" s="187">
        <v>111000</v>
      </c>
      <c r="N2754" s="187">
        <v>6880</v>
      </c>
      <c r="O2754" s="187">
        <v>5540</v>
      </c>
      <c r="P2754" s="187">
        <v>14.7</v>
      </c>
      <c r="Q2754" s="187">
        <v>111000</v>
      </c>
      <c r="R2754" s="187">
        <v>6880</v>
      </c>
      <c r="S2754" s="187">
        <v>5540</v>
      </c>
      <c r="T2754" s="187">
        <v>14.7</v>
      </c>
      <c r="U2754" s="187">
        <v>181000</v>
      </c>
      <c r="V2754" s="188"/>
    </row>
    <row r="2755" spans="1:22">
      <c r="A2755" s="178" t="s">
        <v>5363</v>
      </c>
      <c r="B2755" s="178" t="s">
        <v>5363</v>
      </c>
      <c r="C2755" s="187">
        <v>4.3899999999999997</v>
      </c>
      <c r="D2755" s="187">
        <v>559</v>
      </c>
      <c r="E2755" s="188">
        <v>40</v>
      </c>
      <c r="F2755" s="188">
        <v>40</v>
      </c>
      <c r="G2755" s="187">
        <v>4</v>
      </c>
      <c r="H2755" s="187">
        <v>4</v>
      </c>
      <c r="I2755" s="187">
        <v>4</v>
      </c>
      <c r="J2755" s="188"/>
      <c r="K2755" s="187">
        <v>7</v>
      </c>
      <c r="L2755" s="187">
        <v>7</v>
      </c>
      <c r="M2755" s="187">
        <v>118000</v>
      </c>
      <c r="N2755" s="187">
        <v>7440</v>
      </c>
      <c r="O2755" s="187">
        <v>5910</v>
      </c>
      <c r="P2755" s="187">
        <v>14.5</v>
      </c>
      <c r="Q2755" s="187">
        <v>118000</v>
      </c>
      <c r="R2755" s="187">
        <v>7440</v>
      </c>
      <c r="S2755" s="187">
        <v>5910</v>
      </c>
      <c r="T2755" s="187">
        <v>14.5</v>
      </c>
      <c r="U2755" s="187">
        <v>195000</v>
      </c>
      <c r="V2755" s="188"/>
    </row>
    <row r="2756" spans="1:22">
      <c r="A2756" s="178" t="s">
        <v>5364</v>
      </c>
      <c r="B2756" s="178" t="s">
        <v>5364</v>
      </c>
      <c r="C2756" s="187">
        <v>5.28</v>
      </c>
      <c r="D2756" s="187">
        <v>673</v>
      </c>
      <c r="E2756" s="188">
        <v>40</v>
      </c>
      <c r="F2756" s="188">
        <v>40</v>
      </c>
      <c r="G2756" s="187">
        <v>5</v>
      </c>
      <c r="H2756" s="187">
        <v>5</v>
      </c>
      <c r="I2756" s="187">
        <v>5</v>
      </c>
      <c r="J2756" s="188"/>
      <c r="K2756" s="187">
        <v>5</v>
      </c>
      <c r="L2756" s="187">
        <v>5</v>
      </c>
      <c r="M2756" s="187">
        <v>134000</v>
      </c>
      <c r="N2756" s="187">
        <v>8660</v>
      </c>
      <c r="O2756" s="187">
        <v>6680</v>
      </c>
      <c r="P2756" s="187">
        <v>14.1</v>
      </c>
      <c r="Q2756" s="187">
        <v>134000</v>
      </c>
      <c r="R2756" s="187">
        <v>8660</v>
      </c>
      <c r="S2756" s="187">
        <v>6680</v>
      </c>
      <c r="T2756" s="187">
        <v>14.1</v>
      </c>
      <c r="U2756" s="187">
        <v>225000</v>
      </c>
      <c r="V2756" s="188"/>
    </row>
    <row r="2757" spans="1:22">
      <c r="A2757" s="178" t="s">
        <v>5365</v>
      </c>
      <c r="B2757" s="178" t="s">
        <v>5365</v>
      </c>
      <c r="C2757" s="187">
        <v>5.78</v>
      </c>
      <c r="D2757" s="187">
        <v>737</v>
      </c>
      <c r="E2757" s="188">
        <v>40</v>
      </c>
      <c r="F2757" s="188">
        <v>40</v>
      </c>
      <c r="G2757" s="187">
        <v>5.6</v>
      </c>
      <c r="H2757" s="187">
        <v>5.6</v>
      </c>
      <c r="I2757" s="187">
        <v>5.6</v>
      </c>
      <c r="J2757" s="188"/>
      <c r="K2757" s="187">
        <v>4.1399999999999997</v>
      </c>
      <c r="L2757" s="187">
        <v>4.1399999999999997</v>
      </c>
      <c r="M2757" s="187">
        <v>141000</v>
      </c>
      <c r="N2757" s="187">
        <v>9280</v>
      </c>
      <c r="O2757" s="187">
        <v>7030</v>
      </c>
      <c r="P2757" s="187">
        <v>13.799999999999999</v>
      </c>
      <c r="Q2757" s="187">
        <v>141000</v>
      </c>
      <c r="R2757" s="187">
        <v>9280</v>
      </c>
      <c r="S2757" s="187">
        <v>7030</v>
      </c>
      <c r="T2757" s="187">
        <v>13.799999999999999</v>
      </c>
      <c r="U2757" s="187">
        <v>240000</v>
      </c>
      <c r="V2757" s="188"/>
    </row>
    <row r="2758" spans="1:22">
      <c r="A2758" s="178" t="s">
        <v>5366</v>
      </c>
      <c r="B2758" s="178" t="s">
        <v>5366</v>
      </c>
      <c r="C2758" s="187">
        <v>6.33</v>
      </c>
      <c r="D2758" s="187">
        <v>807</v>
      </c>
      <c r="E2758" s="188">
        <v>40</v>
      </c>
      <c r="F2758" s="188">
        <v>40</v>
      </c>
      <c r="G2758" s="187">
        <v>6.3</v>
      </c>
      <c r="H2758" s="187">
        <v>6.3</v>
      </c>
      <c r="I2758" s="187">
        <v>6.3</v>
      </c>
      <c r="J2758" s="188"/>
      <c r="K2758" s="187">
        <v>3.35</v>
      </c>
      <c r="L2758" s="187">
        <v>3.35</v>
      </c>
      <c r="M2758" s="187">
        <v>147000</v>
      </c>
      <c r="N2758" s="187">
        <v>9900</v>
      </c>
      <c r="O2758" s="187">
        <v>7340</v>
      </c>
      <c r="P2758" s="187">
        <v>13.5</v>
      </c>
      <c r="Q2758" s="187">
        <v>147000</v>
      </c>
      <c r="R2758" s="187">
        <v>9900</v>
      </c>
      <c r="S2758" s="187">
        <v>7340</v>
      </c>
      <c r="T2758" s="187">
        <v>13.5</v>
      </c>
      <c r="U2758" s="187">
        <v>254000</v>
      </c>
      <c r="V2758" s="188"/>
    </row>
    <row r="2759" spans="1:22">
      <c r="A2759" s="178" t="s">
        <v>5367</v>
      </c>
      <c r="B2759" s="178" t="s">
        <v>5367</v>
      </c>
      <c r="C2759" s="187">
        <v>4.22</v>
      </c>
      <c r="D2759" s="187">
        <v>537</v>
      </c>
      <c r="E2759" s="188">
        <v>50</v>
      </c>
      <c r="F2759" s="188">
        <v>50</v>
      </c>
      <c r="G2759" s="187">
        <v>2.9</v>
      </c>
      <c r="H2759" s="187">
        <v>2.9</v>
      </c>
      <c r="I2759" s="187">
        <v>2.9</v>
      </c>
      <c r="J2759" s="188"/>
      <c r="K2759" s="187">
        <v>14.2</v>
      </c>
      <c r="L2759" s="187">
        <v>14.2</v>
      </c>
      <c r="M2759" s="187">
        <v>197000</v>
      </c>
      <c r="N2759" s="187">
        <v>9430</v>
      </c>
      <c r="O2759" s="187">
        <v>7870</v>
      </c>
      <c r="P2759" s="187">
        <v>19.099999999999998</v>
      </c>
      <c r="Q2759" s="187">
        <v>197000</v>
      </c>
      <c r="R2759" s="187">
        <v>9430</v>
      </c>
      <c r="S2759" s="187">
        <v>7870</v>
      </c>
      <c r="T2759" s="187">
        <v>19.099999999999998</v>
      </c>
      <c r="U2759" s="187">
        <v>312000</v>
      </c>
      <c r="V2759" s="188"/>
    </row>
    <row r="2760" spans="1:22">
      <c r="A2760" s="178" t="s">
        <v>5368</v>
      </c>
      <c r="B2760" s="178" t="s">
        <v>5368</v>
      </c>
      <c r="C2760" s="187">
        <v>4.3499999999999996</v>
      </c>
      <c r="D2760" s="187">
        <v>554</v>
      </c>
      <c r="E2760" s="188">
        <v>50</v>
      </c>
      <c r="F2760" s="188">
        <v>50</v>
      </c>
      <c r="G2760" s="187">
        <v>3</v>
      </c>
      <c r="H2760" s="187">
        <v>3</v>
      </c>
      <c r="I2760" s="187">
        <v>3</v>
      </c>
      <c r="J2760" s="188"/>
      <c r="K2760" s="187">
        <v>13.7</v>
      </c>
      <c r="L2760" s="187">
        <v>13.7</v>
      </c>
      <c r="M2760" s="187">
        <v>202000</v>
      </c>
      <c r="N2760" s="187">
        <v>9700</v>
      </c>
      <c r="O2760" s="187">
        <v>8080</v>
      </c>
      <c r="P2760" s="187">
        <v>19.099999999999998</v>
      </c>
      <c r="Q2760" s="187">
        <v>202000</v>
      </c>
      <c r="R2760" s="187">
        <v>9700</v>
      </c>
      <c r="S2760" s="187">
        <v>8080</v>
      </c>
      <c r="T2760" s="187">
        <v>19.099999999999998</v>
      </c>
      <c r="U2760" s="187">
        <v>321000</v>
      </c>
      <c r="V2760" s="188"/>
    </row>
    <row r="2761" spans="1:22">
      <c r="A2761" s="190" t="s">
        <v>5369</v>
      </c>
      <c r="B2761" s="190" t="s">
        <v>5369</v>
      </c>
      <c r="C2761" s="187">
        <v>4.62</v>
      </c>
      <c r="D2761" s="187">
        <v>588</v>
      </c>
      <c r="E2761" s="188">
        <v>50</v>
      </c>
      <c r="F2761" s="188">
        <v>50</v>
      </c>
      <c r="G2761" s="187">
        <v>3.2</v>
      </c>
      <c r="H2761" s="187">
        <v>3.2</v>
      </c>
      <c r="I2761" s="187">
        <v>3.2</v>
      </c>
      <c r="J2761" s="188"/>
      <c r="K2761" s="187">
        <v>12.6</v>
      </c>
      <c r="L2761" s="187">
        <v>12.6</v>
      </c>
      <c r="M2761" s="187">
        <v>212000</v>
      </c>
      <c r="N2761" s="187">
        <v>10200</v>
      </c>
      <c r="O2761" s="187">
        <v>8490</v>
      </c>
      <c r="P2761" s="187">
        <v>19</v>
      </c>
      <c r="Q2761" s="187">
        <v>212000</v>
      </c>
      <c r="R2761" s="187">
        <v>10200</v>
      </c>
      <c r="S2761" s="187">
        <v>8490</v>
      </c>
      <c r="T2761" s="187">
        <v>19</v>
      </c>
      <c r="U2761" s="187">
        <v>338000</v>
      </c>
      <c r="V2761" s="188"/>
    </row>
    <row r="2762" spans="1:22">
      <c r="A2762" s="178" t="s">
        <v>5370</v>
      </c>
      <c r="B2762" s="178" t="s">
        <v>5370</v>
      </c>
      <c r="C2762" s="187">
        <v>5.14</v>
      </c>
      <c r="D2762" s="187">
        <v>654</v>
      </c>
      <c r="E2762" s="188">
        <v>50</v>
      </c>
      <c r="F2762" s="188">
        <v>50</v>
      </c>
      <c r="G2762" s="187">
        <v>3.6</v>
      </c>
      <c r="H2762" s="187">
        <v>3.6</v>
      </c>
      <c r="I2762" s="187">
        <v>3.6</v>
      </c>
      <c r="J2762" s="188"/>
      <c r="K2762" s="187">
        <v>10.9</v>
      </c>
      <c r="L2762" s="187">
        <v>10.9</v>
      </c>
      <c r="M2762" s="187">
        <v>232000</v>
      </c>
      <c r="N2762" s="187">
        <v>11300</v>
      </c>
      <c r="O2762" s="187">
        <v>9270</v>
      </c>
      <c r="P2762" s="187">
        <v>18.799999999999997</v>
      </c>
      <c r="Q2762" s="187">
        <v>232000</v>
      </c>
      <c r="R2762" s="187">
        <v>11300</v>
      </c>
      <c r="S2762" s="187">
        <v>9270</v>
      </c>
      <c r="T2762" s="187">
        <v>18.799999999999997</v>
      </c>
      <c r="U2762" s="187">
        <v>372000</v>
      </c>
      <c r="V2762" s="188"/>
    </row>
    <row r="2763" spans="1:22">
      <c r="A2763" s="178" t="s">
        <v>5371</v>
      </c>
      <c r="B2763" s="178" t="s">
        <v>5371</v>
      </c>
      <c r="C2763" s="187">
        <v>5.64</v>
      </c>
      <c r="D2763" s="187">
        <v>719</v>
      </c>
      <c r="E2763" s="188">
        <v>50</v>
      </c>
      <c r="F2763" s="188">
        <v>50</v>
      </c>
      <c r="G2763" s="187">
        <v>4</v>
      </c>
      <c r="H2763" s="187">
        <v>4</v>
      </c>
      <c r="I2763" s="187">
        <v>4</v>
      </c>
      <c r="J2763" s="188"/>
      <c r="K2763" s="187">
        <v>9.5</v>
      </c>
      <c r="L2763" s="187">
        <v>9.5</v>
      </c>
      <c r="M2763" s="187">
        <v>250000</v>
      </c>
      <c r="N2763" s="187">
        <v>12300</v>
      </c>
      <c r="O2763" s="187">
        <v>9990</v>
      </c>
      <c r="P2763" s="187">
        <v>18.600000000000001</v>
      </c>
      <c r="Q2763" s="187">
        <v>250000</v>
      </c>
      <c r="R2763" s="187">
        <v>12300</v>
      </c>
      <c r="S2763" s="187">
        <v>9990</v>
      </c>
      <c r="T2763" s="187">
        <v>18.600000000000001</v>
      </c>
      <c r="U2763" s="187">
        <v>404000</v>
      </c>
      <c r="V2763" s="188"/>
    </row>
    <row r="2764" spans="1:22">
      <c r="A2764" s="178" t="s">
        <v>5372</v>
      </c>
      <c r="B2764" s="178" t="s">
        <v>5372</v>
      </c>
      <c r="C2764" s="187">
        <v>6.85</v>
      </c>
      <c r="D2764" s="187">
        <v>873</v>
      </c>
      <c r="E2764" s="188">
        <v>50</v>
      </c>
      <c r="F2764" s="188">
        <v>50</v>
      </c>
      <c r="G2764" s="187">
        <v>5</v>
      </c>
      <c r="H2764" s="187">
        <v>5</v>
      </c>
      <c r="I2764" s="187">
        <v>5</v>
      </c>
      <c r="J2764" s="188"/>
      <c r="K2764" s="187">
        <v>7</v>
      </c>
      <c r="L2764" s="187">
        <v>7</v>
      </c>
      <c r="M2764" s="187">
        <v>289000</v>
      </c>
      <c r="N2764" s="187">
        <v>14500</v>
      </c>
      <c r="O2764" s="187">
        <v>11600</v>
      </c>
      <c r="P2764" s="187">
        <v>18.2</v>
      </c>
      <c r="Q2764" s="187">
        <v>289000</v>
      </c>
      <c r="R2764" s="187">
        <v>14500</v>
      </c>
      <c r="S2764" s="187">
        <v>11600</v>
      </c>
      <c r="T2764" s="187">
        <v>18.2</v>
      </c>
      <c r="U2764" s="187">
        <v>476000</v>
      </c>
      <c r="V2764" s="188"/>
    </row>
    <row r="2765" spans="1:22">
      <c r="A2765" s="178" t="s">
        <v>5373</v>
      </c>
      <c r="B2765" s="178" t="s">
        <v>5373</v>
      </c>
      <c r="C2765" s="187">
        <v>7.54</v>
      </c>
      <c r="D2765" s="187">
        <v>961</v>
      </c>
      <c r="E2765" s="188">
        <v>50</v>
      </c>
      <c r="F2765" s="188">
        <v>50</v>
      </c>
      <c r="G2765" s="187">
        <v>5.6</v>
      </c>
      <c r="H2765" s="187">
        <v>5.6</v>
      </c>
      <c r="I2765" s="187">
        <v>5.6</v>
      </c>
      <c r="J2765" s="188"/>
      <c r="K2765" s="187">
        <v>5.93</v>
      </c>
      <c r="L2765" s="187">
        <v>5.93</v>
      </c>
      <c r="M2765" s="187">
        <v>308000</v>
      </c>
      <c r="N2765" s="187">
        <v>15700</v>
      </c>
      <c r="O2765" s="187">
        <v>12300</v>
      </c>
      <c r="P2765" s="187">
        <v>17.899999999999999</v>
      </c>
      <c r="Q2765" s="187">
        <v>308000</v>
      </c>
      <c r="R2765" s="187">
        <v>15700</v>
      </c>
      <c r="S2765" s="187">
        <v>12300</v>
      </c>
      <c r="T2765" s="187">
        <v>17.899999999999999</v>
      </c>
      <c r="U2765" s="187">
        <v>513000</v>
      </c>
      <c r="V2765" s="188"/>
    </row>
    <row r="2766" spans="1:22">
      <c r="A2766" s="178" t="s">
        <v>5374</v>
      </c>
      <c r="B2766" s="178" t="s">
        <v>5374</v>
      </c>
      <c r="C2766" s="187">
        <v>8.31</v>
      </c>
      <c r="D2766" s="187">
        <v>1060</v>
      </c>
      <c r="E2766" s="188">
        <v>50</v>
      </c>
      <c r="F2766" s="188">
        <v>50</v>
      </c>
      <c r="G2766" s="187">
        <v>6.3</v>
      </c>
      <c r="H2766" s="187">
        <v>6.3</v>
      </c>
      <c r="I2766" s="187">
        <v>6.3</v>
      </c>
      <c r="J2766" s="188"/>
      <c r="K2766" s="187">
        <v>4.9400000000000004</v>
      </c>
      <c r="L2766" s="187">
        <v>4.9400000000000004</v>
      </c>
      <c r="M2766" s="187">
        <v>328000</v>
      </c>
      <c r="N2766" s="187">
        <v>17000</v>
      </c>
      <c r="O2766" s="187">
        <v>13100</v>
      </c>
      <c r="P2766" s="187">
        <v>17.600000000000001</v>
      </c>
      <c r="Q2766" s="187">
        <v>328000</v>
      </c>
      <c r="R2766" s="187">
        <v>17000</v>
      </c>
      <c r="S2766" s="187">
        <v>13100</v>
      </c>
      <c r="T2766" s="187">
        <v>17.600000000000001</v>
      </c>
      <c r="U2766" s="187">
        <v>552000</v>
      </c>
      <c r="V2766" s="188"/>
    </row>
    <row r="2767" spans="1:22">
      <c r="A2767" s="178" t="s">
        <v>5375</v>
      </c>
      <c r="B2767" s="178" t="s">
        <v>5375</v>
      </c>
      <c r="C2767" s="187">
        <v>9.14</v>
      </c>
      <c r="D2767" s="187">
        <v>1160</v>
      </c>
      <c r="E2767" s="188">
        <v>50</v>
      </c>
      <c r="F2767" s="188">
        <v>50</v>
      </c>
      <c r="G2767" s="187">
        <v>7.1</v>
      </c>
      <c r="H2767" s="187">
        <v>7.1</v>
      </c>
      <c r="I2767" s="187">
        <v>7.1</v>
      </c>
      <c r="J2767" s="188"/>
      <c r="K2767" s="187">
        <v>4.04</v>
      </c>
      <c r="L2767" s="187">
        <v>4.04</v>
      </c>
      <c r="M2767" s="187">
        <v>345000</v>
      </c>
      <c r="N2767" s="187">
        <v>18300</v>
      </c>
      <c r="O2767" s="187">
        <v>13800</v>
      </c>
      <c r="P2767" s="187">
        <v>17.2</v>
      </c>
      <c r="Q2767" s="187">
        <v>345000</v>
      </c>
      <c r="R2767" s="187">
        <v>18300</v>
      </c>
      <c r="S2767" s="187">
        <v>13800</v>
      </c>
      <c r="T2767" s="187">
        <v>17.2</v>
      </c>
      <c r="U2767" s="187">
        <v>589000</v>
      </c>
      <c r="V2767" s="188"/>
    </row>
    <row r="2768" spans="1:22">
      <c r="A2768" s="178" t="s">
        <v>5376</v>
      </c>
      <c r="B2768" s="178" t="s">
        <v>5376</v>
      </c>
      <c r="C2768" s="187">
        <v>10</v>
      </c>
      <c r="D2768" s="187">
        <v>1280</v>
      </c>
      <c r="E2768" s="188">
        <v>50</v>
      </c>
      <c r="F2768" s="188">
        <v>50</v>
      </c>
      <c r="G2768" s="187">
        <v>8</v>
      </c>
      <c r="H2768" s="187">
        <v>8</v>
      </c>
      <c r="I2768" s="187">
        <v>8</v>
      </c>
      <c r="J2768" s="188"/>
      <c r="K2768" s="187">
        <v>3.25</v>
      </c>
      <c r="L2768" s="187">
        <v>3.25</v>
      </c>
      <c r="M2768" s="187">
        <v>360000</v>
      </c>
      <c r="N2768" s="187">
        <v>19500</v>
      </c>
      <c r="O2768" s="187">
        <v>14400</v>
      </c>
      <c r="P2768" s="187">
        <v>16.8</v>
      </c>
      <c r="Q2768" s="187">
        <v>360000</v>
      </c>
      <c r="R2768" s="187">
        <v>19500</v>
      </c>
      <c r="S2768" s="187">
        <v>14400</v>
      </c>
      <c r="T2768" s="187">
        <v>16.8</v>
      </c>
      <c r="U2768" s="187">
        <v>623000</v>
      </c>
      <c r="V2768" s="188"/>
    </row>
    <row r="2769" spans="1:22">
      <c r="A2769" s="178" t="s">
        <v>5377</v>
      </c>
      <c r="B2769" s="178" t="s">
        <v>5377</v>
      </c>
      <c r="C2769" s="187">
        <v>5.13</v>
      </c>
      <c r="D2769" s="187">
        <v>653</v>
      </c>
      <c r="E2769" s="188">
        <v>60</v>
      </c>
      <c r="F2769" s="188">
        <v>60</v>
      </c>
      <c r="G2769" s="187">
        <v>2.9</v>
      </c>
      <c r="H2769" s="187">
        <v>2.9</v>
      </c>
      <c r="I2769" s="187">
        <v>2.9</v>
      </c>
      <c r="J2769" s="188"/>
      <c r="K2769" s="187">
        <v>17.7</v>
      </c>
      <c r="L2769" s="187">
        <v>17.7</v>
      </c>
      <c r="M2769" s="187">
        <v>352000</v>
      </c>
      <c r="N2769" s="187">
        <v>13900</v>
      </c>
      <c r="O2769" s="187">
        <v>11700</v>
      </c>
      <c r="P2769" s="187">
        <v>23.2</v>
      </c>
      <c r="Q2769" s="187">
        <v>352000</v>
      </c>
      <c r="R2769" s="187">
        <v>13900</v>
      </c>
      <c r="S2769" s="187">
        <v>11700</v>
      </c>
      <c r="T2769" s="187">
        <v>23.2</v>
      </c>
      <c r="U2769" s="187">
        <v>553000</v>
      </c>
      <c r="V2769" s="188"/>
    </row>
    <row r="2770" spans="1:22">
      <c r="A2770" s="178" t="s">
        <v>5378</v>
      </c>
      <c r="B2770" s="178" t="s">
        <v>5378</v>
      </c>
      <c r="C2770" s="187">
        <v>5.29</v>
      </c>
      <c r="D2770" s="187">
        <v>674</v>
      </c>
      <c r="E2770" s="188">
        <v>60</v>
      </c>
      <c r="F2770" s="188">
        <v>60</v>
      </c>
      <c r="G2770" s="187">
        <v>3</v>
      </c>
      <c r="H2770" s="187">
        <v>3</v>
      </c>
      <c r="I2770" s="187">
        <v>3</v>
      </c>
      <c r="J2770" s="188"/>
      <c r="K2770" s="187">
        <v>17</v>
      </c>
      <c r="L2770" s="187">
        <v>17</v>
      </c>
      <c r="M2770" s="187">
        <v>362000</v>
      </c>
      <c r="N2770" s="187">
        <v>14300</v>
      </c>
      <c r="O2770" s="187">
        <v>12100</v>
      </c>
      <c r="P2770" s="187">
        <v>23.2</v>
      </c>
      <c r="Q2770" s="187">
        <v>362000</v>
      </c>
      <c r="R2770" s="187">
        <v>14300</v>
      </c>
      <c r="S2770" s="187">
        <v>12100</v>
      </c>
      <c r="T2770" s="187">
        <v>23.2</v>
      </c>
      <c r="U2770" s="187">
        <v>569000</v>
      </c>
      <c r="V2770" s="188"/>
    </row>
    <row r="2771" spans="1:22">
      <c r="A2771" s="178" t="s">
        <v>5379</v>
      </c>
      <c r="B2771" s="178" t="s">
        <v>5379</v>
      </c>
      <c r="C2771" s="187">
        <v>5.62</v>
      </c>
      <c r="D2771" s="187">
        <v>716</v>
      </c>
      <c r="E2771" s="188">
        <v>60</v>
      </c>
      <c r="F2771" s="188">
        <v>60</v>
      </c>
      <c r="G2771" s="187">
        <v>3.2</v>
      </c>
      <c r="H2771" s="187">
        <v>3.2</v>
      </c>
      <c r="I2771" s="187">
        <v>3.2</v>
      </c>
      <c r="J2771" s="188"/>
      <c r="K2771" s="187">
        <v>15.8</v>
      </c>
      <c r="L2771" s="187">
        <v>15.8</v>
      </c>
      <c r="M2771" s="187">
        <v>382000</v>
      </c>
      <c r="N2771" s="187">
        <v>15200</v>
      </c>
      <c r="O2771" s="187">
        <v>12700</v>
      </c>
      <c r="P2771" s="187">
        <v>23.1</v>
      </c>
      <c r="Q2771" s="187">
        <v>382000</v>
      </c>
      <c r="R2771" s="187">
        <v>15200</v>
      </c>
      <c r="S2771" s="187">
        <v>12700</v>
      </c>
      <c r="T2771" s="187">
        <v>23.1</v>
      </c>
      <c r="U2771" s="187">
        <v>602000</v>
      </c>
      <c r="V2771" s="188"/>
    </row>
    <row r="2772" spans="1:22">
      <c r="A2772" s="178" t="s">
        <v>5380</v>
      </c>
      <c r="B2772" s="178" t="s">
        <v>5380</v>
      </c>
      <c r="C2772" s="187">
        <v>6.27</v>
      </c>
      <c r="D2772" s="187">
        <v>798</v>
      </c>
      <c r="E2772" s="188">
        <v>60</v>
      </c>
      <c r="F2772" s="188">
        <v>60</v>
      </c>
      <c r="G2772" s="187">
        <v>3.6</v>
      </c>
      <c r="H2772" s="187">
        <v>3.6</v>
      </c>
      <c r="I2772" s="187">
        <v>3.6</v>
      </c>
      <c r="J2772" s="188"/>
      <c r="K2772" s="187">
        <v>13.7</v>
      </c>
      <c r="L2772" s="187">
        <v>13.7</v>
      </c>
      <c r="M2772" s="187">
        <v>419000</v>
      </c>
      <c r="N2772" s="187">
        <v>16800</v>
      </c>
      <c r="O2772" s="187">
        <v>14000</v>
      </c>
      <c r="P2772" s="187">
        <v>22.9</v>
      </c>
      <c r="Q2772" s="187">
        <v>419000</v>
      </c>
      <c r="R2772" s="187">
        <v>16800</v>
      </c>
      <c r="S2772" s="187">
        <v>14000</v>
      </c>
      <c r="T2772" s="187">
        <v>22.9</v>
      </c>
      <c r="U2772" s="187">
        <v>665000</v>
      </c>
      <c r="V2772" s="188"/>
    </row>
    <row r="2773" spans="1:22">
      <c r="A2773" s="178" t="s">
        <v>5381</v>
      </c>
      <c r="B2773" s="178" t="s">
        <v>5381</v>
      </c>
      <c r="C2773" s="187">
        <v>6.9</v>
      </c>
      <c r="D2773" s="187">
        <v>878.99999999999989</v>
      </c>
      <c r="E2773" s="188">
        <v>60</v>
      </c>
      <c r="F2773" s="188">
        <v>60</v>
      </c>
      <c r="G2773" s="187">
        <v>4</v>
      </c>
      <c r="H2773" s="187">
        <v>4</v>
      </c>
      <c r="I2773" s="187">
        <v>4</v>
      </c>
      <c r="J2773" s="188"/>
      <c r="K2773" s="187">
        <v>12</v>
      </c>
      <c r="L2773" s="187">
        <v>12</v>
      </c>
      <c r="M2773" s="187">
        <v>454000</v>
      </c>
      <c r="N2773" s="187">
        <v>18300</v>
      </c>
      <c r="O2773" s="187">
        <v>15100</v>
      </c>
      <c r="P2773" s="187">
        <v>22.7</v>
      </c>
      <c r="Q2773" s="187">
        <v>454000</v>
      </c>
      <c r="R2773" s="187">
        <v>18300</v>
      </c>
      <c r="S2773" s="187">
        <v>15100</v>
      </c>
      <c r="T2773" s="187">
        <v>22.7</v>
      </c>
      <c r="U2773" s="187">
        <v>725000</v>
      </c>
      <c r="V2773" s="188"/>
    </row>
    <row r="2774" spans="1:22">
      <c r="A2774" s="178" t="s">
        <v>5382</v>
      </c>
      <c r="B2774" s="178" t="s">
        <v>5382</v>
      </c>
      <c r="C2774" s="187">
        <v>8.42</v>
      </c>
      <c r="D2774" s="187">
        <v>1070</v>
      </c>
      <c r="E2774" s="188">
        <v>60</v>
      </c>
      <c r="F2774" s="188">
        <v>60</v>
      </c>
      <c r="G2774" s="187">
        <v>5</v>
      </c>
      <c r="H2774" s="187">
        <v>5</v>
      </c>
      <c r="I2774" s="187">
        <v>5</v>
      </c>
      <c r="J2774" s="188"/>
      <c r="K2774" s="187">
        <v>9</v>
      </c>
      <c r="L2774" s="187">
        <v>9</v>
      </c>
      <c r="M2774" s="187">
        <v>533000</v>
      </c>
      <c r="N2774" s="187">
        <v>21900</v>
      </c>
      <c r="O2774" s="187">
        <v>17800</v>
      </c>
      <c r="P2774" s="187">
        <v>22.3</v>
      </c>
      <c r="Q2774" s="187">
        <v>533000</v>
      </c>
      <c r="R2774" s="187">
        <v>21900</v>
      </c>
      <c r="S2774" s="187">
        <v>17800</v>
      </c>
      <c r="T2774" s="187">
        <v>22.3</v>
      </c>
      <c r="U2774" s="187">
        <v>864000</v>
      </c>
      <c r="V2774" s="188"/>
    </row>
    <row r="2775" spans="1:22">
      <c r="A2775" s="178" t="s">
        <v>5383</v>
      </c>
      <c r="B2775" s="178" t="s">
        <v>5383</v>
      </c>
      <c r="C2775" s="187">
        <v>9.3000000000000007</v>
      </c>
      <c r="D2775" s="187">
        <v>1180</v>
      </c>
      <c r="E2775" s="188">
        <v>60</v>
      </c>
      <c r="F2775" s="188">
        <v>60</v>
      </c>
      <c r="G2775" s="187">
        <v>5.6</v>
      </c>
      <c r="H2775" s="187">
        <v>5.6</v>
      </c>
      <c r="I2775" s="187">
        <v>5.6</v>
      </c>
      <c r="J2775" s="188"/>
      <c r="K2775" s="187">
        <v>7.71</v>
      </c>
      <c r="L2775" s="187">
        <v>7.71</v>
      </c>
      <c r="M2775" s="187">
        <v>574000</v>
      </c>
      <c r="N2775" s="187">
        <v>23900</v>
      </c>
      <c r="O2775" s="187">
        <v>19100</v>
      </c>
      <c r="P2775" s="187">
        <v>22</v>
      </c>
      <c r="Q2775" s="187">
        <v>574000</v>
      </c>
      <c r="R2775" s="187">
        <v>23900</v>
      </c>
      <c r="S2775" s="187">
        <v>19100</v>
      </c>
      <c r="T2775" s="187">
        <v>22</v>
      </c>
      <c r="U2775" s="187">
        <v>939000</v>
      </c>
      <c r="V2775" s="188"/>
    </row>
    <row r="2776" spans="1:22">
      <c r="A2776" s="178" t="s">
        <v>5384</v>
      </c>
      <c r="B2776" s="178" t="s">
        <v>5384</v>
      </c>
      <c r="C2776" s="187">
        <v>10.3</v>
      </c>
      <c r="D2776" s="187">
        <v>1310</v>
      </c>
      <c r="E2776" s="188">
        <v>60</v>
      </c>
      <c r="F2776" s="188">
        <v>60</v>
      </c>
      <c r="G2776" s="187">
        <v>6.3</v>
      </c>
      <c r="H2776" s="187">
        <v>6.3</v>
      </c>
      <c r="I2776" s="187">
        <v>6.3</v>
      </c>
      <c r="J2776" s="188"/>
      <c r="K2776" s="187">
        <v>6.52</v>
      </c>
      <c r="L2776" s="187">
        <v>6.52</v>
      </c>
      <c r="M2776" s="187">
        <v>616000</v>
      </c>
      <c r="N2776" s="187">
        <v>26000</v>
      </c>
      <c r="O2776" s="187">
        <v>20500</v>
      </c>
      <c r="P2776" s="187">
        <v>21.7</v>
      </c>
      <c r="Q2776" s="187">
        <v>616000</v>
      </c>
      <c r="R2776" s="187">
        <v>26000</v>
      </c>
      <c r="S2776" s="187">
        <v>20500</v>
      </c>
      <c r="T2776" s="187">
        <v>21.7</v>
      </c>
      <c r="U2776" s="187">
        <v>1020000</v>
      </c>
      <c r="V2776" s="188"/>
    </row>
    <row r="2777" spans="1:22">
      <c r="A2777" s="178" t="s">
        <v>5385</v>
      </c>
      <c r="B2777" s="178" t="s">
        <v>5385</v>
      </c>
      <c r="C2777" s="187">
        <v>11.4</v>
      </c>
      <c r="D2777" s="187">
        <v>1450</v>
      </c>
      <c r="E2777" s="188">
        <v>60</v>
      </c>
      <c r="F2777" s="188">
        <v>60</v>
      </c>
      <c r="G2777" s="187">
        <v>7.1</v>
      </c>
      <c r="H2777" s="187">
        <v>7.1</v>
      </c>
      <c r="I2777" s="187">
        <v>7.1</v>
      </c>
      <c r="J2777" s="188"/>
      <c r="K2777" s="187">
        <v>5.45</v>
      </c>
      <c r="L2777" s="187">
        <v>5.45</v>
      </c>
      <c r="M2777" s="187">
        <v>658000</v>
      </c>
      <c r="N2777" s="187">
        <v>28200</v>
      </c>
      <c r="O2777" s="187">
        <v>21900</v>
      </c>
      <c r="P2777" s="187">
        <v>21.299999999999997</v>
      </c>
      <c r="Q2777" s="187">
        <v>658000</v>
      </c>
      <c r="R2777" s="187">
        <v>28200</v>
      </c>
      <c r="S2777" s="187">
        <v>21900</v>
      </c>
      <c r="T2777" s="187">
        <v>21.299999999999997</v>
      </c>
      <c r="U2777" s="187">
        <v>1100000</v>
      </c>
      <c r="V2777" s="188"/>
    </row>
    <row r="2778" spans="1:22">
      <c r="A2778" s="178" t="s">
        <v>5386</v>
      </c>
      <c r="B2778" s="178" t="s">
        <v>5386</v>
      </c>
      <c r="C2778" s="187">
        <v>12.5</v>
      </c>
      <c r="D2778" s="187">
        <v>1600</v>
      </c>
      <c r="E2778" s="188">
        <v>60</v>
      </c>
      <c r="F2778" s="188">
        <v>60</v>
      </c>
      <c r="G2778" s="187">
        <v>8</v>
      </c>
      <c r="H2778" s="187">
        <v>8</v>
      </c>
      <c r="I2778" s="187">
        <v>8</v>
      </c>
      <c r="J2778" s="188"/>
      <c r="K2778" s="187">
        <v>4.5</v>
      </c>
      <c r="L2778" s="187">
        <v>4.5</v>
      </c>
      <c r="M2778" s="187">
        <v>697000</v>
      </c>
      <c r="N2778" s="187">
        <v>30400</v>
      </c>
      <c r="O2778" s="187">
        <v>23200</v>
      </c>
      <c r="P2778" s="187">
        <v>20.9</v>
      </c>
      <c r="Q2778" s="187">
        <v>697000</v>
      </c>
      <c r="R2778" s="187">
        <v>30400</v>
      </c>
      <c r="S2778" s="187">
        <v>23200</v>
      </c>
      <c r="T2778" s="187">
        <v>20.9</v>
      </c>
      <c r="U2778" s="187">
        <v>1180000</v>
      </c>
      <c r="V2778" s="188"/>
    </row>
    <row r="2779" spans="1:22">
      <c r="A2779" s="178" t="s">
        <v>5387</v>
      </c>
      <c r="B2779" s="178" t="s">
        <v>5387</v>
      </c>
      <c r="C2779" s="187">
        <v>6.24</v>
      </c>
      <c r="D2779" s="187">
        <v>794</v>
      </c>
      <c r="E2779" s="188">
        <v>70</v>
      </c>
      <c r="F2779" s="188">
        <v>70</v>
      </c>
      <c r="G2779" s="187">
        <v>3</v>
      </c>
      <c r="H2779" s="187">
        <v>3</v>
      </c>
      <c r="I2779" s="187">
        <v>3</v>
      </c>
      <c r="J2779" s="188"/>
      <c r="K2779" s="187">
        <v>20.3</v>
      </c>
      <c r="L2779" s="187">
        <v>20.3</v>
      </c>
      <c r="M2779" s="187">
        <v>590000</v>
      </c>
      <c r="N2779" s="187">
        <v>19900</v>
      </c>
      <c r="O2779" s="187">
        <v>16900</v>
      </c>
      <c r="P2779" s="187">
        <v>27.3</v>
      </c>
      <c r="Q2779" s="187">
        <v>590000</v>
      </c>
      <c r="R2779" s="187">
        <v>19900</v>
      </c>
      <c r="S2779" s="187">
        <v>16900</v>
      </c>
      <c r="T2779" s="187">
        <v>27.3</v>
      </c>
      <c r="U2779" s="187">
        <v>922000</v>
      </c>
      <c r="V2779" s="188"/>
    </row>
    <row r="2780" spans="1:22">
      <c r="A2780" s="178" t="s">
        <v>5388</v>
      </c>
      <c r="B2780" s="178" t="s">
        <v>5388</v>
      </c>
      <c r="C2780" s="187">
        <v>6.63</v>
      </c>
      <c r="D2780" s="187">
        <v>844</v>
      </c>
      <c r="E2780" s="188">
        <v>70</v>
      </c>
      <c r="F2780" s="188">
        <v>70</v>
      </c>
      <c r="G2780" s="187">
        <v>3.2</v>
      </c>
      <c r="H2780" s="187">
        <v>3.2</v>
      </c>
      <c r="I2780" s="187">
        <v>3.2</v>
      </c>
      <c r="J2780" s="188"/>
      <c r="K2780" s="187">
        <v>18.899999999999999</v>
      </c>
      <c r="L2780" s="187">
        <v>18.899999999999999</v>
      </c>
      <c r="M2780" s="187">
        <v>623000</v>
      </c>
      <c r="N2780" s="187">
        <v>21000</v>
      </c>
      <c r="O2780" s="187">
        <v>17800</v>
      </c>
      <c r="P2780" s="187">
        <v>27.200000000000003</v>
      </c>
      <c r="Q2780" s="187">
        <v>623000</v>
      </c>
      <c r="R2780" s="187">
        <v>21000</v>
      </c>
      <c r="S2780" s="187">
        <v>17800</v>
      </c>
      <c r="T2780" s="187">
        <v>27.200000000000003</v>
      </c>
      <c r="U2780" s="187">
        <v>976000</v>
      </c>
      <c r="V2780" s="188"/>
    </row>
    <row r="2781" spans="1:22">
      <c r="A2781" s="178" t="s">
        <v>5389</v>
      </c>
      <c r="B2781" s="178" t="s">
        <v>5389</v>
      </c>
      <c r="C2781" s="187">
        <v>7.4</v>
      </c>
      <c r="D2781" s="187">
        <v>942</v>
      </c>
      <c r="E2781" s="188">
        <v>70</v>
      </c>
      <c r="F2781" s="188">
        <v>70</v>
      </c>
      <c r="G2781" s="187">
        <v>3.6</v>
      </c>
      <c r="H2781" s="187">
        <v>3.6</v>
      </c>
      <c r="I2781" s="187">
        <v>3.6</v>
      </c>
      <c r="J2781" s="188"/>
      <c r="K2781" s="187">
        <v>16.399999999999999</v>
      </c>
      <c r="L2781" s="187">
        <v>16.399999999999999</v>
      </c>
      <c r="M2781" s="187">
        <v>686000</v>
      </c>
      <c r="N2781" s="187">
        <v>23300</v>
      </c>
      <c r="O2781" s="187">
        <v>19600</v>
      </c>
      <c r="P2781" s="187">
        <v>27</v>
      </c>
      <c r="Q2781" s="187">
        <v>686000</v>
      </c>
      <c r="R2781" s="187">
        <v>23300</v>
      </c>
      <c r="S2781" s="187">
        <v>19600</v>
      </c>
      <c r="T2781" s="187">
        <v>27</v>
      </c>
      <c r="U2781" s="187">
        <v>1080000</v>
      </c>
      <c r="V2781" s="188"/>
    </row>
    <row r="2782" spans="1:22">
      <c r="A2782" s="190" t="s">
        <v>5390</v>
      </c>
      <c r="B2782" s="190" t="s">
        <v>5390</v>
      </c>
      <c r="C2782" s="187">
        <v>8.15</v>
      </c>
      <c r="D2782" s="187">
        <v>1040</v>
      </c>
      <c r="E2782" s="188">
        <v>70</v>
      </c>
      <c r="F2782" s="188">
        <v>70</v>
      </c>
      <c r="G2782" s="187">
        <v>4</v>
      </c>
      <c r="H2782" s="187">
        <v>4</v>
      </c>
      <c r="I2782" s="187">
        <v>4</v>
      </c>
      <c r="J2782" s="188"/>
      <c r="K2782" s="187">
        <v>14.5</v>
      </c>
      <c r="L2782" s="187">
        <v>14.5</v>
      </c>
      <c r="M2782" s="187">
        <v>747000</v>
      </c>
      <c r="N2782" s="187">
        <v>25500</v>
      </c>
      <c r="O2782" s="187">
        <v>21300</v>
      </c>
      <c r="P2782" s="187">
        <v>26.8</v>
      </c>
      <c r="Q2782" s="187">
        <v>747000</v>
      </c>
      <c r="R2782" s="187">
        <v>25500</v>
      </c>
      <c r="S2782" s="187">
        <v>21300</v>
      </c>
      <c r="T2782" s="187">
        <v>26.8</v>
      </c>
      <c r="U2782" s="187">
        <v>1180000</v>
      </c>
      <c r="V2782" s="188"/>
    </row>
    <row r="2783" spans="1:22">
      <c r="A2783" s="178" t="s">
        <v>5391</v>
      </c>
      <c r="B2783" s="178" t="s">
        <v>5391</v>
      </c>
      <c r="C2783" s="187">
        <v>9.99</v>
      </c>
      <c r="D2783" s="187">
        <v>1270</v>
      </c>
      <c r="E2783" s="188">
        <v>70</v>
      </c>
      <c r="F2783" s="188">
        <v>70</v>
      </c>
      <c r="G2783" s="187">
        <v>5</v>
      </c>
      <c r="H2783" s="187">
        <v>5</v>
      </c>
      <c r="I2783" s="187">
        <v>5</v>
      </c>
      <c r="J2783" s="188"/>
      <c r="K2783" s="187">
        <v>11</v>
      </c>
      <c r="L2783" s="187">
        <v>11</v>
      </c>
      <c r="M2783" s="187">
        <v>885000</v>
      </c>
      <c r="N2783" s="187">
        <v>30800</v>
      </c>
      <c r="O2783" s="187">
        <v>25300</v>
      </c>
      <c r="P2783" s="187">
        <v>26.400000000000002</v>
      </c>
      <c r="Q2783" s="187">
        <v>885000</v>
      </c>
      <c r="R2783" s="187">
        <v>30800</v>
      </c>
      <c r="S2783" s="187">
        <v>25300</v>
      </c>
      <c r="T2783" s="187">
        <v>26.400000000000002</v>
      </c>
      <c r="U2783" s="187">
        <v>1420000</v>
      </c>
      <c r="V2783" s="188"/>
    </row>
    <row r="2784" spans="1:22">
      <c r="A2784" s="178" t="s">
        <v>5392</v>
      </c>
      <c r="B2784" s="178" t="s">
        <v>5392</v>
      </c>
      <c r="C2784" s="187">
        <v>11.1</v>
      </c>
      <c r="D2784" s="187">
        <v>1410</v>
      </c>
      <c r="E2784" s="188">
        <v>70</v>
      </c>
      <c r="F2784" s="188">
        <v>70</v>
      </c>
      <c r="G2784" s="187">
        <v>5.6</v>
      </c>
      <c r="H2784" s="187">
        <v>5.6</v>
      </c>
      <c r="I2784" s="187">
        <v>5.6</v>
      </c>
      <c r="J2784" s="188"/>
      <c r="K2784" s="187">
        <v>9.5</v>
      </c>
      <c r="L2784" s="187">
        <v>9.5</v>
      </c>
      <c r="M2784" s="187">
        <v>959000</v>
      </c>
      <c r="N2784" s="187">
        <v>33700</v>
      </c>
      <c r="O2784" s="187">
        <v>27400</v>
      </c>
      <c r="P2784" s="187">
        <v>26.099999999999998</v>
      </c>
      <c r="Q2784" s="187">
        <v>959000</v>
      </c>
      <c r="R2784" s="187">
        <v>33700</v>
      </c>
      <c r="S2784" s="187">
        <v>27400</v>
      </c>
      <c r="T2784" s="187">
        <v>26.099999999999998</v>
      </c>
      <c r="U2784" s="187">
        <v>1550000</v>
      </c>
      <c r="V2784" s="188"/>
    </row>
    <row r="2785" spans="1:22">
      <c r="A2785" s="178" t="s">
        <v>5393</v>
      </c>
      <c r="B2785" s="178" t="s">
        <v>5393</v>
      </c>
      <c r="C2785" s="187">
        <v>12.3</v>
      </c>
      <c r="D2785" s="187">
        <v>1560</v>
      </c>
      <c r="E2785" s="188">
        <v>70</v>
      </c>
      <c r="F2785" s="188">
        <v>70</v>
      </c>
      <c r="G2785" s="187">
        <v>6.3</v>
      </c>
      <c r="H2785" s="187">
        <v>6.3</v>
      </c>
      <c r="I2785" s="187">
        <v>6.3</v>
      </c>
      <c r="J2785" s="188"/>
      <c r="K2785" s="187">
        <v>8.11</v>
      </c>
      <c r="L2785" s="187">
        <v>8.11</v>
      </c>
      <c r="M2785" s="187">
        <v>1040000</v>
      </c>
      <c r="N2785" s="187">
        <v>36900</v>
      </c>
      <c r="O2785" s="187">
        <v>29700</v>
      </c>
      <c r="P2785" s="187">
        <v>25.8</v>
      </c>
      <c r="Q2785" s="187">
        <v>1040000</v>
      </c>
      <c r="R2785" s="187">
        <v>36900</v>
      </c>
      <c r="S2785" s="187">
        <v>29700</v>
      </c>
      <c r="T2785" s="187">
        <v>25.8</v>
      </c>
      <c r="U2785" s="187">
        <v>1690000</v>
      </c>
      <c r="V2785" s="188"/>
    </row>
    <row r="2786" spans="1:22">
      <c r="A2786" s="178" t="s">
        <v>5394</v>
      </c>
      <c r="B2786" s="178" t="s">
        <v>5394</v>
      </c>
      <c r="C2786" s="187">
        <v>13.6</v>
      </c>
      <c r="D2786" s="187">
        <v>1730</v>
      </c>
      <c r="E2786" s="188">
        <v>70</v>
      </c>
      <c r="F2786" s="188">
        <v>70</v>
      </c>
      <c r="G2786" s="187">
        <v>7.1</v>
      </c>
      <c r="H2786" s="187">
        <v>7.1</v>
      </c>
      <c r="I2786" s="187">
        <v>7.1</v>
      </c>
      <c r="J2786" s="188"/>
      <c r="K2786" s="187">
        <v>6.86</v>
      </c>
      <c r="L2786" s="187">
        <v>6.86</v>
      </c>
      <c r="M2786" s="187">
        <v>1120000</v>
      </c>
      <c r="N2786" s="187">
        <v>40300</v>
      </c>
      <c r="O2786" s="187">
        <v>32000</v>
      </c>
      <c r="P2786" s="187">
        <v>25.4</v>
      </c>
      <c r="Q2786" s="187">
        <v>1120000</v>
      </c>
      <c r="R2786" s="187">
        <v>40300</v>
      </c>
      <c r="S2786" s="187">
        <v>32000</v>
      </c>
      <c r="T2786" s="187">
        <v>25.4</v>
      </c>
      <c r="U2786" s="187">
        <v>1850000</v>
      </c>
      <c r="V2786" s="188"/>
    </row>
    <row r="2787" spans="1:22">
      <c r="A2787" s="178" t="s">
        <v>5395</v>
      </c>
      <c r="B2787" s="178" t="s">
        <v>5395</v>
      </c>
      <c r="C2787" s="187">
        <v>15</v>
      </c>
      <c r="D2787" s="187">
        <v>1920</v>
      </c>
      <c r="E2787" s="188">
        <v>70</v>
      </c>
      <c r="F2787" s="188">
        <v>70</v>
      </c>
      <c r="G2787" s="187">
        <v>8</v>
      </c>
      <c r="H2787" s="187">
        <v>8</v>
      </c>
      <c r="I2787" s="187">
        <v>8</v>
      </c>
      <c r="J2787" s="188"/>
      <c r="K2787" s="187">
        <v>5.75</v>
      </c>
      <c r="L2787" s="187">
        <v>5.75</v>
      </c>
      <c r="M2787" s="187">
        <v>1200000</v>
      </c>
      <c r="N2787" s="187">
        <v>43800</v>
      </c>
      <c r="O2787" s="187">
        <v>34200</v>
      </c>
      <c r="P2787" s="187">
        <v>25</v>
      </c>
      <c r="Q2787" s="187">
        <v>1200000</v>
      </c>
      <c r="R2787" s="187">
        <v>43800</v>
      </c>
      <c r="S2787" s="187">
        <v>34200</v>
      </c>
      <c r="T2787" s="187">
        <v>25</v>
      </c>
      <c r="U2787" s="187">
        <v>2000000</v>
      </c>
      <c r="V2787" s="188"/>
    </row>
    <row r="2788" spans="1:22">
      <c r="A2788" s="178" t="s">
        <v>5396</v>
      </c>
      <c r="B2788" s="178" t="s">
        <v>5396</v>
      </c>
      <c r="C2788" s="187">
        <v>16.3</v>
      </c>
      <c r="D2788" s="187">
        <v>2070</v>
      </c>
      <c r="E2788" s="188">
        <v>70</v>
      </c>
      <c r="F2788" s="188">
        <v>70</v>
      </c>
      <c r="G2788" s="187">
        <v>8.8000000000000007</v>
      </c>
      <c r="H2788" s="187">
        <v>8.8000000000000007</v>
      </c>
      <c r="I2788" s="187">
        <v>8.8000000000000007</v>
      </c>
      <c r="J2788" s="188"/>
      <c r="K2788" s="187">
        <v>4.95</v>
      </c>
      <c r="L2788" s="187">
        <v>4.95</v>
      </c>
      <c r="M2788" s="187">
        <v>1260000</v>
      </c>
      <c r="N2788" s="187">
        <v>46600</v>
      </c>
      <c r="O2788" s="187">
        <v>35900</v>
      </c>
      <c r="P2788" s="187">
        <v>24.6</v>
      </c>
      <c r="Q2788" s="187">
        <v>1260000</v>
      </c>
      <c r="R2788" s="187">
        <v>46600</v>
      </c>
      <c r="S2788" s="187">
        <v>35900</v>
      </c>
      <c r="T2788" s="187">
        <v>24.6</v>
      </c>
      <c r="U2788" s="187">
        <v>2120000</v>
      </c>
      <c r="V2788" s="188"/>
    </row>
    <row r="2789" spans="1:22">
      <c r="A2789" s="178" t="s">
        <v>5397</v>
      </c>
      <c r="B2789" s="178" t="s">
        <v>5397</v>
      </c>
      <c r="C2789" s="187">
        <v>7.63</v>
      </c>
      <c r="D2789" s="187">
        <v>972.00000000000011</v>
      </c>
      <c r="E2789" s="188">
        <v>80</v>
      </c>
      <c r="F2789" s="188">
        <v>80</v>
      </c>
      <c r="G2789" s="187">
        <v>3.2</v>
      </c>
      <c r="H2789" s="187">
        <v>3.2</v>
      </c>
      <c r="I2789" s="187">
        <v>3.2</v>
      </c>
      <c r="J2789" s="188"/>
      <c r="K2789" s="187">
        <v>22</v>
      </c>
      <c r="L2789" s="187">
        <v>22</v>
      </c>
      <c r="M2789" s="187">
        <v>950000</v>
      </c>
      <c r="N2789" s="187">
        <v>27900</v>
      </c>
      <c r="O2789" s="187">
        <v>23700</v>
      </c>
      <c r="P2789" s="187">
        <v>31.299999999999997</v>
      </c>
      <c r="Q2789" s="187">
        <v>950000</v>
      </c>
      <c r="R2789" s="187">
        <v>27900</v>
      </c>
      <c r="S2789" s="187">
        <v>23700</v>
      </c>
      <c r="T2789" s="187">
        <v>31.299999999999997</v>
      </c>
      <c r="U2789" s="187">
        <v>1480000</v>
      </c>
      <c r="V2789" s="188"/>
    </row>
    <row r="2790" spans="1:22">
      <c r="A2790" s="178" t="s">
        <v>5398</v>
      </c>
      <c r="B2790" s="178" t="s">
        <v>5398</v>
      </c>
      <c r="C2790" s="187">
        <v>8.5299999999999994</v>
      </c>
      <c r="D2790" s="187">
        <v>1090</v>
      </c>
      <c r="E2790" s="188">
        <v>80</v>
      </c>
      <c r="F2790" s="188">
        <v>80</v>
      </c>
      <c r="G2790" s="187">
        <v>3.6</v>
      </c>
      <c r="H2790" s="187">
        <v>3.6</v>
      </c>
      <c r="I2790" s="187">
        <v>3.6</v>
      </c>
      <c r="J2790" s="188"/>
      <c r="K2790" s="187">
        <v>19.2</v>
      </c>
      <c r="L2790" s="187">
        <v>19.2</v>
      </c>
      <c r="M2790" s="187">
        <v>1050000</v>
      </c>
      <c r="N2790" s="187">
        <v>31000</v>
      </c>
      <c r="O2790" s="187">
        <v>26200</v>
      </c>
      <c r="P2790" s="187">
        <v>31.099999999999998</v>
      </c>
      <c r="Q2790" s="187">
        <v>1050000</v>
      </c>
      <c r="R2790" s="187">
        <v>31000</v>
      </c>
      <c r="S2790" s="187">
        <v>26200</v>
      </c>
      <c r="T2790" s="187">
        <v>31.099999999999998</v>
      </c>
      <c r="U2790" s="187">
        <v>1640000</v>
      </c>
      <c r="V2790" s="188"/>
    </row>
    <row r="2791" spans="1:22">
      <c r="A2791" s="190" t="s">
        <v>5399</v>
      </c>
      <c r="B2791" s="190" t="s">
        <v>5399</v>
      </c>
      <c r="C2791" s="187">
        <v>9.41</v>
      </c>
      <c r="D2791" s="187">
        <v>1200</v>
      </c>
      <c r="E2791" s="188">
        <v>80</v>
      </c>
      <c r="F2791" s="188">
        <v>80</v>
      </c>
      <c r="G2791" s="187">
        <v>4</v>
      </c>
      <c r="H2791" s="187">
        <v>4</v>
      </c>
      <c r="I2791" s="187">
        <v>4</v>
      </c>
      <c r="J2791" s="188"/>
      <c r="K2791" s="187">
        <v>17</v>
      </c>
      <c r="L2791" s="187">
        <v>17</v>
      </c>
      <c r="M2791" s="187">
        <v>1140000</v>
      </c>
      <c r="N2791" s="187">
        <v>34000</v>
      </c>
      <c r="O2791" s="187">
        <v>28600</v>
      </c>
      <c r="P2791" s="187">
        <v>30.9</v>
      </c>
      <c r="Q2791" s="187">
        <v>1140000</v>
      </c>
      <c r="R2791" s="187">
        <v>34000</v>
      </c>
      <c r="S2791" s="187">
        <v>28600</v>
      </c>
      <c r="T2791" s="187">
        <v>30.9</v>
      </c>
      <c r="U2791" s="187">
        <v>1800000</v>
      </c>
      <c r="V2791" s="188"/>
    </row>
    <row r="2792" spans="1:22">
      <c r="A2792" s="178" t="s">
        <v>5400</v>
      </c>
      <c r="B2792" s="178" t="s">
        <v>5400</v>
      </c>
      <c r="C2792" s="187">
        <v>11.6</v>
      </c>
      <c r="D2792" s="187">
        <v>1470</v>
      </c>
      <c r="E2792" s="188">
        <v>80</v>
      </c>
      <c r="F2792" s="188">
        <v>80</v>
      </c>
      <c r="G2792" s="187">
        <v>5</v>
      </c>
      <c r="H2792" s="187">
        <v>5</v>
      </c>
      <c r="I2792" s="187">
        <v>5</v>
      </c>
      <c r="J2792" s="188"/>
      <c r="K2792" s="187">
        <v>13</v>
      </c>
      <c r="L2792" s="187">
        <v>13</v>
      </c>
      <c r="M2792" s="187">
        <v>1370000</v>
      </c>
      <c r="N2792" s="187">
        <v>41100</v>
      </c>
      <c r="O2792" s="187">
        <v>34200</v>
      </c>
      <c r="P2792" s="187">
        <v>30.5</v>
      </c>
      <c r="Q2792" s="187">
        <v>1370000</v>
      </c>
      <c r="R2792" s="187">
        <v>41100</v>
      </c>
      <c r="S2792" s="187">
        <v>34200</v>
      </c>
      <c r="T2792" s="187">
        <v>30.5</v>
      </c>
      <c r="U2792" s="187">
        <v>2170000</v>
      </c>
      <c r="V2792" s="188"/>
    </row>
    <row r="2793" spans="1:22">
      <c r="A2793" s="178" t="s">
        <v>5401</v>
      </c>
      <c r="B2793" s="178" t="s">
        <v>5401</v>
      </c>
      <c r="C2793" s="187">
        <v>12.8</v>
      </c>
      <c r="D2793" s="187">
        <v>1630</v>
      </c>
      <c r="E2793" s="188">
        <v>80</v>
      </c>
      <c r="F2793" s="188">
        <v>80</v>
      </c>
      <c r="G2793" s="187">
        <v>5.6</v>
      </c>
      <c r="H2793" s="187">
        <v>5.6</v>
      </c>
      <c r="I2793" s="187">
        <v>5.6</v>
      </c>
      <c r="J2793" s="188"/>
      <c r="K2793" s="187">
        <v>11.3</v>
      </c>
      <c r="L2793" s="187">
        <v>11.3</v>
      </c>
      <c r="M2793" s="187">
        <v>1490000</v>
      </c>
      <c r="N2793" s="187">
        <v>45200</v>
      </c>
      <c r="O2793" s="187">
        <v>37200</v>
      </c>
      <c r="P2793" s="187">
        <v>30.2</v>
      </c>
      <c r="Q2793" s="187">
        <v>1490000</v>
      </c>
      <c r="R2793" s="187">
        <v>45200</v>
      </c>
      <c r="S2793" s="187">
        <v>37200</v>
      </c>
      <c r="T2793" s="187">
        <v>30.2</v>
      </c>
      <c r="U2793" s="187">
        <v>2380000</v>
      </c>
      <c r="V2793" s="188"/>
    </row>
    <row r="2794" spans="1:22">
      <c r="A2794" s="178" t="s">
        <v>5402</v>
      </c>
      <c r="B2794" s="178" t="s">
        <v>5402</v>
      </c>
      <c r="C2794" s="187">
        <v>14.2</v>
      </c>
      <c r="D2794" s="187">
        <v>1810.0000000000002</v>
      </c>
      <c r="E2794" s="188">
        <v>80</v>
      </c>
      <c r="F2794" s="188">
        <v>80</v>
      </c>
      <c r="G2794" s="187">
        <v>6.3</v>
      </c>
      <c r="H2794" s="187">
        <v>6.3</v>
      </c>
      <c r="I2794" s="187">
        <v>6.3</v>
      </c>
      <c r="J2794" s="188"/>
      <c r="K2794" s="187">
        <v>9.6999999999999993</v>
      </c>
      <c r="L2794" s="187">
        <v>9.6999999999999993</v>
      </c>
      <c r="M2794" s="187">
        <v>1620000</v>
      </c>
      <c r="N2794" s="187">
        <v>49700</v>
      </c>
      <c r="O2794" s="187">
        <v>40500</v>
      </c>
      <c r="P2794" s="187">
        <v>29.900000000000002</v>
      </c>
      <c r="Q2794" s="187">
        <v>1620000</v>
      </c>
      <c r="R2794" s="187">
        <v>49700</v>
      </c>
      <c r="S2794" s="187">
        <v>40500</v>
      </c>
      <c r="T2794" s="187">
        <v>29.900000000000002</v>
      </c>
      <c r="U2794" s="187">
        <v>2620000</v>
      </c>
      <c r="V2794" s="188"/>
    </row>
    <row r="2795" spans="1:22">
      <c r="A2795" s="178" t="s">
        <v>5403</v>
      </c>
      <c r="B2795" s="178" t="s">
        <v>5403</v>
      </c>
      <c r="C2795" s="187">
        <v>15.8</v>
      </c>
      <c r="D2795" s="187">
        <v>2020</v>
      </c>
      <c r="E2795" s="188">
        <v>80</v>
      </c>
      <c r="F2795" s="188">
        <v>80</v>
      </c>
      <c r="G2795" s="187">
        <v>7.1</v>
      </c>
      <c r="H2795" s="187">
        <v>7.1</v>
      </c>
      <c r="I2795" s="187">
        <v>7.1</v>
      </c>
      <c r="J2795" s="188"/>
      <c r="K2795" s="187">
        <v>8.27</v>
      </c>
      <c r="L2795" s="187">
        <v>8.27</v>
      </c>
      <c r="M2795" s="187">
        <v>1760000</v>
      </c>
      <c r="N2795" s="187">
        <v>54500</v>
      </c>
      <c r="O2795" s="187">
        <v>43900</v>
      </c>
      <c r="P2795" s="187">
        <v>29.5</v>
      </c>
      <c r="Q2795" s="187">
        <v>1760000</v>
      </c>
      <c r="R2795" s="187">
        <v>54500</v>
      </c>
      <c r="S2795" s="187">
        <v>43900</v>
      </c>
      <c r="T2795" s="187">
        <v>29.5</v>
      </c>
      <c r="U2795" s="187">
        <v>2860000</v>
      </c>
      <c r="V2795" s="188"/>
    </row>
    <row r="2796" spans="1:22">
      <c r="A2796" s="178" t="s">
        <v>5404</v>
      </c>
      <c r="B2796" s="178" t="s">
        <v>5404</v>
      </c>
      <c r="C2796" s="187">
        <v>17.5</v>
      </c>
      <c r="D2796" s="187">
        <v>2240</v>
      </c>
      <c r="E2796" s="188">
        <v>80</v>
      </c>
      <c r="F2796" s="188">
        <v>80</v>
      </c>
      <c r="G2796" s="187">
        <v>8</v>
      </c>
      <c r="H2796" s="187">
        <v>8</v>
      </c>
      <c r="I2796" s="187">
        <v>8</v>
      </c>
      <c r="J2796" s="188"/>
      <c r="K2796" s="187">
        <v>7</v>
      </c>
      <c r="L2796" s="187">
        <v>7</v>
      </c>
      <c r="M2796" s="187">
        <v>1890000</v>
      </c>
      <c r="N2796" s="187">
        <v>59500</v>
      </c>
      <c r="O2796" s="187">
        <v>47300</v>
      </c>
      <c r="P2796" s="187">
        <v>29.1</v>
      </c>
      <c r="Q2796" s="187">
        <v>1890000</v>
      </c>
      <c r="R2796" s="187">
        <v>59500</v>
      </c>
      <c r="S2796" s="187">
        <v>47300</v>
      </c>
      <c r="T2796" s="187">
        <v>29.1</v>
      </c>
      <c r="U2796" s="187">
        <v>3120000</v>
      </c>
      <c r="V2796" s="188"/>
    </row>
    <row r="2797" spans="1:22">
      <c r="A2797" s="178" t="s">
        <v>5405</v>
      </c>
      <c r="B2797" s="178" t="s">
        <v>5405</v>
      </c>
      <c r="C2797" s="187">
        <v>19</v>
      </c>
      <c r="D2797" s="187">
        <v>2420</v>
      </c>
      <c r="E2797" s="188">
        <v>80</v>
      </c>
      <c r="F2797" s="188">
        <v>80</v>
      </c>
      <c r="G2797" s="187">
        <v>8.8000000000000007</v>
      </c>
      <c r="H2797" s="187">
        <v>8.8000000000000007</v>
      </c>
      <c r="I2797" s="187">
        <v>8.8000000000000007</v>
      </c>
      <c r="J2797" s="188"/>
      <c r="K2797" s="187">
        <v>6.09</v>
      </c>
      <c r="L2797" s="187">
        <v>6.09</v>
      </c>
      <c r="M2797" s="187">
        <v>2000000</v>
      </c>
      <c r="N2797" s="187">
        <v>63700</v>
      </c>
      <c r="O2797" s="187">
        <v>50000</v>
      </c>
      <c r="P2797" s="187">
        <v>28.700000000000003</v>
      </c>
      <c r="Q2797" s="187">
        <v>2000000</v>
      </c>
      <c r="R2797" s="187">
        <v>63700</v>
      </c>
      <c r="S2797" s="187">
        <v>50000</v>
      </c>
      <c r="T2797" s="187">
        <v>28.700000000000003</v>
      </c>
      <c r="U2797" s="187">
        <v>3320000</v>
      </c>
      <c r="V2797" s="188"/>
    </row>
    <row r="2798" spans="1:22">
      <c r="A2798" s="178" t="s">
        <v>5406</v>
      </c>
      <c r="B2798" s="178" t="s">
        <v>5406</v>
      </c>
      <c r="C2798" s="187">
        <v>21.1</v>
      </c>
      <c r="D2798" s="187">
        <v>2690</v>
      </c>
      <c r="E2798" s="188">
        <v>80</v>
      </c>
      <c r="F2798" s="188">
        <v>80</v>
      </c>
      <c r="G2798" s="187">
        <v>10</v>
      </c>
      <c r="H2798" s="187">
        <v>10</v>
      </c>
      <c r="I2798" s="187">
        <v>10</v>
      </c>
      <c r="J2798" s="188"/>
      <c r="K2798" s="187">
        <v>5</v>
      </c>
      <c r="L2798" s="187">
        <v>5</v>
      </c>
      <c r="M2798" s="187">
        <v>2140000</v>
      </c>
      <c r="N2798" s="187">
        <v>69300</v>
      </c>
      <c r="O2798" s="187">
        <v>53500</v>
      </c>
      <c r="P2798" s="187">
        <v>28.2</v>
      </c>
      <c r="Q2798" s="187">
        <v>2140000</v>
      </c>
      <c r="R2798" s="187">
        <v>69300</v>
      </c>
      <c r="S2798" s="187">
        <v>53500</v>
      </c>
      <c r="T2798" s="187">
        <v>28.2</v>
      </c>
      <c r="U2798" s="187">
        <v>3600000</v>
      </c>
      <c r="V2798" s="188"/>
    </row>
    <row r="2799" spans="1:22">
      <c r="A2799" s="178" t="s">
        <v>5407</v>
      </c>
      <c r="B2799" s="178" t="s">
        <v>5407</v>
      </c>
      <c r="C2799" s="187">
        <v>9.66</v>
      </c>
      <c r="D2799" s="187">
        <v>1230</v>
      </c>
      <c r="E2799" s="188">
        <v>90</v>
      </c>
      <c r="F2799" s="188">
        <v>90</v>
      </c>
      <c r="G2799" s="187">
        <v>3.6</v>
      </c>
      <c r="H2799" s="187">
        <v>3.6</v>
      </c>
      <c r="I2799" s="187">
        <v>3.6</v>
      </c>
      <c r="J2799" s="188"/>
      <c r="K2799" s="187">
        <v>22</v>
      </c>
      <c r="L2799" s="187">
        <v>22</v>
      </c>
      <c r="M2799" s="187">
        <v>1520000</v>
      </c>
      <c r="N2799" s="187">
        <v>39700</v>
      </c>
      <c r="O2799" s="187">
        <v>33800</v>
      </c>
      <c r="P2799" s="187">
        <v>35.200000000000003</v>
      </c>
      <c r="Q2799" s="187">
        <v>1520000</v>
      </c>
      <c r="R2799" s="187">
        <v>39700</v>
      </c>
      <c r="S2799" s="187">
        <v>33800</v>
      </c>
      <c r="T2799" s="187">
        <v>35.200000000000003</v>
      </c>
      <c r="U2799" s="187">
        <v>2370000</v>
      </c>
      <c r="V2799" s="188"/>
    </row>
    <row r="2800" spans="1:22">
      <c r="A2800" s="178" t="s">
        <v>5408</v>
      </c>
      <c r="B2800" s="178" t="s">
        <v>5408</v>
      </c>
      <c r="C2800" s="187">
        <v>10.7</v>
      </c>
      <c r="D2800" s="187">
        <v>1360</v>
      </c>
      <c r="E2800" s="188">
        <v>90</v>
      </c>
      <c r="F2800" s="188">
        <v>90</v>
      </c>
      <c r="G2800" s="187">
        <v>4</v>
      </c>
      <c r="H2800" s="187">
        <v>4</v>
      </c>
      <c r="I2800" s="187">
        <v>4</v>
      </c>
      <c r="J2800" s="188"/>
      <c r="K2800" s="187">
        <v>19.5</v>
      </c>
      <c r="L2800" s="187">
        <v>19.5</v>
      </c>
      <c r="M2800" s="187">
        <v>1660000</v>
      </c>
      <c r="N2800" s="187">
        <v>43600</v>
      </c>
      <c r="O2800" s="187">
        <v>37000</v>
      </c>
      <c r="P2800" s="187">
        <v>35</v>
      </c>
      <c r="Q2800" s="187">
        <v>1660000</v>
      </c>
      <c r="R2800" s="187">
        <v>43600</v>
      </c>
      <c r="S2800" s="187">
        <v>37000</v>
      </c>
      <c r="T2800" s="187">
        <v>35</v>
      </c>
      <c r="U2800" s="187">
        <v>2600000</v>
      </c>
      <c r="V2800" s="188"/>
    </row>
    <row r="2801" spans="1:22">
      <c r="A2801" s="178" t="s">
        <v>5409</v>
      </c>
      <c r="B2801" s="178" t="s">
        <v>5409</v>
      </c>
      <c r="C2801" s="187">
        <v>13.1</v>
      </c>
      <c r="D2801" s="187">
        <v>1670</v>
      </c>
      <c r="E2801" s="188">
        <v>90</v>
      </c>
      <c r="F2801" s="188">
        <v>90</v>
      </c>
      <c r="G2801" s="187">
        <v>5</v>
      </c>
      <c r="H2801" s="187">
        <v>5</v>
      </c>
      <c r="I2801" s="187">
        <v>5</v>
      </c>
      <c r="J2801" s="188"/>
      <c r="K2801" s="187">
        <v>15</v>
      </c>
      <c r="L2801" s="187">
        <v>15</v>
      </c>
      <c r="M2801" s="187">
        <v>2000000</v>
      </c>
      <c r="N2801" s="187">
        <v>53000</v>
      </c>
      <c r="O2801" s="187">
        <v>44400</v>
      </c>
      <c r="P2801" s="187">
        <v>34.5</v>
      </c>
      <c r="Q2801" s="187">
        <v>2000000</v>
      </c>
      <c r="R2801" s="187">
        <v>53000</v>
      </c>
      <c r="S2801" s="187">
        <v>44400</v>
      </c>
      <c r="T2801" s="187">
        <v>34.5</v>
      </c>
      <c r="U2801" s="187">
        <v>3160000</v>
      </c>
      <c r="V2801" s="188"/>
    </row>
    <row r="2802" spans="1:22">
      <c r="A2802" s="178" t="s">
        <v>5410</v>
      </c>
      <c r="B2802" s="178" t="s">
        <v>5410</v>
      </c>
      <c r="C2802" s="187">
        <v>14.6</v>
      </c>
      <c r="D2802" s="187">
        <v>1860.0000000000002</v>
      </c>
      <c r="E2802" s="188">
        <v>90</v>
      </c>
      <c r="F2802" s="188">
        <v>90</v>
      </c>
      <c r="G2802" s="187">
        <v>5.6</v>
      </c>
      <c r="H2802" s="187">
        <v>5.6</v>
      </c>
      <c r="I2802" s="187">
        <v>5.6</v>
      </c>
      <c r="J2802" s="188"/>
      <c r="K2802" s="187">
        <v>13.1</v>
      </c>
      <c r="L2802" s="187">
        <v>13.1</v>
      </c>
      <c r="M2802" s="187">
        <v>2180000</v>
      </c>
      <c r="N2802" s="187">
        <v>58300</v>
      </c>
      <c r="O2802" s="187">
        <v>48500</v>
      </c>
      <c r="P2802" s="187">
        <v>34.300000000000004</v>
      </c>
      <c r="Q2802" s="187">
        <v>2180000</v>
      </c>
      <c r="R2802" s="187">
        <v>58300</v>
      </c>
      <c r="S2802" s="187">
        <v>48500</v>
      </c>
      <c r="T2802" s="187">
        <v>34.300000000000004</v>
      </c>
      <c r="U2802" s="187">
        <v>3470000</v>
      </c>
      <c r="V2802" s="188"/>
    </row>
    <row r="2803" spans="1:22">
      <c r="A2803" s="178" t="s">
        <v>5411</v>
      </c>
      <c r="B2803" s="178" t="s">
        <v>5411</v>
      </c>
      <c r="C2803" s="187">
        <v>16.2</v>
      </c>
      <c r="D2803" s="187">
        <v>2070</v>
      </c>
      <c r="E2803" s="188">
        <v>90</v>
      </c>
      <c r="F2803" s="188">
        <v>90</v>
      </c>
      <c r="G2803" s="187">
        <v>6.3</v>
      </c>
      <c r="H2803" s="187">
        <v>6.3</v>
      </c>
      <c r="I2803" s="187">
        <v>6.3</v>
      </c>
      <c r="J2803" s="188"/>
      <c r="K2803" s="187">
        <v>11.3</v>
      </c>
      <c r="L2803" s="187">
        <v>11.3</v>
      </c>
      <c r="M2803" s="187">
        <v>2380000</v>
      </c>
      <c r="N2803" s="187">
        <v>64300</v>
      </c>
      <c r="O2803" s="187">
        <v>53000</v>
      </c>
      <c r="P2803" s="187">
        <v>34</v>
      </c>
      <c r="Q2803" s="187">
        <v>2380000</v>
      </c>
      <c r="R2803" s="187">
        <v>64300</v>
      </c>
      <c r="S2803" s="187">
        <v>53000</v>
      </c>
      <c r="T2803" s="187">
        <v>34</v>
      </c>
      <c r="U2803" s="187">
        <v>3820000</v>
      </c>
      <c r="V2803" s="188"/>
    </row>
    <row r="2804" spans="1:22">
      <c r="A2804" s="178" t="s">
        <v>5412</v>
      </c>
      <c r="B2804" s="178" t="s">
        <v>5412</v>
      </c>
      <c r="C2804" s="187">
        <v>18.100000000000001</v>
      </c>
      <c r="D2804" s="187">
        <v>2300</v>
      </c>
      <c r="E2804" s="188">
        <v>90</v>
      </c>
      <c r="F2804" s="188">
        <v>90</v>
      </c>
      <c r="G2804" s="187">
        <v>7.1</v>
      </c>
      <c r="H2804" s="187">
        <v>7.1</v>
      </c>
      <c r="I2804" s="187">
        <v>7.1</v>
      </c>
      <c r="J2804" s="188"/>
      <c r="K2804" s="187">
        <v>9.68</v>
      </c>
      <c r="L2804" s="187">
        <v>9.68</v>
      </c>
      <c r="M2804" s="187">
        <v>2600000</v>
      </c>
      <c r="N2804" s="187">
        <v>70800</v>
      </c>
      <c r="O2804" s="187">
        <v>57700</v>
      </c>
      <c r="P2804" s="187">
        <v>33.6</v>
      </c>
      <c r="Q2804" s="187">
        <v>2600000</v>
      </c>
      <c r="R2804" s="187">
        <v>70800</v>
      </c>
      <c r="S2804" s="187">
        <v>57700</v>
      </c>
      <c r="T2804" s="187">
        <v>33.6</v>
      </c>
      <c r="U2804" s="187">
        <v>4190000</v>
      </c>
      <c r="V2804" s="188"/>
    </row>
    <row r="2805" spans="1:22">
      <c r="A2805" s="190" t="s">
        <v>5413</v>
      </c>
      <c r="B2805" s="190" t="s">
        <v>5413</v>
      </c>
      <c r="C2805" s="187">
        <v>20.100000000000001</v>
      </c>
      <c r="D2805" s="187">
        <v>2560</v>
      </c>
      <c r="E2805" s="188">
        <v>90</v>
      </c>
      <c r="F2805" s="188">
        <v>90</v>
      </c>
      <c r="G2805" s="187">
        <v>8</v>
      </c>
      <c r="H2805" s="187">
        <v>8</v>
      </c>
      <c r="I2805" s="187">
        <v>8</v>
      </c>
      <c r="J2805" s="188"/>
      <c r="K2805" s="187">
        <v>8.25</v>
      </c>
      <c r="L2805" s="187">
        <v>8.25</v>
      </c>
      <c r="M2805" s="187">
        <v>2810000</v>
      </c>
      <c r="N2805" s="187">
        <v>77600</v>
      </c>
      <c r="O2805" s="187">
        <v>62600</v>
      </c>
      <c r="P2805" s="187">
        <v>33.199999999999996</v>
      </c>
      <c r="Q2805" s="187">
        <v>2810000</v>
      </c>
      <c r="R2805" s="187">
        <v>77600</v>
      </c>
      <c r="S2805" s="187">
        <v>62600</v>
      </c>
      <c r="T2805" s="187">
        <v>33.199999999999996</v>
      </c>
      <c r="U2805" s="187">
        <v>4590000</v>
      </c>
      <c r="V2805" s="188"/>
    </row>
    <row r="2806" spans="1:22">
      <c r="A2806" s="178" t="s">
        <v>5414</v>
      </c>
      <c r="B2806" s="178" t="s">
        <v>5414</v>
      </c>
      <c r="C2806" s="187">
        <v>21.8</v>
      </c>
      <c r="D2806" s="187">
        <v>2780</v>
      </c>
      <c r="E2806" s="188">
        <v>90</v>
      </c>
      <c r="F2806" s="188">
        <v>90</v>
      </c>
      <c r="G2806" s="187">
        <v>8.8000000000000007</v>
      </c>
      <c r="H2806" s="187">
        <v>8.8000000000000007</v>
      </c>
      <c r="I2806" s="187">
        <v>8.8000000000000007</v>
      </c>
      <c r="J2806" s="188"/>
      <c r="K2806" s="187">
        <v>7.23</v>
      </c>
      <c r="L2806" s="187">
        <v>7.23</v>
      </c>
      <c r="M2806" s="187">
        <v>2990000</v>
      </c>
      <c r="N2806" s="187">
        <v>83400</v>
      </c>
      <c r="O2806" s="187">
        <v>66500</v>
      </c>
      <c r="P2806" s="187">
        <v>32.799999999999997</v>
      </c>
      <c r="Q2806" s="187">
        <v>2990000</v>
      </c>
      <c r="R2806" s="187">
        <v>83400</v>
      </c>
      <c r="S2806" s="187">
        <v>66500</v>
      </c>
      <c r="T2806" s="187">
        <v>32.799999999999997</v>
      </c>
      <c r="U2806" s="187">
        <v>4920000</v>
      </c>
      <c r="V2806" s="188"/>
    </row>
    <row r="2807" spans="1:22">
      <c r="A2807" s="178" t="s">
        <v>5415</v>
      </c>
      <c r="B2807" s="178" t="s">
        <v>5415</v>
      </c>
      <c r="C2807" s="187">
        <v>24.3</v>
      </c>
      <c r="D2807" s="187">
        <v>3090</v>
      </c>
      <c r="E2807" s="188">
        <v>90</v>
      </c>
      <c r="F2807" s="188">
        <v>90</v>
      </c>
      <c r="G2807" s="187">
        <v>10</v>
      </c>
      <c r="H2807" s="187">
        <v>10</v>
      </c>
      <c r="I2807" s="187">
        <v>10</v>
      </c>
      <c r="J2807" s="188"/>
      <c r="K2807" s="187">
        <v>6</v>
      </c>
      <c r="L2807" s="187">
        <v>6</v>
      </c>
      <c r="M2807" s="187">
        <v>3220000</v>
      </c>
      <c r="N2807" s="187">
        <v>91300</v>
      </c>
      <c r="O2807" s="187">
        <v>71600</v>
      </c>
      <c r="P2807" s="187">
        <v>32.299999999999997</v>
      </c>
      <c r="Q2807" s="187">
        <v>3220000</v>
      </c>
      <c r="R2807" s="187">
        <v>91300</v>
      </c>
      <c r="S2807" s="187">
        <v>71600</v>
      </c>
      <c r="T2807" s="187">
        <v>32.299999999999997</v>
      </c>
      <c r="U2807" s="187">
        <v>5360000</v>
      </c>
      <c r="V2807" s="188"/>
    </row>
    <row r="2808" spans="1:22">
      <c r="A2808" s="178" t="s">
        <v>5416</v>
      </c>
      <c r="B2808" s="178" t="s">
        <v>5416</v>
      </c>
      <c r="C2808" s="187">
        <v>10.8</v>
      </c>
      <c r="D2808" s="187">
        <v>1370</v>
      </c>
      <c r="E2808" s="188">
        <v>100</v>
      </c>
      <c r="F2808" s="188">
        <v>100</v>
      </c>
      <c r="G2808" s="187">
        <v>3.6</v>
      </c>
      <c r="H2808" s="187">
        <v>3.6</v>
      </c>
      <c r="I2808" s="187">
        <v>3.6</v>
      </c>
      <c r="J2808" s="188"/>
      <c r="K2808" s="187">
        <v>24.8</v>
      </c>
      <c r="L2808" s="187">
        <v>24.8</v>
      </c>
      <c r="M2808" s="187">
        <v>2120000</v>
      </c>
      <c r="N2808" s="187">
        <v>49500</v>
      </c>
      <c r="O2808" s="187">
        <v>42300</v>
      </c>
      <c r="P2808" s="187">
        <v>39.200000000000003</v>
      </c>
      <c r="Q2808" s="187">
        <v>2120000</v>
      </c>
      <c r="R2808" s="187">
        <v>49500</v>
      </c>
      <c r="S2808" s="187">
        <v>42300</v>
      </c>
      <c r="T2808" s="187">
        <v>39.200000000000003</v>
      </c>
      <c r="U2808" s="187">
        <v>3280000</v>
      </c>
      <c r="V2808" s="188"/>
    </row>
    <row r="2809" spans="1:22">
      <c r="A2809" s="178" t="s">
        <v>5417</v>
      </c>
      <c r="B2809" s="178" t="s">
        <v>5417</v>
      </c>
      <c r="C2809" s="187">
        <v>11.9</v>
      </c>
      <c r="D2809" s="187">
        <v>1520</v>
      </c>
      <c r="E2809" s="188">
        <v>100</v>
      </c>
      <c r="F2809" s="188">
        <v>100</v>
      </c>
      <c r="G2809" s="187">
        <v>4</v>
      </c>
      <c r="H2809" s="187">
        <v>4</v>
      </c>
      <c r="I2809" s="187">
        <v>4</v>
      </c>
      <c r="J2809" s="188"/>
      <c r="K2809" s="187">
        <v>22</v>
      </c>
      <c r="L2809" s="187">
        <v>22</v>
      </c>
      <c r="M2809" s="187">
        <v>2320000</v>
      </c>
      <c r="N2809" s="187">
        <v>54400</v>
      </c>
      <c r="O2809" s="187">
        <v>46400</v>
      </c>
      <c r="P2809" s="187">
        <v>39.1</v>
      </c>
      <c r="Q2809" s="187">
        <v>2320000</v>
      </c>
      <c r="R2809" s="187">
        <v>54400</v>
      </c>
      <c r="S2809" s="187">
        <v>46400</v>
      </c>
      <c r="T2809" s="187">
        <v>39.1</v>
      </c>
      <c r="U2809" s="187">
        <v>3610000</v>
      </c>
      <c r="V2809" s="188"/>
    </row>
    <row r="2810" spans="1:22">
      <c r="A2810" s="178" t="s">
        <v>5418</v>
      </c>
      <c r="B2810" s="178" t="s">
        <v>5418</v>
      </c>
      <c r="C2810" s="187">
        <v>14.7</v>
      </c>
      <c r="D2810" s="187">
        <v>1870</v>
      </c>
      <c r="E2810" s="188">
        <v>100</v>
      </c>
      <c r="F2810" s="188">
        <v>100</v>
      </c>
      <c r="G2810" s="187">
        <v>5</v>
      </c>
      <c r="H2810" s="187">
        <v>5</v>
      </c>
      <c r="I2810" s="187">
        <v>5</v>
      </c>
      <c r="J2810" s="188"/>
      <c r="K2810" s="187">
        <v>17</v>
      </c>
      <c r="L2810" s="187">
        <v>17</v>
      </c>
      <c r="M2810" s="187">
        <v>2790000</v>
      </c>
      <c r="N2810" s="187">
        <v>66400</v>
      </c>
      <c r="O2810" s="187">
        <v>55900</v>
      </c>
      <c r="P2810" s="187">
        <v>38.6</v>
      </c>
      <c r="Q2810" s="187">
        <v>2790000</v>
      </c>
      <c r="R2810" s="187">
        <v>66400</v>
      </c>
      <c r="S2810" s="187">
        <v>55900</v>
      </c>
      <c r="T2810" s="187">
        <v>38.6</v>
      </c>
      <c r="U2810" s="187">
        <v>4390000</v>
      </c>
      <c r="V2810" s="188"/>
    </row>
    <row r="2811" spans="1:22">
      <c r="A2811" s="178" t="s">
        <v>5419</v>
      </c>
      <c r="B2811" s="178" t="s">
        <v>5419</v>
      </c>
      <c r="C2811" s="187">
        <v>16.3</v>
      </c>
      <c r="D2811" s="187">
        <v>2080</v>
      </c>
      <c r="E2811" s="188">
        <v>100</v>
      </c>
      <c r="F2811" s="188">
        <v>100</v>
      </c>
      <c r="G2811" s="187">
        <v>5.6</v>
      </c>
      <c r="H2811" s="187">
        <v>5.6</v>
      </c>
      <c r="I2811" s="187">
        <v>5.6</v>
      </c>
      <c r="J2811" s="188"/>
      <c r="K2811" s="187">
        <v>14.9</v>
      </c>
      <c r="L2811" s="187">
        <v>14.9</v>
      </c>
      <c r="M2811" s="187">
        <v>3060000</v>
      </c>
      <c r="N2811" s="187">
        <v>73200</v>
      </c>
      <c r="O2811" s="187">
        <v>61200</v>
      </c>
      <c r="P2811" s="187">
        <v>38.4</v>
      </c>
      <c r="Q2811" s="187">
        <v>3060000</v>
      </c>
      <c r="R2811" s="187">
        <v>73200</v>
      </c>
      <c r="S2811" s="187">
        <v>61200</v>
      </c>
      <c r="T2811" s="187">
        <v>38.4</v>
      </c>
      <c r="U2811" s="187">
        <v>4840000</v>
      </c>
      <c r="V2811" s="188"/>
    </row>
    <row r="2812" spans="1:22">
      <c r="A2812" s="178" t="s">
        <v>5420</v>
      </c>
      <c r="B2812" s="178" t="s">
        <v>5420</v>
      </c>
      <c r="C2812" s="187">
        <v>18.2</v>
      </c>
      <c r="D2812" s="187">
        <v>2320</v>
      </c>
      <c r="E2812" s="188">
        <v>100</v>
      </c>
      <c r="F2812" s="188">
        <v>100</v>
      </c>
      <c r="G2812" s="187">
        <v>6.3</v>
      </c>
      <c r="H2812" s="187">
        <v>6.3</v>
      </c>
      <c r="I2812" s="187">
        <v>6.3</v>
      </c>
      <c r="J2812" s="188"/>
      <c r="K2812" s="187">
        <v>12.9</v>
      </c>
      <c r="L2812" s="187">
        <v>12.9</v>
      </c>
      <c r="M2812" s="187">
        <v>3360000</v>
      </c>
      <c r="N2812" s="187">
        <v>80900</v>
      </c>
      <c r="O2812" s="187">
        <v>67100</v>
      </c>
      <c r="P2812" s="187">
        <v>38</v>
      </c>
      <c r="Q2812" s="187">
        <v>3360000</v>
      </c>
      <c r="R2812" s="187">
        <v>80900</v>
      </c>
      <c r="S2812" s="187">
        <v>67100</v>
      </c>
      <c r="T2812" s="187">
        <v>38</v>
      </c>
      <c r="U2812" s="187">
        <v>5340000</v>
      </c>
      <c r="V2812" s="188"/>
    </row>
    <row r="2813" spans="1:22">
      <c r="A2813" s="178" t="s">
        <v>5421</v>
      </c>
      <c r="B2813" s="178" t="s">
        <v>5421</v>
      </c>
      <c r="C2813" s="187">
        <v>20.3</v>
      </c>
      <c r="D2813" s="187">
        <v>2580</v>
      </c>
      <c r="E2813" s="188">
        <v>100</v>
      </c>
      <c r="F2813" s="188">
        <v>100</v>
      </c>
      <c r="G2813" s="187">
        <v>7.1</v>
      </c>
      <c r="H2813" s="187">
        <v>7.1</v>
      </c>
      <c r="I2813" s="187">
        <v>7.1</v>
      </c>
      <c r="J2813" s="188"/>
      <c r="K2813" s="187">
        <v>11.1</v>
      </c>
      <c r="L2813" s="187">
        <v>11.1</v>
      </c>
      <c r="M2813" s="187">
        <v>3670000</v>
      </c>
      <c r="N2813" s="187">
        <v>89200</v>
      </c>
      <c r="O2813" s="187">
        <v>73400</v>
      </c>
      <c r="P2813" s="187">
        <v>37.700000000000003</v>
      </c>
      <c r="Q2813" s="187">
        <v>3670000</v>
      </c>
      <c r="R2813" s="187">
        <v>89200</v>
      </c>
      <c r="S2813" s="187">
        <v>73400</v>
      </c>
      <c r="T2813" s="187">
        <v>37.700000000000003</v>
      </c>
      <c r="U2813" s="187">
        <v>5890000</v>
      </c>
      <c r="V2813" s="188"/>
    </row>
    <row r="2814" spans="1:22">
      <c r="A2814" s="178" t="s">
        <v>5422</v>
      </c>
      <c r="B2814" s="178" t="s">
        <v>5422</v>
      </c>
      <c r="C2814" s="187">
        <v>22.6</v>
      </c>
      <c r="D2814" s="187">
        <v>2880</v>
      </c>
      <c r="E2814" s="188">
        <v>100</v>
      </c>
      <c r="F2814" s="188">
        <v>100</v>
      </c>
      <c r="G2814" s="187">
        <v>8</v>
      </c>
      <c r="H2814" s="187">
        <v>8</v>
      </c>
      <c r="I2814" s="187">
        <v>8</v>
      </c>
      <c r="J2814" s="188"/>
      <c r="K2814" s="187">
        <v>9.5</v>
      </c>
      <c r="L2814" s="187">
        <v>9.5</v>
      </c>
      <c r="M2814" s="187">
        <v>4000000</v>
      </c>
      <c r="N2814" s="187">
        <v>98200</v>
      </c>
      <c r="O2814" s="187">
        <v>79900</v>
      </c>
      <c r="P2814" s="187">
        <v>37.299999999999997</v>
      </c>
      <c r="Q2814" s="187">
        <v>4000000</v>
      </c>
      <c r="R2814" s="187">
        <v>98200</v>
      </c>
      <c r="S2814" s="187">
        <v>79900</v>
      </c>
      <c r="T2814" s="187">
        <v>37.299999999999997</v>
      </c>
      <c r="U2814" s="187">
        <v>6460000</v>
      </c>
      <c r="V2814" s="188"/>
    </row>
    <row r="2815" spans="1:22">
      <c r="A2815" s="178" t="s">
        <v>5423</v>
      </c>
      <c r="B2815" s="178" t="s">
        <v>5423</v>
      </c>
      <c r="C2815" s="187">
        <v>24.5</v>
      </c>
      <c r="D2815" s="187">
        <v>3130</v>
      </c>
      <c r="E2815" s="188">
        <v>100</v>
      </c>
      <c r="F2815" s="188">
        <v>100</v>
      </c>
      <c r="G2815" s="187">
        <v>8.8000000000000007</v>
      </c>
      <c r="H2815" s="187">
        <v>8.8000000000000007</v>
      </c>
      <c r="I2815" s="187">
        <v>8.8000000000000007</v>
      </c>
      <c r="J2815" s="188"/>
      <c r="K2815" s="187">
        <v>8.36</v>
      </c>
      <c r="L2815" s="187">
        <v>8.36</v>
      </c>
      <c r="M2815" s="187">
        <v>4260000</v>
      </c>
      <c r="N2815" s="187">
        <v>106000</v>
      </c>
      <c r="O2815" s="187">
        <v>85200</v>
      </c>
      <c r="P2815" s="187">
        <v>36.9</v>
      </c>
      <c r="Q2815" s="187">
        <v>4260000</v>
      </c>
      <c r="R2815" s="187">
        <v>106000</v>
      </c>
      <c r="S2815" s="187">
        <v>85200</v>
      </c>
      <c r="T2815" s="187">
        <v>36.9</v>
      </c>
      <c r="U2815" s="187">
        <v>6940000</v>
      </c>
      <c r="V2815" s="188"/>
    </row>
    <row r="2816" spans="1:22">
      <c r="A2816" s="178" t="s">
        <v>5424</v>
      </c>
      <c r="B2816" s="178" t="s">
        <v>5424</v>
      </c>
      <c r="C2816" s="187">
        <v>27.4</v>
      </c>
      <c r="D2816" s="187">
        <v>3490</v>
      </c>
      <c r="E2816" s="188">
        <v>100</v>
      </c>
      <c r="F2816" s="188">
        <v>100</v>
      </c>
      <c r="G2816" s="187">
        <v>10</v>
      </c>
      <c r="H2816" s="187">
        <v>10</v>
      </c>
      <c r="I2816" s="187">
        <v>10</v>
      </c>
      <c r="J2816" s="188"/>
      <c r="K2816" s="187">
        <v>7</v>
      </c>
      <c r="L2816" s="187">
        <v>7</v>
      </c>
      <c r="M2816" s="187">
        <v>4620000</v>
      </c>
      <c r="N2816" s="187">
        <v>116000</v>
      </c>
      <c r="O2816" s="187">
        <v>92400</v>
      </c>
      <c r="P2816" s="187">
        <v>36.4</v>
      </c>
      <c r="Q2816" s="187">
        <v>4620000</v>
      </c>
      <c r="R2816" s="187">
        <v>116000</v>
      </c>
      <c r="S2816" s="187">
        <v>92400</v>
      </c>
      <c r="T2816" s="187">
        <v>36.4</v>
      </c>
      <c r="U2816" s="187">
        <v>7610000</v>
      </c>
      <c r="V2816" s="188"/>
    </row>
    <row r="2817" spans="1:22">
      <c r="A2817" s="178" t="s">
        <v>5425</v>
      </c>
      <c r="B2817" s="178" t="s">
        <v>5425</v>
      </c>
      <c r="C2817" s="187">
        <v>14.4</v>
      </c>
      <c r="D2817" s="187">
        <v>1839.9999999999998</v>
      </c>
      <c r="E2817" s="188">
        <v>120</v>
      </c>
      <c r="F2817" s="188">
        <v>120</v>
      </c>
      <c r="G2817" s="187">
        <v>4</v>
      </c>
      <c r="H2817" s="187">
        <v>4</v>
      </c>
      <c r="I2817" s="187">
        <v>4</v>
      </c>
      <c r="J2817" s="188"/>
      <c r="K2817" s="187">
        <v>27</v>
      </c>
      <c r="L2817" s="187">
        <v>27</v>
      </c>
      <c r="M2817" s="187">
        <v>4100000</v>
      </c>
      <c r="N2817" s="187">
        <v>79700</v>
      </c>
      <c r="O2817" s="187">
        <v>68400</v>
      </c>
      <c r="P2817" s="187">
        <v>47.199999999999996</v>
      </c>
      <c r="Q2817" s="187">
        <v>4100000</v>
      </c>
      <c r="R2817" s="187">
        <v>79700</v>
      </c>
      <c r="S2817" s="187">
        <v>68400</v>
      </c>
      <c r="T2817" s="187">
        <v>47.199999999999996</v>
      </c>
      <c r="U2817" s="187">
        <v>6350000</v>
      </c>
      <c r="V2817" s="188"/>
    </row>
    <row r="2818" spans="1:22">
      <c r="A2818" s="178" t="s">
        <v>5426</v>
      </c>
      <c r="B2818" s="178" t="s">
        <v>5426</v>
      </c>
      <c r="C2818" s="187">
        <v>17.8</v>
      </c>
      <c r="D2818" s="187">
        <v>2270</v>
      </c>
      <c r="E2818" s="188">
        <v>120</v>
      </c>
      <c r="F2818" s="188">
        <v>120</v>
      </c>
      <c r="G2818" s="187">
        <v>5</v>
      </c>
      <c r="H2818" s="187">
        <v>5</v>
      </c>
      <c r="I2818" s="187">
        <v>5</v>
      </c>
      <c r="J2818" s="188"/>
      <c r="K2818" s="187">
        <v>21</v>
      </c>
      <c r="L2818" s="187">
        <v>21</v>
      </c>
      <c r="M2818" s="187">
        <v>4980000</v>
      </c>
      <c r="N2818" s="187">
        <v>97600</v>
      </c>
      <c r="O2818" s="187">
        <v>83000</v>
      </c>
      <c r="P2818" s="187">
        <v>46.8</v>
      </c>
      <c r="Q2818" s="187">
        <v>4980000</v>
      </c>
      <c r="R2818" s="187">
        <v>97600</v>
      </c>
      <c r="S2818" s="187">
        <v>83000</v>
      </c>
      <c r="T2818" s="187">
        <v>46.8</v>
      </c>
      <c r="U2818" s="187">
        <v>7770000</v>
      </c>
      <c r="V2818" s="188"/>
    </row>
    <row r="2819" spans="1:22">
      <c r="A2819" s="178" t="s">
        <v>5427</v>
      </c>
      <c r="B2819" s="178" t="s">
        <v>5427</v>
      </c>
      <c r="C2819" s="187">
        <v>19.899999999999999</v>
      </c>
      <c r="D2819" s="187">
        <v>2530</v>
      </c>
      <c r="E2819" s="188">
        <v>120</v>
      </c>
      <c r="F2819" s="188">
        <v>120</v>
      </c>
      <c r="G2819" s="187">
        <v>5.6</v>
      </c>
      <c r="H2819" s="187">
        <v>5.6</v>
      </c>
      <c r="I2819" s="187">
        <v>5.6</v>
      </c>
      <c r="J2819" s="188"/>
      <c r="K2819" s="187">
        <v>18.399999999999999</v>
      </c>
      <c r="L2819" s="187">
        <v>18.399999999999999</v>
      </c>
      <c r="M2819" s="187">
        <v>5470000</v>
      </c>
      <c r="N2819" s="187">
        <v>108000</v>
      </c>
      <c r="O2819" s="187">
        <v>91200</v>
      </c>
      <c r="P2819" s="187">
        <v>46.5</v>
      </c>
      <c r="Q2819" s="187">
        <v>5470000</v>
      </c>
      <c r="R2819" s="187">
        <v>108000</v>
      </c>
      <c r="S2819" s="187">
        <v>91200</v>
      </c>
      <c r="T2819" s="187">
        <v>46.5</v>
      </c>
      <c r="U2819" s="187">
        <v>8580000</v>
      </c>
      <c r="V2819" s="188"/>
    </row>
    <row r="2820" spans="1:22">
      <c r="A2820" s="190" t="s">
        <v>5428</v>
      </c>
      <c r="B2820" s="190" t="s">
        <v>5428</v>
      </c>
      <c r="C2820" s="187">
        <v>22.2</v>
      </c>
      <c r="D2820" s="187">
        <v>2820</v>
      </c>
      <c r="E2820" s="188">
        <v>120</v>
      </c>
      <c r="F2820" s="188">
        <v>120</v>
      </c>
      <c r="G2820" s="187">
        <v>6.3</v>
      </c>
      <c r="H2820" s="187">
        <v>6.3</v>
      </c>
      <c r="I2820" s="187">
        <v>6.3</v>
      </c>
      <c r="J2820" s="188"/>
      <c r="K2820" s="187">
        <v>16</v>
      </c>
      <c r="L2820" s="187">
        <v>16</v>
      </c>
      <c r="M2820" s="187">
        <v>6030000</v>
      </c>
      <c r="N2820" s="187">
        <v>120000</v>
      </c>
      <c r="O2820" s="187">
        <v>100000</v>
      </c>
      <c r="P2820" s="187">
        <v>46.2</v>
      </c>
      <c r="Q2820" s="187">
        <v>6030000</v>
      </c>
      <c r="R2820" s="187">
        <v>120000</v>
      </c>
      <c r="S2820" s="187">
        <v>100000</v>
      </c>
      <c r="T2820" s="187">
        <v>46.2</v>
      </c>
      <c r="U2820" s="187">
        <v>9500000</v>
      </c>
      <c r="V2820" s="188"/>
    </row>
    <row r="2821" spans="1:22">
      <c r="A2821" s="178" t="s">
        <v>5429</v>
      </c>
      <c r="B2821" s="178" t="s">
        <v>5429</v>
      </c>
      <c r="C2821" s="187">
        <v>24.7</v>
      </c>
      <c r="D2821" s="187">
        <v>3150</v>
      </c>
      <c r="E2821" s="188">
        <v>120</v>
      </c>
      <c r="F2821" s="188">
        <v>120</v>
      </c>
      <c r="G2821" s="187">
        <v>7.1</v>
      </c>
      <c r="H2821" s="187">
        <v>7.1</v>
      </c>
      <c r="I2821" s="187">
        <v>7.1</v>
      </c>
      <c r="J2821" s="188"/>
      <c r="K2821" s="187">
        <v>13.9</v>
      </c>
      <c r="L2821" s="187">
        <v>13.9</v>
      </c>
      <c r="M2821" s="187">
        <v>6630000</v>
      </c>
      <c r="N2821" s="187">
        <v>133000</v>
      </c>
      <c r="O2821" s="187">
        <v>110000</v>
      </c>
      <c r="P2821" s="187">
        <v>45.9</v>
      </c>
      <c r="Q2821" s="187">
        <v>6630000</v>
      </c>
      <c r="R2821" s="187">
        <v>133000</v>
      </c>
      <c r="S2821" s="187">
        <v>110000</v>
      </c>
      <c r="T2821" s="187">
        <v>45.9</v>
      </c>
      <c r="U2821" s="187">
        <v>10500000</v>
      </c>
      <c r="V2821" s="188"/>
    </row>
    <row r="2822" spans="1:22">
      <c r="A2822" s="178" t="s">
        <v>5430</v>
      </c>
      <c r="B2822" s="178" t="s">
        <v>5430</v>
      </c>
      <c r="C2822" s="187">
        <v>27.6</v>
      </c>
      <c r="D2822" s="187">
        <v>3520.0000000000005</v>
      </c>
      <c r="E2822" s="188">
        <v>120</v>
      </c>
      <c r="F2822" s="188">
        <v>120</v>
      </c>
      <c r="G2822" s="187">
        <v>8</v>
      </c>
      <c r="H2822" s="187">
        <v>8</v>
      </c>
      <c r="I2822" s="187">
        <v>8</v>
      </c>
      <c r="J2822" s="188"/>
      <c r="K2822" s="187">
        <v>12</v>
      </c>
      <c r="L2822" s="187">
        <v>12</v>
      </c>
      <c r="M2822" s="187">
        <v>7260000</v>
      </c>
      <c r="N2822" s="187">
        <v>146000</v>
      </c>
      <c r="O2822" s="187">
        <v>121000</v>
      </c>
      <c r="P2822" s="187">
        <v>45.5</v>
      </c>
      <c r="Q2822" s="187">
        <v>7260000</v>
      </c>
      <c r="R2822" s="187">
        <v>146000</v>
      </c>
      <c r="S2822" s="187">
        <v>121000</v>
      </c>
      <c r="T2822" s="187">
        <v>45.5</v>
      </c>
      <c r="U2822" s="187">
        <v>11600000</v>
      </c>
      <c r="V2822" s="188"/>
    </row>
    <row r="2823" spans="1:22">
      <c r="A2823" s="178" t="s">
        <v>5431</v>
      </c>
      <c r="B2823" s="178" t="s">
        <v>5431</v>
      </c>
      <c r="C2823" s="187">
        <v>30.1</v>
      </c>
      <c r="D2823" s="187">
        <v>3829.9999999999995</v>
      </c>
      <c r="E2823" s="188">
        <v>120</v>
      </c>
      <c r="F2823" s="188">
        <v>120</v>
      </c>
      <c r="G2823" s="187">
        <v>8.8000000000000007</v>
      </c>
      <c r="H2823" s="187">
        <v>8.8000000000000007</v>
      </c>
      <c r="I2823" s="187">
        <v>8.8000000000000007</v>
      </c>
      <c r="J2823" s="188"/>
      <c r="K2823" s="187">
        <v>10.6</v>
      </c>
      <c r="L2823" s="187">
        <v>10.6</v>
      </c>
      <c r="M2823" s="187">
        <v>7790000</v>
      </c>
      <c r="N2823" s="187">
        <v>158000</v>
      </c>
      <c r="O2823" s="187">
        <v>130000</v>
      </c>
      <c r="P2823" s="187">
        <v>45.099999999999994</v>
      </c>
      <c r="Q2823" s="187">
        <v>7790000</v>
      </c>
      <c r="R2823" s="187">
        <v>158000</v>
      </c>
      <c r="S2823" s="187">
        <v>130000</v>
      </c>
      <c r="T2823" s="187">
        <v>45.099999999999994</v>
      </c>
      <c r="U2823" s="187">
        <v>12500000</v>
      </c>
      <c r="V2823" s="188"/>
    </row>
    <row r="2824" spans="1:22">
      <c r="A2824" s="178" t="s">
        <v>5432</v>
      </c>
      <c r="B2824" s="178" t="s">
        <v>5432</v>
      </c>
      <c r="C2824" s="187">
        <v>33.700000000000003</v>
      </c>
      <c r="D2824" s="187">
        <v>4290</v>
      </c>
      <c r="E2824" s="188">
        <v>120</v>
      </c>
      <c r="F2824" s="188">
        <v>120</v>
      </c>
      <c r="G2824" s="187">
        <v>10</v>
      </c>
      <c r="H2824" s="187">
        <v>10</v>
      </c>
      <c r="I2824" s="187">
        <v>10</v>
      </c>
      <c r="J2824" s="188"/>
      <c r="K2824" s="187">
        <v>9</v>
      </c>
      <c r="L2824" s="187">
        <v>9</v>
      </c>
      <c r="M2824" s="187">
        <v>8520000</v>
      </c>
      <c r="N2824" s="187">
        <v>175000</v>
      </c>
      <c r="O2824" s="187">
        <v>142000</v>
      </c>
      <c r="P2824" s="187">
        <v>44.6</v>
      </c>
      <c r="Q2824" s="187">
        <v>8520000</v>
      </c>
      <c r="R2824" s="187">
        <v>175000</v>
      </c>
      <c r="S2824" s="187">
        <v>142000</v>
      </c>
      <c r="T2824" s="187">
        <v>44.6</v>
      </c>
      <c r="U2824" s="187">
        <v>13800000</v>
      </c>
      <c r="V2824" s="188"/>
    </row>
    <row r="2825" spans="1:22">
      <c r="A2825" s="178" t="s">
        <v>5433</v>
      </c>
      <c r="B2825" s="178" t="s">
        <v>5433</v>
      </c>
      <c r="C2825" s="187">
        <v>36.6</v>
      </c>
      <c r="D2825" s="187">
        <v>4670</v>
      </c>
      <c r="E2825" s="188">
        <v>120</v>
      </c>
      <c r="F2825" s="188">
        <v>120</v>
      </c>
      <c r="G2825" s="187">
        <v>11</v>
      </c>
      <c r="H2825" s="187">
        <v>11</v>
      </c>
      <c r="I2825" s="187">
        <v>11</v>
      </c>
      <c r="J2825" s="188"/>
      <c r="K2825" s="187">
        <v>7.91</v>
      </c>
      <c r="L2825" s="187">
        <v>7.91</v>
      </c>
      <c r="M2825" s="187">
        <v>9080000</v>
      </c>
      <c r="N2825" s="187">
        <v>188000</v>
      </c>
      <c r="O2825" s="187">
        <v>151000</v>
      </c>
      <c r="P2825" s="187">
        <v>44.1</v>
      </c>
      <c r="Q2825" s="187">
        <v>9080000</v>
      </c>
      <c r="R2825" s="187">
        <v>188000</v>
      </c>
      <c r="S2825" s="187">
        <v>151000</v>
      </c>
      <c r="T2825" s="187">
        <v>44.1</v>
      </c>
      <c r="U2825" s="187">
        <v>14800000</v>
      </c>
      <c r="V2825" s="188"/>
    </row>
    <row r="2826" spans="1:22">
      <c r="A2826" s="178" t="s">
        <v>5434</v>
      </c>
      <c r="B2826" s="178" t="s">
        <v>5434</v>
      </c>
      <c r="C2826" s="187">
        <v>40.9</v>
      </c>
      <c r="D2826" s="187">
        <v>5210</v>
      </c>
      <c r="E2826" s="188">
        <v>120</v>
      </c>
      <c r="F2826" s="188">
        <v>120</v>
      </c>
      <c r="G2826" s="187">
        <v>12.5</v>
      </c>
      <c r="H2826" s="187">
        <v>12.5</v>
      </c>
      <c r="I2826" s="187">
        <v>12.5</v>
      </c>
      <c r="J2826" s="188"/>
      <c r="K2826" s="187">
        <v>6.6</v>
      </c>
      <c r="L2826" s="187">
        <v>6.6</v>
      </c>
      <c r="M2826" s="187">
        <v>9820000</v>
      </c>
      <c r="N2826" s="187">
        <v>207000</v>
      </c>
      <c r="O2826" s="187">
        <v>164000</v>
      </c>
      <c r="P2826" s="187">
        <v>43.4</v>
      </c>
      <c r="Q2826" s="187">
        <v>9820000</v>
      </c>
      <c r="R2826" s="187">
        <v>207000</v>
      </c>
      <c r="S2826" s="187">
        <v>164000</v>
      </c>
      <c r="T2826" s="187">
        <v>43.4</v>
      </c>
      <c r="U2826" s="187">
        <v>16200000</v>
      </c>
      <c r="V2826" s="188"/>
    </row>
    <row r="2827" spans="1:22">
      <c r="A2827" s="178" t="s">
        <v>5435</v>
      </c>
      <c r="B2827" s="178" t="s">
        <v>5435</v>
      </c>
      <c r="C2827" s="187">
        <v>21</v>
      </c>
      <c r="D2827" s="187">
        <v>2670</v>
      </c>
      <c r="E2827" s="188">
        <v>140</v>
      </c>
      <c r="F2827" s="188">
        <v>140</v>
      </c>
      <c r="G2827" s="187">
        <v>5</v>
      </c>
      <c r="H2827" s="187">
        <v>5</v>
      </c>
      <c r="I2827" s="187">
        <v>5</v>
      </c>
      <c r="J2827" s="188"/>
      <c r="K2827" s="187">
        <v>25</v>
      </c>
      <c r="L2827" s="187">
        <v>25</v>
      </c>
      <c r="M2827" s="187">
        <v>8070000</v>
      </c>
      <c r="N2827" s="187">
        <v>135000</v>
      </c>
      <c r="O2827" s="187">
        <v>115000</v>
      </c>
      <c r="P2827" s="187">
        <v>55</v>
      </c>
      <c r="Q2827" s="187">
        <v>8070000</v>
      </c>
      <c r="R2827" s="187">
        <v>135000</v>
      </c>
      <c r="S2827" s="187">
        <v>115000</v>
      </c>
      <c r="T2827" s="187">
        <v>55</v>
      </c>
      <c r="U2827" s="187">
        <v>12500000</v>
      </c>
      <c r="V2827" s="188"/>
    </row>
    <row r="2828" spans="1:22">
      <c r="A2828" s="178" t="s">
        <v>5436</v>
      </c>
      <c r="B2828" s="178" t="s">
        <v>5436</v>
      </c>
      <c r="C2828" s="187">
        <v>23.4</v>
      </c>
      <c r="D2828" s="187">
        <v>2980</v>
      </c>
      <c r="E2828" s="188">
        <v>140</v>
      </c>
      <c r="F2828" s="188">
        <v>140</v>
      </c>
      <c r="G2828" s="187">
        <v>5.6</v>
      </c>
      <c r="H2828" s="187">
        <v>5.6</v>
      </c>
      <c r="I2828" s="187">
        <v>5.6</v>
      </c>
      <c r="J2828" s="188"/>
      <c r="K2828" s="187">
        <v>22</v>
      </c>
      <c r="L2828" s="187">
        <v>22</v>
      </c>
      <c r="M2828" s="187">
        <v>8910000</v>
      </c>
      <c r="N2828" s="187">
        <v>149000</v>
      </c>
      <c r="O2828" s="187">
        <v>127000</v>
      </c>
      <c r="P2828" s="187">
        <v>54.699999999999996</v>
      </c>
      <c r="Q2828" s="187">
        <v>8910000</v>
      </c>
      <c r="R2828" s="187">
        <v>149000</v>
      </c>
      <c r="S2828" s="187">
        <v>127000</v>
      </c>
      <c r="T2828" s="187">
        <v>54.699999999999996</v>
      </c>
      <c r="U2828" s="187">
        <v>13900000</v>
      </c>
      <c r="V2828" s="188"/>
    </row>
    <row r="2829" spans="1:22">
      <c r="A2829" s="178" t="s">
        <v>5437</v>
      </c>
      <c r="B2829" s="178" t="s">
        <v>5437</v>
      </c>
      <c r="C2829" s="187">
        <v>26.1</v>
      </c>
      <c r="D2829" s="187">
        <v>3329.9999999999995</v>
      </c>
      <c r="E2829" s="188">
        <v>140</v>
      </c>
      <c r="F2829" s="188">
        <v>140</v>
      </c>
      <c r="G2829" s="187">
        <v>6.3</v>
      </c>
      <c r="H2829" s="187">
        <v>6.3</v>
      </c>
      <c r="I2829" s="187">
        <v>6.3</v>
      </c>
      <c r="J2829" s="188"/>
      <c r="K2829" s="187">
        <v>19.2</v>
      </c>
      <c r="L2829" s="187">
        <v>19.2</v>
      </c>
      <c r="M2829" s="187">
        <v>9840000</v>
      </c>
      <c r="N2829" s="187">
        <v>166000</v>
      </c>
      <c r="O2829" s="187">
        <v>141000</v>
      </c>
      <c r="P2829" s="187">
        <v>54.400000000000006</v>
      </c>
      <c r="Q2829" s="187">
        <v>9840000</v>
      </c>
      <c r="R2829" s="187">
        <v>166000</v>
      </c>
      <c r="S2829" s="187">
        <v>141000</v>
      </c>
      <c r="T2829" s="187">
        <v>54.400000000000006</v>
      </c>
      <c r="U2829" s="187">
        <v>15400000</v>
      </c>
      <c r="V2829" s="188"/>
    </row>
    <row r="2830" spans="1:22">
      <c r="A2830" s="178" t="s">
        <v>5438</v>
      </c>
      <c r="B2830" s="178" t="s">
        <v>5438</v>
      </c>
      <c r="C2830" s="187">
        <v>29.2</v>
      </c>
      <c r="D2830" s="187">
        <v>3720.0000000000005</v>
      </c>
      <c r="E2830" s="188">
        <v>140</v>
      </c>
      <c r="F2830" s="188">
        <v>140</v>
      </c>
      <c r="G2830" s="187">
        <v>7.1</v>
      </c>
      <c r="H2830" s="187">
        <v>7.1</v>
      </c>
      <c r="I2830" s="187">
        <v>7.1</v>
      </c>
      <c r="J2830" s="188"/>
      <c r="K2830" s="187">
        <v>16.7</v>
      </c>
      <c r="L2830" s="187">
        <v>16.7</v>
      </c>
      <c r="M2830" s="187">
        <v>10900000</v>
      </c>
      <c r="N2830" s="187">
        <v>184000</v>
      </c>
      <c r="O2830" s="187">
        <v>155000</v>
      </c>
      <c r="P2830" s="187">
        <v>54</v>
      </c>
      <c r="Q2830" s="187">
        <v>10900000</v>
      </c>
      <c r="R2830" s="187">
        <v>184000</v>
      </c>
      <c r="S2830" s="187">
        <v>155000</v>
      </c>
      <c r="T2830" s="187">
        <v>54</v>
      </c>
      <c r="U2830" s="187">
        <v>17100000</v>
      </c>
      <c r="V2830" s="188"/>
    </row>
    <row r="2831" spans="1:22">
      <c r="A2831" s="178" t="s">
        <v>5439</v>
      </c>
      <c r="B2831" s="178" t="s">
        <v>5439</v>
      </c>
      <c r="C2831" s="187">
        <v>32.6</v>
      </c>
      <c r="D2831" s="187">
        <v>4160</v>
      </c>
      <c r="E2831" s="188">
        <v>140</v>
      </c>
      <c r="F2831" s="188">
        <v>140</v>
      </c>
      <c r="G2831" s="187">
        <v>8</v>
      </c>
      <c r="H2831" s="187">
        <v>8</v>
      </c>
      <c r="I2831" s="187">
        <v>8</v>
      </c>
      <c r="J2831" s="188"/>
      <c r="K2831" s="187">
        <v>14.5</v>
      </c>
      <c r="L2831" s="187">
        <v>14.5</v>
      </c>
      <c r="M2831" s="187">
        <v>12000000</v>
      </c>
      <c r="N2831" s="187">
        <v>204000</v>
      </c>
      <c r="O2831" s="187">
        <v>171000</v>
      </c>
      <c r="P2831" s="187">
        <v>53.6</v>
      </c>
      <c r="Q2831" s="187">
        <v>12000000</v>
      </c>
      <c r="R2831" s="187">
        <v>204000</v>
      </c>
      <c r="S2831" s="187">
        <v>171000</v>
      </c>
      <c r="T2831" s="187">
        <v>53.6</v>
      </c>
      <c r="U2831" s="187">
        <v>18900000</v>
      </c>
      <c r="V2831" s="188"/>
    </row>
    <row r="2832" spans="1:22">
      <c r="A2832" s="178" t="s">
        <v>5440</v>
      </c>
      <c r="B2832" s="178" t="s">
        <v>5440</v>
      </c>
      <c r="C2832" s="187">
        <v>35.6</v>
      </c>
      <c r="D2832" s="187">
        <v>4540</v>
      </c>
      <c r="E2832" s="188">
        <v>140</v>
      </c>
      <c r="F2832" s="188">
        <v>140</v>
      </c>
      <c r="G2832" s="187">
        <v>8.8000000000000007</v>
      </c>
      <c r="H2832" s="187">
        <v>8.8000000000000007</v>
      </c>
      <c r="I2832" s="187">
        <v>8.8000000000000007</v>
      </c>
      <c r="J2832" s="188"/>
      <c r="K2832" s="187">
        <v>12.9</v>
      </c>
      <c r="L2832" s="187">
        <v>12.9</v>
      </c>
      <c r="M2832" s="187">
        <v>12900000</v>
      </c>
      <c r="N2832" s="187">
        <v>221000</v>
      </c>
      <c r="O2832" s="187">
        <v>184000</v>
      </c>
      <c r="P2832" s="187">
        <v>53.3</v>
      </c>
      <c r="Q2832" s="187">
        <v>12900000</v>
      </c>
      <c r="R2832" s="187">
        <v>221000</v>
      </c>
      <c r="S2832" s="187">
        <v>184000</v>
      </c>
      <c r="T2832" s="187">
        <v>53.3</v>
      </c>
      <c r="U2832" s="187">
        <v>20500000</v>
      </c>
      <c r="V2832" s="188"/>
    </row>
    <row r="2833" spans="1:22">
      <c r="A2833" s="178" t="s">
        <v>5441</v>
      </c>
      <c r="B2833" s="178" t="s">
        <v>5441</v>
      </c>
      <c r="C2833" s="187">
        <v>40</v>
      </c>
      <c r="D2833" s="187">
        <v>5090</v>
      </c>
      <c r="E2833" s="188">
        <v>140</v>
      </c>
      <c r="F2833" s="188">
        <v>140</v>
      </c>
      <c r="G2833" s="187">
        <v>10</v>
      </c>
      <c r="H2833" s="187">
        <v>10</v>
      </c>
      <c r="I2833" s="187">
        <v>10</v>
      </c>
      <c r="J2833" s="188"/>
      <c r="K2833" s="187">
        <v>11</v>
      </c>
      <c r="L2833" s="187">
        <v>11</v>
      </c>
      <c r="M2833" s="187">
        <v>14200000</v>
      </c>
      <c r="N2833" s="187">
        <v>246000</v>
      </c>
      <c r="O2833" s="187">
        <v>202000</v>
      </c>
      <c r="P2833" s="187">
        <v>52.699999999999996</v>
      </c>
      <c r="Q2833" s="187">
        <v>14200000</v>
      </c>
      <c r="R2833" s="187">
        <v>246000</v>
      </c>
      <c r="S2833" s="187">
        <v>202000</v>
      </c>
      <c r="T2833" s="187">
        <v>52.699999999999996</v>
      </c>
      <c r="U2833" s="187">
        <v>22700000</v>
      </c>
      <c r="V2833" s="188"/>
    </row>
    <row r="2834" spans="1:22">
      <c r="A2834" s="178" t="s">
        <v>5441</v>
      </c>
      <c r="B2834" s="178" t="s">
        <v>5441</v>
      </c>
      <c r="C2834" s="187">
        <v>43.5</v>
      </c>
      <c r="D2834" s="187">
        <v>5550</v>
      </c>
      <c r="E2834" s="188">
        <v>140</v>
      </c>
      <c r="F2834" s="188">
        <v>140</v>
      </c>
      <c r="G2834" s="187">
        <v>11</v>
      </c>
      <c r="H2834" s="187">
        <v>11</v>
      </c>
      <c r="I2834" s="187">
        <v>11</v>
      </c>
      <c r="J2834" s="188"/>
      <c r="K2834" s="187">
        <v>9.73</v>
      </c>
      <c r="L2834" s="187">
        <v>9.73</v>
      </c>
      <c r="M2834" s="187">
        <v>15200000</v>
      </c>
      <c r="N2834" s="187">
        <v>266000</v>
      </c>
      <c r="O2834" s="187">
        <v>217000</v>
      </c>
      <c r="P2834" s="187">
        <v>52.300000000000004</v>
      </c>
      <c r="Q2834" s="187">
        <v>15200000</v>
      </c>
      <c r="R2834" s="187">
        <v>266000</v>
      </c>
      <c r="S2834" s="187">
        <v>217000</v>
      </c>
      <c r="T2834" s="187">
        <v>52.300000000000004</v>
      </c>
      <c r="U2834" s="187">
        <v>24500000</v>
      </c>
      <c r="V2834" s="188"/>
    </row>
    <row r="2835" spans="1:22">
      <c r="A2835" s="178" t="s">
        <v>5442</v>
      </c>
      <c r="B2835" s="178" t="s">
        <v>5442</v>
      </c>
      <c r="C2835" s="187">
        <v>48.7</v>
      </c>
      <c r="D2835" s="187">
        <v>6210</v>
      </c>
      <c r="E2835" s="188">
        <v>140</v>
      </c>
      <c r="F2835" s="188">
        <v>140</v>
      </c>
      <c r="G2835" s="187">
        <v>12.5</v>
      </c>
      <c r="H2835" s="187">
        <v>12.5</v>
      </c>
      <c r="I2835" s="187">
        <v>12.5</v>
      </c>
      <c r="J2835" s="188"/>
      <c r="K2835" s="187">
        <v>8.1999999999999993</v>
      </c>
      <c r="L2835" s="187">
        <v>8.1999999999999993</v>
      </c>
      <c r="M2835" s="187">
        <v>16500000</v>
      </c>
      <c r="N2835" s="187">
        <v>293000</v>
      </c>
      <c r="O2835" s="187">
        <v>236000</v>
      </c>
      <c r="P2835" s="187">
        <v>51.6</v>
      </c>
      <c r="Q2835" s="187">
        <v>16500000</v>
      </c>
      <c r="R2835" s="187">
        <v>293000</v>
      </c>
      <c r="S2835" s="187">
        <v>236000</v>
      </c>
      <c r="T2835" s="187">
        <v>51.6</v>
      </c>
      <c r="U2835" s="187">
        <v>27000000</v>
      </c>
      <c r="V2835" s="188"/>
    </row>
    <row r="2836" spans="1:22">
      <c r="A2836" s="178" t="s">
        <v>5443</v>
      </c>
      <c r="B2836" s="178" t="s">
        <v>5443</v>
      </c>
      <c r="C2836" s="187">
        <v>54.4</v>
      </c>
      <c r="D2836" s="187">
        <v>6930</v>
      </c>
      <c r="E2836" s="188">
        <v>140</v>
      </c>
      <c r="F2836" s="188">
        <v>140</v>
      </c>
      <c r="G2836" s="187">
        <v>14.2</v>
      </c>
      <c r="H2836" s="187">
        <v>14.2</v>
      </c>
      <c r="I2836" s="187">
        <v>14.2</v>
      </c>
      <c r="J2836" s="188"/>
      <c r="K2836" s="187">
        <v>6.86</v>
      </c>
      <c r="L2836" s="187">
        <v>6.86</v>
      </c>
      <c r="M2836" s="187">
        <v>17900000</v>
      </c>
      <c r="N2836" s="187">
        <v>322000</v>
      </c>
      <c r="O2836" s="187">
        <v>256000</v>
      </c>
      <c r="P2836" s="187">
        <v>50.8</v>
      </c>
      <c r="Q2836" s="187">
        <v>17900000</v>
      </c>
      <c r="R2836" s="187">
        <v>322000</v>
      </c>
      <c r="S2836" s="187">
        <v>256000</v>
      </c>
      <c r="T2836" s="187">
        <v>50.8</v>
      </c>
      <c r="U2836" s="187">
        <v>29500000</v>
      </c>
      <c r="V2836" s="188"/>
    </row>
    <row r="2837" spans="1:22">
      <c r="A2837" s="178" t="s">
        <v>5444</v>
      </c>
      <c r="B2837" s="178" t="s">
        <v>5444</v>
      </c>
      <c r="C2837" s="187">
        <v>60.1</v>
      </c>
      <c r="D2837" s="187">
        <v>7659.9999999999991</v>
      </c>
      <c r="E2837" s="188">
        <v>140</v>
      </c>
      <c r="F2837" s="188">
        <v>140</v>
      </c>
      <c r="G2837" s="187">
        <v>16</v>
      </c>
      <c r="H2837" s="187">
        <v>16</v>
      </c>
      <c r="I2837" s="187">
        <v>16</v>
      </c>
      <c r="J2837" s="188"/>
      <c r="K2837" s="187">
        <v>5.75</v>
      </c>
      <c r="L2837" s="187">
        <v>5.75</v>
      </c>
      <c r="M2837" s="187">
        <v>19200000</v>
      </c>
      <c r="N2837" s="187">
        <v>350000</v>
      </c>
      <c r="O2837" s="187">
        <v>274000</v>
      </c>
      <c r="P2837" s="187">
        <v>50</v>
      </c>
      <c r="Q2837" s="187">
        <v>19200000</v>
      </c>
      <c r="R2837" s="187">
        <v>350000</v>
      </c>
      <c r="S2837" s="187">
        <v>274000</v>
      </c>
      <c r="T2837" s="187">
        <v>50</v>
      </c>
      <c r="U2837" s="187">
        <v>32000000</v>
      </c>
      <c r="V2837" s="188"/>
    </row>
    <row r="2838" spans="1:22">
      <c r="A2838" s="178" t="s">
        <v>5445</v>
      </c>
      <c r="B2838" s="178" t="s">
        <v>5445</v>
      </c>
      <c r="C2838" s="187">
        <v>22.6</v>
      </c>
      <c r="D2838" s="187">
        <v>2870</v>
      </c>
      <c r="E2838" s="188">
        <v>150</v>
      </c>
      <c r="F2838" s="188">
        <v>150</v>
      </c>
      <c r="G2838" s="187">
        <v>5</v>
      </c>
      <c r="H2838" s="187">
        <v>5</v>
      </c>
      <c r="I2838" s="187">
        <v>5</v>
      </c>
      <c r="J2838" s="188"/>
      <c r="K2838" s="187">
        <v>27</v>
      </c>
      <c r="L2838" s="187">
        <v>27</v>
      </c>
      <c r="M2838" s="187">
        <v>10000000</v>
      </c>
      <c r="N2838" s="187">
        <v>156000</v>
      </c>
      <c r="O2838" s="187">
        <v>134000</v>
      </c>
      <c r="P2838" s="187">
        <v>59</v>
      </c>
      <c r="Q2838" s="187">
        <v>10000000</v>
      </c>
      <c r="R2838" s="187">
        <v>156000</v>
      </c>
      <c r="S2838" s="187">
        <v>134000</v>
      </c>
      <c r="T2838" s="187">
        <v>59</v>
      </c>
      <c r="U2838" s="187">
        <v>15500000</v>
      </c>
      <c r="V2838" s="188"/>
    </row>
    <row r="2839" spans="1:22">
      <c r="A2839" s="178" t="s">
        <v>5446</v>
      </c>
      <c r="B2839" s="178" t="s">
        <v>5446</v>
      </c>
      <c r="C2839" s="187">
        <v>25.1</v>
      </c>
      <c r="D2839" s="187">
        <v>3200</v>
      </c>
      <c r="E2839" s="188">
        <v>150</v>
      </c>
      <c r="F2839" s="188">
        <v>150</v>
      </c>
      <c r="G2839" s="187">
        <v>5.6</v>
      </c>
      <c r="H2839" s="187">
        <v>5.6</v>
      </c>
      <c r="I2839" s="187">
        <v>5.6</v>
      </c>
      <c r="J2839" s="188"/>
      <c r="K2839" s="187">
        <v>23.8</v>
      </c>
      <c r="L2839" s="187">
        <v>23.8</v>
      </c>
      <c r="M2839" s="187">
        <v>11100000</v>
      </c>
      <c r="N2839" s="187">
        <v>173000</v>
      </c>
      <c r="O2839" s="187">
        <v>147000</v>
      </c>
      <c r="P2839" s="187">
        <v>58.8</v>
      </c>
      <c r="Q2839" s="187">
        <v>11100000</v>
      </c>
      <c r="R2839" s="187">
        <v>173000</v>
      </c>
      <c r="S2839" s="187">
        <v>147000</v>
      </c>
      <c r="T2839" s="187">
        <v>58.8</v>
      </c>
      <c r="U2839" s="187">
        <v>17200000</v>
      </c>
      <c r="V2839" s="188"/>
    </row>
    <row r="2840" spans="1:22">
      <c r="A2840" s="178" t="s">
        <v>5447</v>
      </c>
      <c r="B2840" s="178" t="s">
        <v>5447</v>
      </c>
      <c r="C2840" s="187">
        <v>28.1</v>
      </c>
      <c r="D2840" s="187">
        <v>3579.9999999999995</v>
      </c>
      <c r="E2840" s="188">
        <v>150</v>
      </c>
      <c r="F2840" s="188">
        <v>150</v>
      </c>
      <c r="G2840" s="187">
        <v>6.3</v>
      </c>
      <c r="H2840" s="187">
        <v>6.3</v>
      </c>
      <c r="I2840" s="187">
        <v>6.3</v>
      </c>
      <c r="J2840" s="188"/>
      <c r="K2840" s="187">
        <v>20.8</v>
      </c>
      <c r="L2840" s="187">
        <v>20.8</v>
      </c>
      <c r="M2840" s="187">
        <v>12200000</v>
      </c>
      <c r="N2840" s="187">
        <v>192000</v>
      </c>
      <c r="O2840" s="187">
        <v>163000</v>
      </c>
      <c r="P2840" s="187">
        <v>58.5</v>
      </c>
      <c r="Q2840" s="187">
        <v>12200000</v>
      </c>
      <c r="R2840" s="187">
        <v>192000</v>
      </c>
      <c r="S2840" s="187">
        <v>163000</v>
      </c>
      <c r="T2840" s="187">
        <v>58.5</v>
      </c>
      <c r="U2840" s="187">
        <v>19100000</v>
      </c>
      <c r="V2840" s="188"/>
    </row>
    <row r="2841" spans="1:22">
      <c r="A2841" s="178" t="s">
        <v>5448</v>
      </c>
      <c r="B2841" s="178" t="s">
        <v>5448</v>
      </c>
      <c r="C2841" s="187">
        <v>31.4</v>
      </c>
      <c r="D2841" s="187">
        <v>4000</v>
      </c>
      <c r="E2841" s="188">
        <v>150</v>
      </c>
      <c r="F2841" s="188">
        <v>150</v>
      </c>
      <c r="G2841" s="187">
        <v>7.1</v>
      </c>
      <c r="H2841" s="187">
        <v>7.1</v>
      </c>
      <c r="I2841" s="187">
        <v>7.1</v>
      </c>
      <c r="J2841" s="188"/>
      <c r="K2841" s="187">
        <v>18.100000000000001</v>
      </c>
      <c r="L2841" s="187">
        <v>18.100000000000001</v>
      </c>
      <c r="M2841" s="187">
        <v>13500000</v>
      </c>
      <c r="N2841" s="187">
        <v>213000</v>
      </c>
      <c r="O2841" s="187">
        <v>180000</v>
      </c>
      <c r="P2841" s="187">
        <v>58.099999999999994</v>
      </c>
      <c r="Q2841" s="187">
        <v>13500000</v>
      </c>
      <c r="R2841" s="187">
        <v>213000</v>
      </c>
      <c r="S2841" s="187">
        <v>180000</v>
      </c>
      <c r="T2841" s="187">
        <v>58.099999999999994</v>
      </c>
      <c r="U2841" s="187">
        <v>21200000</v>
      </c>
      <c r="V2841" s="188"/>
    </row>
    <row r="2842" spans="1:22">
      <c r="A2842" s="178" t="s">
        <v>5449</v>
      </c>
      <c r="B2842" s="178" t="s">
        <v>5449</v>
      </c>
      <c r="C2842" s="187">
        <v>35.1</v>
      </c>
      <c r="D2842" s="187">
        <v>4480</v>
      </c>
      <c r="E2842" s="188">
        <v>150</v>
      </c>
      <c r="F2842" s="188">
        <v>150</v>
      </c>
      <c r="G2842" s="187">
        <v>8</v>
      </c>
      <c r="H2842" s="187">
        <v>8</v>
      </c>
      <c r="I2842" s="187">
        <v>8</v>
      </c>
      <c r="J2842" s="188"/>
      <c r="K2842" s="187">
        <v>15.8</v>
      </c>
      <c r="L2842" s="187">
        <v>15.8</v>
      </c>
      <c r="M2842" s="187">
        <v>14900000</v>
      </c>
      <c r="N2842" s="187">
        <v>237000</v>
      </c>
      <c r="O2842" s="187">
        <v>199000</v>
      </c>
      <c r="P2842" s="187">
        <v>57.699999999999996</v>
      </c>
      <c r="Q2842" s="187">
        <v>14900000</v>
      </c>
      <c r="R2842" s="187">
        <v>237000</v>
      </c>
      <c r="S2842" s="187">
        <v>199000</v>
      </c>
      <c r="T2842" s="187">
        <v>57.699999999999996</v>
      </c>
      <c r="U2842" s="187">
        <v>23500000</v>
      </c>
      <c r="V2842" s="188"/>
    </row>
    <row r="2843" spans="1:22">
      <c r="A2843" s="178" t="s">
        <v>5450</v>
      </c>
      <c r="B2843" s="178" t="s">
        <v>5450</v>
      </c>
      <c r="C2843" s="187">
        <v>38.4</v>
      </c>
      <c r="D2843" s="187">
        <v>4890</v>
      </c>
      <c r="E2843" s="188">
        <v>150</v>
      </c>
      <c r="F2843" s="188">
        <v>150</v>
      </c>
      <c r="G2843" s="187">
        <v>8.8000000000000007</v>
      </c>
      <c r="H2843" s="187">
        <v>8.8000000000000007</v>
      </c>
      <c r="I2843" s="187">
        <v>8.8000000000000007</v>
      </c>
      <c r="J2843" s="188"/>
      <c r="K2843" s="187">
        <v>14</v>
      </c>
      <c r="L2843" s="187">
        <v>14</v>
      </c>
      <c r="M2843" s="187">
        <v>16100000</v>
      </c>
      <c r="N2843" s="187">
        <v>257000</v>
      </c>
      <c r="O2843" s="187">
        <v>214000</v>
      </c>
      <c r="P2843" s="187">
        <v>57.400000000000006</v>
      </c>
      <c r="Q2843" s="187">
        <v>16100000</v>
      </c>
      <c r="R2843" s="187">
        <v>257000</v>
      </c>
      <c r="S2843" s="187">
        <v>214000</v>
      </c>
      <c r="T2843" s="187">
        <v>57.400000000000006</v>
      </c>
      <c r="U2843" s="187">
        <v>25500000</v>
      </c>
      <c r="V2843" s="188"/>
    </row>
    <row r="2844" spans="1:22">
      <c r="A2844" s="178" t="s">
        <v>4819</v>
      </c>
      <c r="B2844" s="178" t="s">
        <v>4819</v>
      </c>
      <c r="C2844" s="187">
        <v>43.1</v>
      </c>
      <c r="D2844" s="187">
        <v>5490</v>
      </c>
      <c r="E2844" s="188">
        <v>150</v>
      </c>
      <c r="F2844" s="188">
        <v>150</v>
      </c>
      <c r="G2844" s="187">
        <v>10</v>
      </c>
      <c r="H2844" s="187">
        <v>10</v>
      </c>
      <c r="I2844" s="187">
        <v>10</v>
      </c>
      <c r="J2844" s="188"/>
      <c r="K2844" s="187">
        <v>12</v>
      </c>
      <c r="L2844" s="187">
        <v>12</v>
      </c>
      <c r="M2844" s="187">
        <v>17700000</v>
      </c>
      <c r="N2844" s="187">
        <v>286000</v>
      </c>
      <c r="O2844" s="187">
        <v>236000</v>
      </c>
      <c r="P2844" s="187">
        <v>56.8</v>
      </c>
      <c r="Q2844" s="187">
        <v>17700000</v>
      </c>
      <c r="R2844" s="187">
        <v>286000</v>
      </c>
      <c r="S2844" s="187">
        <v>236000</v>
      </c>
      <c r="T2844" s="187">
        <v>56.8</v>
      </c>
      <c r="U2844" s="187">
        <v>28300000</v>
      </c>
      <c r="V2844" s="188"/>
    </row>
    <row r="2845" spans="1:22">
      <c r="A2845" s="178" t="s">
        <v>5451</v>
      </c>
      <c r="B2845" s="178" t="s">
        <v>5451</v>
      </c>
      <c r="C2845" s="187">
        <v>47</v>
      </c>
      <c r="D2845" s="187">
        <v>5990</v>
      </c>
      <c r="E2845" s="188">
        <v>150</v>
      </c>
      <c r="F2845" s="188">
        <v>150</v>
      </c>
      <c r="G2845" s="187">
        <v>11</v>
      </c>
      <c r="H2845" s="187">
        <v>11</v>
      </c>
      <c r="I2845" s="187">
        <v>11</v>
      </c>
      <c r="J2845" s="188"/>
      <c r="K2845" s="187">
        <v>10.6</v>
      </c>
      <c r="L2845" s="187">
        <v>10.6</v>
      </c>
      <c r="M2845" s="187">
        <v>19000000</v>
      </c>
      <c r="N2845" s="187">
        <v>309000</v>
      </c>
      <c r="O2845" s="187">
        <v>254000</v>
      </c>
      <c r="P2845" s="187">
        <v>56.4</v>
      </c>
      <c r="Q2845" s="187">
        <v>19000000</v>
      </c>
      <c r="R2845" s="187">
        <v>309000</v>
      </c>
      <c r="S2845" s="187">
        <v>254000</v>
      </c>
      <c r="T2845" s="187">
        <v>56.4</v>
      </c>
      <c r="U2845" s="187">
        <v>30600000</v>
      </c>
      <c r="V2845" s="188"/>
    </row>
    <row r="2846" spans="1:22">
      <c r="A2846" s="178" t="s">
        <v>5452</v>
      </c>
      <c r="B2846" s="178" t="s">
        <v>5452</v>
      </c>
      <c r="C2846" s="187">
        <v>52.7</v>
      </c>
      <c r="D2846" s="187">
        <v>6709.9999999999991</v>
      </c>
      <c r="E2846" s="188">
        <v>150</v>
      </c>
      <c r="F2846" s="188">
        <v>150</v>
      </c>
      <c r="G2846" s="187">
        <v>12.5</v>
      </c>
      <c r="H2846" s="187">
        <v>12.5</v>
      </c>
      <c r="I2846" s="187">
        <v>12.5</v>
      </c>
      <c r="J2846" s="188"/>
      <c r="K2846" s="187">
        <v>9</v>
      </c>
      <c r="L2846" s="187">
        <v>9</v>
      </c>
      <c r="M2846" s="187">
        <v>20800000</v>
      </c>
      <c r="N2846" s="187">
        <v>342000</v>
      </c>
      <c r="O2846" s="187">
        <v>277000</v>
      </c>
      <c r="P2846" s="187">
        <v>55.7</v>
      </c>
      <c r="Q2846" s="187">
        <v>20800000</v>
      </c>
      <c r="R2846" s="187">
        <v>342000</v>
      </c>
      <c r="S2846" s="187">
        <v>277000</v>
      </c>
      <c r="T2846" s="187">
        <v>55.7</v>
      </c>
      <c r="U2846" s="187">
        <v>33800000</v>
      </c>
      <c r="V2846" s="188"/>
    </row>
    <row r="2847" spans="1:22">
      <c r="A2847" s="178" t="s">
        <v>5453</v>
      </c>
      <c r="B2847" s="178" t="s">
        <v>5453</v>
      </c>
      <c r="C2847" s="187">
        <v>58.9</v>
      </c>
      <c r="D2847" s="187">
        <v>7500</v>
      </c>
      <c r="E2847" s="188">
        <v>150</v>
      </c>
      <c r="F2847" s="188">
        <v>150</v>
      </c>
      <c r="G2847" s="187">
        <v>14.2</v>
      </c>
      <c r="H2847" s="187">
        <v>14.2</v>
      </c>
      <c r="I2847" s="187">
        <v>14.2</v>
      </c>
      <c r="J2847" s="188"/>
      <c r="K2847" s="187">
        <v>7.56</v>
      </c>
      <c r="L2847" s="187">
        <v>7.56</v>
      </c>
      <c r="M2847" s="187">
        <v>22600000</v>
      </c>
      <c r="N2847" s="187">
        <v>377000</v>
      </c>
      <c r="O2847" s="187">
        <v>302000</v>
      </c>
      <c r="P2847" s="187">
        <v>54.900000000000006</v>
      </c>
      <c r="Q2847" s="187">
        <v>22600000</v>
      </c>
      <c r="R2847" s="187">
        <v>377000</v>
      </c>
      <c r="S2847" s="187">
        <v>302000</v>
      </c>
      <c r="T2847" s="187">
        <v>54.900000000000006</v>
      </c>
      <c r="U2847" s="187">
        <v>37100000</v>
      </c>
      <c r="V2847" s="188"/>
    </row>
    <row r="2848" spans="1:22">
      <c r="A2848" s="190" t="s">
        <v>5454</v>
      </c>
      <c r="B2848" s="190" t="s">
        <v>5454</v>
      </c>
      <c r="C2848" s="187">
        <v>65.2</v>
      </c>
      <c r="D2848" s="187">
        <v>8300</v>
      </c>
      <c r="E2848" s="188">
        <v>150</v>
      </c>
      <c r="F2848" s="188">
        <v>150</v>
      </c>
      <c r="G2848" s="187">
        <v>16</v>
      </c>
      <c r="H2848" s="187">
        <v>16</v>
      </c>
      <c r="I2848" s="187">
        <v>16</v>
      </c>
      <c r="J2848" s="188"/>
      <c r="K2848" s="187">
        <v>6.38</v>
      </c>
      <c r="L2848" s="187">
        <v>6.38</v>
      </c>
      <c r="M2848" s="187">
        <v>24300000</v>
      </c>
      <c r="N2848" s="187">
        <v>411000</v>
      </c>
      <c r="O2848" s="187">
        <v>324000</v>
      </c>
      <c r="P2848" s="187">
        <v>54.1</v>
      </c>
      <c r="Q2848" s="187">
        <v>24300000</v>
      </c>
      <c r="R2848" s="187">
        <v>411000</v>
      </c>
      <c r="S2848" s="187">
        <v>324000</v>
      </c>
      <c r="T2848" s="187">
        <v>54.1</v>
      </c>
      <c r="U2848" s="187">
        <v>40300000</v>
      </c>
      <c r="V2848" s="188"/>
    </row>
    <row r="2849" spans="1:22">
      <c r="A2849" s="190" t="s">
        <v>5468</v>
      </c>
      <c r="B2849" s="190" t="s">
        <v>5468</v>
      </c>
      <c r="C2849" s="187">
        <v>24.1</v>
      </c>
      <c r="D2849" s="187">
        <v>3070</v>
      </c>
      <c r="E2849" s="188">
        <v>160</v>
      </c>
      <c r="F2849" s="188">
        <v>160</v>
      </c>
      <c r="G2849" s="187">
        <v>5</v>
      </c>
      <c r="H2849" s="187">
        <v>5</v>
      </c>
      <c r="I2849" s="187">
        <v>5</v>
      </c>
      <c r="J2849" s="188"/>
      <c r="K2849" s="187">
        <v>29</v>
      </c>
      <c r="L2849" s="187">
        <v>29</v>
      </c>
      <c r="M2849" s="187">
        <v>12200000</v>
      </c>
      <c r="N2849" s="187">
        <v>178000</v>
      </c>
      <c r="O2849" s="187">
        <v>153000</v>
      </c>
      <c r="P2849" s="187">
        <v>63.099999999999994</v>
      </c>
      <c r="Q2849" s="187">
        <v>12200000</v>
      </c>
      <c r="R2849" s="187">
        <v>178000</v>
      </c>
      <c r="S2849" s="187">
        <v>153000</v>
      </c>
      <c r="T2849" s="187">
        <v>63.099999999999994</v>
      </c>
      <c r="U2849" s="187">
        <v>18900000</v>
      </c>
      <c r="V2849" s="188"/>
    </row>
    <row r="2850" spans="1:22">
      <c r="A2850" s="190" t="s">
        <v>5471</v>
      </c>
      <c r="B2850" s="190" t="s">
        <v>5471</v>
      </c>
      <c r="C2850" s="187">
        <v>26.9</v>
      </c>
      <c r="D2850" s="187">
        <v>3420.0000000000005</v>
      </c>
      <c r="E2850" s="188">
        <v>160</v>
      </c>
      <c r="F2850" s="188">
        <v>160</v>
      </c>
      <c r="G2850" s="187">
        <v>5.6</v>
      </c>
      <c r="H2850" s="187">
        <v>5.6</v>
      </c>
      <c r="I2850" s="187">
        <v>5.6</v>
      </c>
      <c r="J2850" s="188"/>
      <c r="K2850" s="187">
        <v>25.6</v>
      </c>
      <c r="L2850" s="187">
        <v>25.6</v>
      </c>
      <c r="M2850" s="187">
        <v>13500000</v>
      </c>
      <c r="N2850" s="187">
        <v>198000</v>
      </c>
      <c r="O2850" s="187">
        <v>169000</v>
      </c>
      <c r="P2850" s="187">
        <v>62.9</v>
      </c>
      <c r="Q2850" s="187">
        <v>13500000</v>
      </c>
      <c r="R2850" s="187">
        <v>198000</v>
      </c>
      <c r="S2850" s="187">
        <v>169000</v>
      </c>
      <c r="T2850" s="187">
        <v>62.9</v>
      </c>
      <c r="U2850" s="187">
        <v>21000000</v>
      </c>
      <c r="V2850" s="188"/>
    </row>
    <row r="2851" spans="1:22">
      <c r="A2851" s="190" t="s">
        <v>5472</v>
      </c>
      <c r="B2851" s="190" t="s">
        <v>5472</v>
      </c>
      <c r="C2851" s="187">
        <v>30.1</v>
      </c>
      <c r="D2851" s="187">
        <v>3829.9999999999995</v>
      </c>
      <c r="E2851" s="188">
        <v>160</v>
      </c>
      <c r="F2851" s="188">
        <v>160</v>
      </c>
      <c r="G2851" s="187">
        <v>6.3</v>
      </c>
      <c r="H2851" s="187">
        <v>6.3</v>
      </c>
      <c r="I2851" s="187">
        <v>6.3</v>
      </c>
      <c r="J2851" s="188"/>
      <c r="K2851" s="187">
        <v>22.4</v>
      </c>
      <c r="L2851" s="187">
        <v>22.4</v>
      </c>
      <c r="M2851" s="187">
        <v>15000000</v>
      </c>
      <c r="N2851" s="187">
        <v>220000</v>
      </c>
      <c r="O2851" s="187">
        <v>187000</v>
      </c>
      <c r="P2851" s="187">
        <v>62.599999999999994</v>
      </c>
      <c r="Q2851" s="187">
        <v>15000000</v>
      </c>
      <c r="R2851" s="187">
        <v>220000</v>
      </c>
      <c r="S2851" s="187">
        <v>187000</v>
      </c>
      <c r="T2851" s="187">
        <v>62.599999999999994</v>
      </c>
      <c r="U2851" s="187">
        <v>23300000</v>
      </c>
      <c r="V2851" s="188"/>
    </row>
    <row r="2852" spans="1:22">
      <c r="A2852" s="190" t="s">
        <v>5473</v>
      </c>
      <c r="B2852" s="190" t="s">
        <v>5473</v>
      </c>
      <c r="C2852" s="187">
        <v>33.700000000000003</v>
      </c>
      <c r="D2852" s="187">
        <v>4290</v>
      </c>
      <c r="E2852" s="188">
        <v>160</v>
      </c>
      <c r="F2852" s="188">
        <v>160</v>
      </c>
      <c r="G2852" s="187">
        <v>7.1</v>
      </c>
      <c r="H2852" s="187">
        <v>7.1</v>
      </c>
      <c r="I2852" s="187">
        <v>7.1</v>
      </c>
      <c r="J2852" s="188"/>
      <c r="K2852" s="187">
        <v>19.5</v>
      </c>
      <c r="L2852" s="187">
        <v>19.5</v>
      </c>
      <c r="M2852" s="187">
        <v>16600000</v>
      </c>
      <c r="N2852" s="187">
        <v>245000</v>
      </c>
      <c r="O2852" s="187">
        <v>207000</v>
      </c>
      <c r="P2852" s="187">
        <v>62.199999999999996</v>
      </c>
      <c r="Q2852" s="187">
        <v>16600000</v>
      </c>
      <c r="R2852" s="187">
        <v>245000</v>
      </c>
      <c r="S2852" s="187">
        <v>207000</v>
      </c>
      <c r="T2852" s="187">
        <v>62.199999999999996</v>
      </c>
      <c r="U2852" s="187">
        <v>26000000</v>
      </c>
      <c r="V2852" s="188"/>
    </row>
    <row r="2853" spans="1:22">
      <c r="A2853" s="190" t="s">
        <v>5469</v>
      </c>
      <c r="B2853" s="190" t="s">
        <v>5469</v>
      </c>
      <c r="C2853" s="187">
        <v>37.6</v>
      </c>
      <c r="D2853" s="187">
        <v>4800</v>
      </c>
      <c r="E2853" s="188">
        <v>160</v>
      </c>
      <c r="F2853" s="188">
        <v>160</v>
      </c>
      <c r="G2853" s="187">
        <v>8</v>
      </c>
      <c r="H2853" s="187">
        <v>8</v>
      </c>
      <c r="I2853" s="187">
        <v>8</v>
      </c>
      <c r="J2853" s="188"/>
      <c r="K2853" s="187">
        <v>17</v>
      </c>
      <c r="L2853" s="187">
        <v>17</v>
      </c>
      <c r="M2853" s="187">
        <v>18300000</v>
      </c>
      <c r="N2853" s="187">
        <v>272000</v>
      </c>
      <c r="O2853" s="187">
        <v>229000</v>
      </c>
      <c r="P2853" s="187">
        <v>61.8</v>
      </c>
      <c r="Q2853" s="187">
        <v>18300000</v>
      </c>
      <c r="R2853" s="187">
        <v>272000</v>
      </c>
      <c r="S2853" s="187">
        <v>229000</v>
      </c>
      <c r="T2853" s="187">
        <v>61.8</v>
      </c>
      <c r="U2853" s="187">
        <v>28800000</v>
      </c>
      <c r="V2853" s="188"/>
    </row>
    <row r="2854" spans="1:22">
      <c r="A2854" s="190" t="s">
        <v>5474</v>
      </c>
      <c r="B2854" s="190" t="s">
        <v>5474</v>
      </c>
      <c r="C2854" s="187">
        <v>41.1</v>
      </c>
      <c r="D2854" s="187">
        <v>5240</v>
      </c>
      <c r="E2854" s="188">
        <v>160</v>
      </c>
      <c r="F2854" s="188">
        <v>160</v>
      </c>
      <c r="G2854" s="187">
        <v>8.8000000000000007</v>
      </c>
      <c r="H2854" s="187">
        <v>8.8000000000000007</v>
      </c>
      <c r="I2854" s="187">
        <v>8.8000000000000007</v>
      </c>
      <c r="J2854" s="188"/>
      <c r="K2854" s="187">
        <v>15.2</v>
      </c>
      <c r="L2854" s="187">
        <v>15.2</v>
      </c>
      <c r="M2854" s="187">
        <v>19800000</v>
      </c>
      <c r="N2854" s="187">
        <v>295000</v>
      </c>
      <c r="O2854" s="187">
        <v>247000</v>
      </c>
      <c r="P2854" s="187">
        <v>61.4</v>
      </c>
      <c r="Q2854" s="187">
        <v>19800000</v>
      </c>
      <c r="R2854" s="187">
        <v>295000</v>
      </c>
      <c r="S2854" s="187">
        <v>247000</v>
      </c>
      <c r="T2854" s="187">
        <v>61.4</v>
      </c>
      <c r="U2854" s="187">
        <v>31200000</v>
      </c>
      <c r="V2854" s="188"/>
    </row>
    <row r="2855" spans="1:22">
      <c r="A2855" s="190" t="s">
        <v>5470</v>
      </c>
      <c r="B2855" s="190" t="s">
        <v>5470</v>
      </c>
      <c r="C2855" s="187">
        <v>46.3</v>
      </c>
      <c r="D2855" s="187">
        <v>5890</v>
      </c>
      <c r="E2855" s="188">
        <v>160</v>
      </c>
      <c r="F2855" s="188">
        <v>160</v>
      </c>
      <c r="G2855" s="187">
        <v>10</v>
      </c>
      <c r="H2855" s="187">
        <v>10</v>
      </c>
      <c r="I2855" s="187">
        <v>10</v>
      </c>
      <c r="J2855" s="188"/>
      <c r="K2855" s="187">
        <v>13</v>
      </c>
      <c r="L2855" s="187">
        <v>13</v>
      </c>
      <c r="M2855" s="187">
        <v>21900000</v>
      </c>
      <c r="N2855" s="187">
        <v>329000</v>
      </c>
      <c r="O2855" s="187">
        <v>273000</v>
      </c>
      <c r="P2855" s="187">
        <v>60.9</v>
      </c>
      <c r="Q2855" s="187">
        <v>21900000</v>
      </c>
      <c r="R2855" s="187">
        <v>329000</v>
      </c>
      <c r="S2855" s="187">
        <v>273000</v>
      </c>
      <c r="T2855" s="187">
        <v>60.9</v>
      </c>
      <c r="U2855" s="187">
        <v>34800000</v>
      </c>
      <c r="V2855" s="188"/>
    </row>
    <row r="2856" spans="1:22">
      <c r="A2856" s="190" t="s">
        <v>5470</v>
      </c>
      <c r="B2856" s="190" t="s">
        <v>5470</v>
      </c>
      <c r="C2856" s="187">
        <v>50.4</v>
      </c>
      <c r="D2856" s="187">
        <v>6430</v>
      </c>
      <c r="E2856" s="188">
        <v>160</v>
      </c>
      <c r="F2856" s="188">
        <v>160</v>
      </c>
      <c r="G2856" s="187">
        <v>11</v>
      </c>
      <c r="H2856" s="187">
        <v>11</v>
      </c>
      <c r="I2856" s="187">
        <v>11</v>
      </c>
      <c r="J2856" s="188"/>
      <c r="K2856" s="187">
        <v>11.5</v>
      </c>
      <c r="L2856" s="187">
        <v>11.5</v>
      </c>
      <c r="M2856" s="187">
        <v>23500000</v>
      </c>
      <c r="N2856" s="187">
        <v>356000</v>
      </c>
      <c r="O2856" s="187">
        <v>294000</v>
      </c>
      <c r="P2856" s="187">
        <v>60.5</v>
      </c>
      <c r="Q2856" s="187">
        <v>23500000</v>
      </c>
      <c r="R2856" s="187">
        <v>356000</v>
      </c>
      <c r="S2856" s="187">
        <v>294000</v>
      </c>
      <c r="T2856" s="187">
        <v>60.5</v>
      </c>
      <c r="U2856" s="187">
        <v>37600000</v>
      </c>
      <c r="V2856" s="188"/>
    </row>
    <row r="2857" spans="1:22">
      <c r="A2857" s="190" t="s">
        <v>5475</v>
      </c>
      <c r="B2857" s="190" t="s">
        <v>5475</v>
      </c>
      <c r="C2857" s="187">
        <v>56.6</v>
      </c>
      <c r="D2857" s="187">
        <v>7209.9999999999991</v>
      </c>
      <c r="E2857" s="188">
        <v>160</v>
      </c>
      <c r="F2857" s="188">
        <v>160</v>
      </c>
      <c r="G2857" s="187">
        <v>12.5</v>
      </c>
      <c r="H2857" s="187">
        <v>12.5</v>
      </c>
      <c r="I2857" s="187">
        <v>12.5</v>
      </c>
      <c r="J2857" s="188"/>
      <c r="K2857" s="187">
        <v>9.8000000000000007</v>
      </c>
      <c r="L2857" s="187">
        <v>9.8000000000000007</v>
      </c>
      <c r="M2857" s="187">
        <v>25800000</v>
      </c>
      <c r="N2857" s="187">
        <v>395000</v>
      </c>
      <c r="O2857" s="187">
        <v>322000</v>
      </c>
      <c r="P2857" s="187">
        <v>59.800000000000004</v>
      </c>
      <c r="Q2857" s="187">
        <v>25800000</v>
      </c>
      <c r="R2857" s="187">
        <v>395000</v>
      </c>
      <c r="S2857" s="187">
        <v>322000</v>
      </c>
      <c r="T2857" s="187">
        <v>59.800000000000004</v>
      </c>
      <c r="U2857" s="187">
        <v>41600000</v>
      </c>
      <c r="V2857" s="188"/>
    </row>
    <row r="2858" spans="1:22">
      <c r="A2858" s="190" t="s">
        <v>5476</v>
      </c>
      <c r="B2858" s="190" t="s">
        <v>5476</v>
      </c>
      <c r="C2858" s="187">
        <v>63.3</v>
      </c>
      <c r="D2858" s="187">
        <v>8070</v>
      </c>
      <c r="E2858" s="188">
        <v>160</v>
      </c>
      <c r="F2858" s="188">
        <v>160</v>
      </c>
      <c r="G2858" s="187">
        <v>14.2</v>
      </c>
      <c r="H2858" s="187">
        <v>14.2</v>
      </c>
      <c r="I2858" s="187">
        <v>14.2</v>
      </c>
      <c r="J2858" s="188"/>
      <c r="K2858" s="187">
        <v>8.27</v>
      </c>
      <c r="L2858" s="187">
        <v>8.27</v>
      </c>
      <c r="M2858" s="187">
        <v>28100000</v>
      </c>
      <c r="N2858" s="187">
        <v>436000</v>
      </c>
      <c r="O2858" s="187">
        <v>351000</v>
      </c>
      <c r="P2858" s="187">
        <v>59</v>
      </c>
      <c r="Q2858" s="187">
        <v>28100000</v>
      </c>
      <c r="R2858" s="187">
        <v>436000</v>
      </c>
      <c r="S2858" s="187">
        <v>351000</v>
      </c>
      <c r="T2858" s="187">
        <v>59</v>
      </c>
      <c r="U2858" s="187">
        <v>45800000</v>
      </c>
      <c r="V2858" s="188"/>
    </row>
    <row r="2859" spans="1:22">
      <c r="A2859" s="190" t="s">
        <v>5477</v>
      </c>
      <c r="B2859" s="190" t="s">
        <v>5477</v>
      </c>
      <c r="C2859" s="187">
        <v>70.2</v>
      </c>
      <c r="D2859" s="187">
        <v>8940</v>
      </c>
      <c r="E2859" s="188">
        <v>160</v>
      </c>
      <c r="F2859" s="188">
        <v>160</v>
      </c>
      <c r="G2859" s="187">
        <v>16</v>
      </c>
      <c r="H2859" s="187">
        <v>16</v>
      </c>
      <c r="I2859" s="187">
        <v>16</v>
      </c>
      <c r="J2859" s="188"/>
      <c r="K2859" s="187">
        <v>7</v>
      </c>
      <c r="L2859" s="187">
        <v>7</v>
      </c>
      <c r="M2859" s="187">
        <v>30300000</v>
      </c>
      <c r="N2859" s="187">
        <v>476000</v>
      </c>
      <c r="O2859" s="187">
        <v>379000</v>
      </c>
      <c r="P2859" s="187">
        <v>58.2</v>
      </c>
      <c r="Q2859" s="187">
        <v>30300000</v>
      </c>
      <c r="R2859" s="187">
        <v>476000</v>
      </c>
      <c r="S2859" s="187">
        <v>379000</v>
      </c>
      <c r="T2859" s="187">
        <v>58.2</v>
      </c>
      <c r="U2859" s="187">
        <v>49900000</v>
      </c>
      <c r="V2859" s="188"/>
    </row>
    <row r="2860" spans="1:22">
      <c r="A2860" s="190" t="s">
        <v>5478</v>
      </c>
      <c r="B2860" s="190" t="s">
        <v>5478</v>
      </c>
      <c r="C2860" s="187">
        <v>34</v>
      </c>
      <c r="D2860" s="187">
        <v>4330</v>
      </c>
      <c r="E2860" s="188">
        <v>180</v>
      </c>
      <c r="F2860" s="188">
        <v>180</v>
      </c>
      <c r="G2860" s="187">
        <v>6.3</v>
      </c>
      <c r="H2860" s="187">
        <v>6.3</v>
      </c>
      <c r="I2860" s="187">
        <v>6.3</v>
      </c>
      <c r="J2860" s="188"/>
      <c r="K2860" s="187">
        <v>25.6</v>
      </c>
      <c r="L2860" s="187">
        <v>25.6</v>
      </c>
      <c r="M2860" s="187">
        <v>21700000</v>
      </c>
      <c r="N2860" s="187">
        <v>281000</v>
      </c>
      <c r="O2860" s="187">
        <v>241000</v>
      </c>
      <c r="P2860" s="187">
        <v>70.7</v>
      </c>
      <c r="Q2860" s="187">
        <v>21700000</v>
      </c>
      <c r="R2860" s="187">
        <v>281000</v>
      </c>
      <c r="S2860" s="187">
        <v>241000</v>
      </c>
      <c r="T2860" s="187">
        <v>70.7</v>
      </c>
      <c r="U2860" s="187">
        <v>33600000</v>
      </c>
      <c r="V2860" s="188"/>
    </row>
    <row r="2861" spans="1:22">
      <c r="A2861" s="190" t="s">
        <v>5479</v>
      </c>
      <c r="B2861" s="190" t="s">
        <v>5479</v>
      </c>
      <c r="C2861" s="187">
        <v>38.1</v>
      </c>
      <c r="D2861" s="187">
        <v>4860</v>
      </c>
      <c r="E2861" s="188">
        <v>180</v>
      </c>
      <c r="F2861" s="188">
        <v>180</v>
      </c>
      <c r="G2861" s="187">
        <v>7.1</v>
      </c>
      <c r="H2861" s="187">
        <v>7.1</v>
      </c>
      <c r="I2861" s="187">
        <v>7.1</v>
      </c>
      <c r="J2861" s="188"/>
      <c r="K2861" s="187">
        <v>22.4</v>
      </c>
      <c r="L2861" s="187">
        <v>22.4</v>
      </c>
      <c r="M2861" s="187">
        <v>24000000</v>
      </c>
      <c r="N2861" s="187">
        <v>314000</v>
      </c>
      <c r="O2861" s="187">
        <v>267000</v>
      </c>
      <c r="P2861" s="187">
        <v>70.400000000000006</v>
      </c>
      <c r="Q2861" s="187">
        <v>24000000</v>
      </c>
      <c r="R2861" s="187">
        <v>314000</v>
      </c>
      <c r="S2861" s="187">
        <v>267000</v>
      </c>
      <c r="T2861" s="187">
        <v>70.400000000000006</v>
      </c>
      <c r="U2861" s="187">
        <v>37400000</v>
      </c>
      <c r="V2861" s="188"/>
    </row>
    <row r="2862" spans="1:22">
      <c r="A2862" s="190" t="s">
        <v>5480</v>
      </c>
      <c r="B2862" s="190" t="s">
        <v>5480</v>
      </c>
      <c r="C2862" s="187">
        <v>42.7</v>
      </c>
      <c r="D2862" s="187">
        <v>5440</v>
      </c>
      <c r="E2862" s="188">
        <v>180</v>
      </c>
      <c r="F2862" s="188">
        <v>180</v>
      </c>
      <c r="G2862" s="187">
        <v>8</v>
      </c>
      <c r="H2862" s="187">
        <v>8</v>
      </c>
      <c r="I2862" s="187">
        <v>8</v>
      </c>
      <c r="J2862" s="188"/>
      <c r="K2862" s="187">
        <v>19.5</v>
      </c>
      <c r="L2862" s="187">
        <v>19.5</v>
      </c>
      <c r="M2862" s="187">
        <v>26600000</v>
      </c>
      <c r="N2862" s="187">
        <v>349000</v>
      </c>
      <c r="O2862" s="187">
        <v>296000</v>
      </c>
      <c r="P2862" s="187">
        <v>70</v>
      </c>
      <c r="Q2862" s="187">
        <v>26600000</v>
      </c>
      <c r="R2862" s="187">
        <v>349000</v>
      </c>
      <c r="S2862" s="187">
        <v>296000</v>
      </c>
      <c r="T2862" s="187">
        <v>70</v>
      </c>
      <c r="U2862" s="187">
        <v>41600000</v>
      </c>
      <c r="V2862" s="188"/>
    </row>
    <row r="2863" spans="1:22">
      <c r="A2863" s="190" t="s">
        <v>5481</v>
      </c>
      <c r="B2863" s="190" t="s">
        <v>5481</v>
      </c>
      <c r="C2863" s="187">
        <v>46.7</v>
      </c>
      <c r="D2863" s="187">
        <v>5940</v>
      </c>
      <c r="E2863" s="188">
        <v>180</v>
      </c>
      <c r="F2863" s="188">
        <v>180</v>
      </c>
      <c r="G2863" s="187">
        <v>8.8000000000000007</v>
      </c>
      <c r="H2863" s="187">
        <v>8.8000000000000007</v>
      </c>
      <c r="I2863" s="187">
        <v>8.8000000000000007</v>
      </c>
      <c r="J2863" s="188"/>
      <c r="K2863" s="187">
        <v>17.5</v>
      </c>
      <c r="L2863" s="187">
        <v>17.5</v>
      </c>
      <c r="M2863" s="187">
        <v>28800000</v>
      </c>
      <c r="N2863" s="187">
        <v>379000</v>
      </c>
      <c r="O2863" s="187">
        <v>320000</v>
      </c>
      <c r="P2863" s="187">
        <v>69.599999999999994</v>
      </c>
      <c r="Q2863" s="187">
        <v>28800000</v>
      </c>
      <c r="R2863" s="187">
        <v>379000</v>
      </c>
      <c r="S2863" s="187">
        <v>320000</v>
      </c>
      <c r="T2863" s="187">
        <v>69.599999999999994</v>
      </c>
      <c r="U2863" s="187">
        <v>45200000</v>
      </c>
      <c r="V2863" s="188"/>
    </row>
    <row r="2864" spans="1:22">
      <c r="A2864" s="190" t="s">
        <v>5482</v>
      </c>
      <c r="B2864" s="190" t="s">
        <v>5482</v>
      </c>
      <c r="C2864" s="187">
        <v>52.5</v>
      </c>
      <c r="D2864" s="187">
        <v>6690.0000000000009</v>
      </c>
      <c r="E2864" s="188">
        <v>180</v>
      </c>
      <c r="F2864" s="188">
        <v>180</v>
      </c>
      <c r="G2864" s="187">
        <v>10</v>
      </c>
      <c r="H2864" s="187">
        <v>10</v>
      </c>
      <c r="I2864" s="187">
        <v>10</v>
      </c>
      <c r="J2864" s="188"/>
      <c r="K2864" s="187">
        <v>15</v>
      </c>
      <c r="L2864" s="187">
        <v>15</v>
      </c>
      <c r="M2864" s="187">
        <v>31900000</v>
      </c>
      <c r="N2864" s="187">
        <v>424000</v>
      </c>
      <c r="O2864" s="187">
        <v>355000</v>
      </c>
      <c r="P2864" s="187">
        <v>69.099999999999994</v>
      </c>
      <c r="Q2864" s="187">
        <v>31900000</v>
      </c>
      <c r="R2864" s="187">
        <v>424000</v>
      </c>
      <c r="S2864" s="187">
        <v>355000</v>
      </c>
      <c r="T2864" s="187">
        <v>69.099999999999994</v>
      </c>
      <c r="U2864" s="187">
        <v>50500000</v>
      </c>
      <c r="V2864" s="188"/>
    </row>
    <row r="2865" spans="1:22">
      <c r="A2865" s="190" t="s">
        <v>5483</v>
      </c>
      <c r="B2865" s="190" t="s">
        <v>5483</v>
      </c>
      <c r="C2865" s="187">
        <v>57.4</v>
      </c>
      <c r="D2865" s="187">
        <v>7309.9999999999991</v>
      </c>
      <c r="E2865" s="188">
        <v>180</v>
      </c>
      <c r="F2865" s="188">
        <v>180</v>
      </c>
      <c r="G2865" s="187">
        <v>11</v>
      </c>
      <c r="H2865" s="187">
        <v>11</v>
      </c>
      <c r="I2865" s="187">
        <v>11</v>
      </c>
      <c r="J2865" s="188"/>
      <c r="K2865" s="187">
        <v>13.4</v>
      </c>
      <c r="L2865" s="187">
        <v>13.4</v>
      </c>
      <c r="M2865" s="187">
        <v>34400000</v>
      </c>
      <c r="N2865" s="187">
        <v>460000</v>
      </c>
      <c r="O2865" s="187">
        <v>382000</v>
      </c>
      <c r="P2865" s="187">
        <v>68.600000000000009</v>
      </c>
      <c r="Q2865" s="187">
        <v>34400000</v>
      </c>
      <c r="R2865" s="187">
        <v>460000</v>
      </c>
      <c r="S2865" s="187">
        <v>382000</v>
      </c>
      <c r="T2865" s="187">
        <v>68.600000000000009</v>
      </c>
      <c r="U2865" s="187">
        <v>54700000</v>
      </c>
      <c r="V2865" s="188"/>
    </row>
    <row r="2866" spans="1:22">
      <c r="A2866" s="190" t="s">
        <v>5484</v>
      </c>
      <c r="B2866" s="190" t="s">
        <v>5484</v>
      </c>
      <c r="C2866" s="187">
        <v>64.400000000000006</v>
      </c>
      <c r="D2866" s="187">
        <v>8210</v>
      </c>
      <c r="E2866" s="188">
        <v>180</v>
      </c>
      <c r="F2866" s="188">
        <v>180</v>
      </c>
      <c r="G2866" s="187">
        <v>12.5</v>
      </c>
      <c r="H2866" s="187">
        <v>12.5</v>
      </c>
      <c r="I2866" s="187">
        <v>12.5</v>
      </c>
      <c r="J2866" s="188"/>
      <c r="K2866" s="187">
        <v>11.4</v>
      </c>
      <c r="L2866" s="187">
        <v>11.4</v>
      </c>
      <c r="M2866" s="187">
        <v>37900000</v>
      </c>
      <c r="N2866" s="187">
        <v>511000</v>
      </c>
      <c r="O2866" s="187">
        <v>421000</v>
      </c>
      <c r="P2866" s="187">
        <v>68</v>
      </c>
      <c r="Q2866" s="187">
        <v>37900000</v>
      </c>
      <c r="R2866" s="187">
        <v>511000</v>
      </c>
      <c r="S2866" s="187">
        <v>421000</v>
      </c>
      <c r="T2866" s="187">
        <v>68</v>
      </c>
      <c r="U2866" s="187">
        <v>60700000</v>
      </c>
      <c r="V2866" s="188"/>
    </row>
    <row r="2867" spans="1:22">
      <c r="A2867" s="190" t="s">
        <v>5485</v>
      </c>
      <c r="B2867" s="190" t="s">
        <v>5485</v>
      </c>
      <c r="C2867" s="187">
        <v>72.2</v>
      </c>
      <c r="D2867" s="187">
        <v>9200</v>
      </c>
      <c r="E2867" s="188">
        <v>180</v>
      </c>
      <c r="F2867" s="188">
        <v>180</v>
      </c>
      <c r="G2867" s="187">
        <v>14.2</v>
      </c>
      <c r="H2867" s="187">
        <v>14.2</v>
      </c>
      <c r="I2867" s="187">
        <v>14.2</v>
      </c>
      <c r="J2867" s="188"/>
      <c r="K2867" s="187">
        <v>9.68</v>
      </c>
      <c r="L2867" s="187">
        <v>9.68</v>
      </c>
      <c r="M2867" s="187">
        <v>41500000</v>
      </c>
      <c r="N2867" s="187">
        <v>566000</v>
      </c>
      <c r="O2867" s="187">
        <v>462000</v>
      </c>
      <c r="P2867" s="187">
        <v>67.2</v>
      </c>
      <c r="Q2867" s="187">
        <v>41500000</v>
      </c>
      <c r="R2867" s="187">
        <v>566000</v>
      </c>
      <c r="S2867" s="187">
        <v>462000</v>
      </c>
      <c r="T2867" s="187">
        <v>67.2</v>
      </c>
      <c r="U2867" s="187">
        <v>67100000</v>
      </c>
      <c r="V2867" s="188"/>
    </row>
    <row r="2868" spans="1:22">
      <c r="A2868" s="190" t="s">
        <v>5486</v>
      </c>
      <c r="B2868" s="190" t="s">
        <v>5486</v>
      </c>
      <c r="C2868" s="187">
        <v>80.2</v>
      </c>
      <c r="D2868" s="187">
        <v>10200</v>
      </c>
      <c r="E2868" s="188">
        <v>180</v>
      </c>
      <c r="F2868" s="188">
        <v>180</v>
      </c>
      <c r="G2868" s="187">
        <v>16</v>
      </c>
      <c r="H2868" s="187">
        <v>16</v>
      </c>
      <c r="I2868" s="187">
        <v>16</v>
      </c>
      <c r="J2868" s="188"/>
      <c r="K2868" s="187">
        <v>8.25</v>
      </c>
      <c r="L2868" s="187">
        <v>8.25</v>
      </c>
      <c r="M2868" s="187">
        <v>45000000</v>
      </c>
      <c r="N2868" s="187">
        <v>621000</v>
      </c>
      <c r="O2868" s="187">
        <v>500000</v>
      </c>
      <c r="P2868" s="187">
        <v>66.399999999999991</v>
      </c>
      <c r="Q2868" s="187">
        <v>45000000</v>
      </c>
      <c r="R2868" s="187">
        <v>621000</v>
      </c>
      <c r="S2868" s="187">
        <v>500000</v>
      </c>
      <c r="T2868" s="187">
        <v>66.399999999999991</v>
      </c>
      <c r="U2868" s="187">
        <v>73400000</v>
      </c>
      <c r="V2868" s="188"/>
    </row>
    <row r="2869" spans="1:22">
      <c r="A2869" s="190" t="s">
        <v>5487</v>
      </c>
      <c r="B2869" s="190" t="s">
        <v>5487</v>
      </c>
      <c r="C2869" s="187">
        <v>30.4</v>
      </c>
      <c r="D2869" s="187">
        <v>3870.0000000000005</v>
      </c>
      <c r="E2869" s="188">
        <v>200</v>
      </c>
      <c r="F2869" s="188">
        <v>200</v>
      </c>
      <c r="G2869" s="187">
        <v>5</v>
      </c>
      <c r="H2869" s="187">
        <v>5</v>
      </c>
      <c r="I2869" s="187">
        <v>5</v>
      </c>
      <c r="J2869" s="188"/>
      <c r="K2869" s="187">
        <v>37</v>
      </c>
      <c r="L2869" s="187">
        <v>37</v>
      </c>
      <c r="M2869" s="187">
        <v>24400000</v>
      </c>
      <c r="N2869" s="187">
        <v>283000</v>
      </c>
      <c r="O2869" s="187">
        <v>245000</v>
      </c>
      <c r="P2869" s="187">
        <v>79.5</v>
      </c>
      <c r="Q2869" s="187">
        <v>24400000</v>
      </c>
      <c r="R2869" s="187">
        <v>283000</v>
      </c>
      <c r="S2869" s="187">
        <v>245000</v>
      </c>
      <c r="T2869" s="187">
        <v>79.5</v>
      </c>
      <c r="U2869" s="187">
        <v>37600000</v>
      </c>
      <c r="V2869" s="188"/>
    </row>
    <row r="2870" spans="1:22">
      <c r="A2870" s="190" t="s">
        <v>5490</v>
      </c>
      <c r="B2870" s="190" t="s">
        <v>5490</v>
      </c>
      <c r="C2870" s="187">
        <v>33.9</v>
      </c>
      <c r="D2870" s="187">
        <v>4320</v>
      </c>
      <c r="E2870" s="188">
        <v>200</v>
      </c>
      <c r="F2870" s="188">
        <v>200</v>
      </c>
      <c r="G2870" s="187">
        <v>5.6</v>
      </c>
      <c r="H2870" s="187">
        <v>5.6</v>
      </c>
      <c r="I2870" s="187">
        <v>5.6</v>
      </c>
      <c r="J2870" s="188"/>
      <c r="K2870" s="187">
        <v>32.700000000000003</v>
      </c>
      <c r="L2870" s="187">
        <v>32.700000000000003</v>
      </c>
      <c r="M2870" s="187">
        <v>27100000</v>
      </c>
      <c r="N2870" s="187">
        <v>314000</v>
      </c>
      <c r="O2870" s="187">
        <v>271000</v>
      </c>
      <c r="P2870" s="187">
        <v>79.2</v>
      </c>
      <c r="Q2870" s="187">
        <v>27100000</v>
      </c>
      <c r="R2870" s="187">
        <v>314000</v>
      </c>
      <c r="S2870" s="187">
        <v>271000</v>
      </c>
      <c r="T2870" s="187">
        <v>79.2</v>
      </c>
      <c r="U2870" s="187">
        <v>41700000</v>
      </c>
      <c r="V2870" s="188"/>
    </row>
    <row r="2871" spans="1:22">
      <c r="A2871" s="190" t="s">
        <v>4729</v>
      </c>
      <c r="B2871" s="190" t="s">
        <v>4729</v>
      </c>
      <c r="C2871" s="187">
        <v>38</v>
      </c>
      <c r="D2871" s="187">
        <v>4840</v>
      </c>
      <c r="E2871" s="188">
        <v>200</v>
      </c>
      <c r="F2871" s="188">
        <v>200</v>
      </c>
      <c r="G2871" s="187">
        <v>6.3</v>
      </c>
      <c r="H2871" s="187">
        <v>6.3</v>
      </c>
      <c r="I2871" s="187">
        <v>6.3</v>
      </c>
      <c r="J2871" s="188"/>
      <c r="K2871" s="187">
        <v>28.7</v>
      </c>
      <c r="L2871" s="187">
        <v>28.7</v>
      </c>
      <c r="M2871" s="187">
        <v>30100000</v>
      </c>
      <c r="N2871" s="187">
        <v>350000</v>
      </c>
      <c r="O2871" s="187">
        <v>301000</v>
      </c>
      <c r="P2871" s="187">
        <v>78.899999999999991</v>
      </c>
      <c r="Q2871" s="187">
        <v>30100000</v>
      </c>
      <c r="R2871" s="187">
        <v>350000</v>
      </c>
      <c r="S2871" s="187">
        <v>301000</v>
      </c>
      <c r="T2871" s="187">
        <v>78.899999999999991</v>
      </c>
      <c r="U2871" s="187">
        <v>46500000</v>
      </c>
      <c r="V2871" s="188"/>
    </row>
    <row r="2872" spans="1:22">
      <c r="A2872" s="190" t="s">
        <v>5491</v>
      </c>
      <c r="B2872" s="190" t="s">
        <v>5491</v>
      </c>
      <c r="C2872" s="187">
        <v>42.6</v>
      </c>
      <c r="D2872" s="187">
        <v>5420</v>
      </c>
      <c r="E2872" s="188">
        <v>200</v>
      </c>
      <c r="F2872" s="188">
        <v>200</v>
      </c>
      <c r="G2872" s="187">
        <v>7.1</v>
      </c>
      <c r="H2872" s="187">
        <v>7.1</v>
      </c>
      <c r="I2872" s="187">
        <v>7.1</v>
      </c>
      <c r="J2872" s="188"/>
      <c r="K2872" s="187">
        <v>25.2</v>
      </c>
      <c r="L2872" s="187">
        <v>25.2</v>
      </c>
      <c r="M2872" s="187">
        <v>33400000</v>
      </c>
      <c r="N2872" s="187">
        <v>391000</v>
      </c>
      <c r="O2872" s="187">
        <v>335000</v>
      </c>
      <c r="P2872" s="187">
        <v>78.5</v>
      </c>
      <c r="Q2872" s="187">
        <v>33400000</v>
      </c>
      <c r="R2872" s="187">
        <v>391000</v>
      </c>
      <c r="S2872" s="187">
        <v>335000</v>
      </c>
      <c r="T2872" s="187">
        <v>78.5</v>
      </c>
      <c r="U2872" s="187">
        <v>51900000</v>
      </c>
      <c r="V2872" s="188"/>
    </row>
    <row r="2873" spans="1:22">
      <c r="A2873" s="190" t="s">
        <v>4647</v>
      </c>
      <c r="B2873" s="190" t="s">
        <v>4647</v>
      </c>
      <c r="C2873" s="187">
        <v>47.7</v>
      </c>
      <c r="D2873" s="187">
        <v>6080</v>
      </c>
      <c r="E2873" s="188">
        <v>200</v>
      </c>
      <c r="F2873" s="188">
        <v>200</v>
      </c>
      <c r="G2873" s="187">
        <v>8</v>
      </c>
      <c r="H2873" s="187">
        <v>8</v>
      </c>
      <c r="I2873" s="187">
        <v>8</v>
      </c>
      <c r="J2873" s="188"/>
      <c r="K2873" s="187">
        <v>22</v>
      </c>
      <c r="L2873" s="187">
        <v>22</v>
      </c>
      <c r="M2873" s="187">
        <v>37100000</v>
      </c>
      <c r="N2873" s="187">
        <v>436000</v>
      </c>
      <c r="O2873" s="187">
        <v>371000</v>
      </c>
      <c r="P2873" s="187">
        <v>78.099999999999994</v>
      </c>
      <c r="Q2873" s="187">
        <v>37100000</v>
      </c>
      <c r="R2873" s="187">
        <v>436000</v>
      </c>
      <c r="S2873" s="187">
        <v>371000</v>
      </c>
      <c r="T2873" s="187">
        <v>78.099999999999994</v>
      </c>
      <c r="U2873" s="187">
        <v>57800000</v>
      </c>
      <c r="V2873" s="188"/>
    </row>
    <row r="2874" spans="1:22">
      <c r="A2874" s="190" t="s">
        <v>5492</v>
      </c>
      <c r="B2874" s="190" t="s">
        <v>5492</v>
      </c>
      <c r="C2874" s="187">
        <v>52.2</v>
      </c>
      <c r="D2874" s="187">
        <v>6650</v>
      </c>
      <c r="E2874" s="188">
        <v>200</v>
      </c>
      <c r="F2874" s="188">
        <v>200</v>
      </c>
      <c r="G2874" s="187">
        <v>8.8000000000000007</v>
      </c>
      <c r="H2874" s="187">
        <v>8.8000000000000007</v>
      </c>
      <c r="I2874" s="187">
        <v>8.8000000000000007</v>
      </c>
      <c r="J2874" s="188"/>
      <c r="K2874" s="187">
        <v>19.7</v>
      </c>
      <c r="L2874" s="187">
        <v>19.7</v>
      </c>
      <c r="M2874" s="187">
        <v>40200000</v>
      </c>
      <c r="N2874" s="187">
        <v>474000</v>
      </c>
      <c r="O2874" s="187">
        <v>402000</v>
      </c>
      <c r="P2874" s="187">
        <v>77.8</v>
      </c>
      <c r="Q2874" s="187">
        <v>40200000</v>
      </c>
      <c r="R2874" s="187">
        <v>474000</v>
      </c>
      <c r="S2874" s="187">
        <v>402000</v>
      </c>
      <c r="T2874" s="187">
        <v>77.8</v>
      </c>
      <c r="U2874" s="187">
        <v>62900000</v>
      </c>
      <c r="V2874" s="188"/>
    </row>
    <row r="2875" spans="1:22">
      <c r="A2875" s="190" t="s">
        <v>5488</v>
      </c>
      <c r="B2875" s="190" t="s">
        <v>5488</v>
      </c>
      <c r="C2875" s="187">
        <v>58.8</v>
      </c>
      <c r="D2875" s="187">
        <v>7490.0000000000009</v>
      </c>
      <c r="E2875" s="188">
        <v>200</v>
      </c>
      <c r="F2875" s="188">
        <v>200</v>
      </c>
      <c r="G2875" s="187">
        <v>10</v>
      </c>
      <c r="H2875" s="187">
        <v>10</v>
      </c>
      <c r="I2875" s="187">
        <v>10</v>
      </c>
      <c r="J2875" s="188"/>
      <c r="K2875" s="187">
        <v>17</v>
      </c>
      <c r="L2875" s="187">
        <v>17</v>
      </c>
      <c r="M2875" s="187">
        <v>44700000</v>
      </c>
      <c r="N2875" s="187">
        <v>531000</v>
      </c>
      <c r="O2875" s="187">
        <v>447000</v>
      </c>
      <c r="P2875" s="187">
        <v>77.2</v>
      </c>
      <c r="Q2875" s="187">
        <v>44700000</v>
      </c>
      <c r="R2875" s="187">
        <v>531000</v>
      </c>
      <c r="S2875" s="187">
        <v>447000</v>
      </c>
      <c r="T2875" s="187">
        <v>77.2</v>
      </c>
      <c r="U2875" s="187">
        <v>70300000</v>
      </c>
      <c r="V2875" s="188"/>
    </row>
    <row r="2876" spans="1:22">
      <c r="A2876" s="190" t="s">
        <v>5489</v>
      </c>
      <c r="B2876" s="190" t="s">
        <v>5489</v>
      </c>
      <c r="C2876" s="187">
        <v>64.3</v>
      </c>
      <c r="D2876" s="187">
        <v>8190.0000000000009</v>
      </c>
      <c r="E2876" s="188">
        <v>200</v>
      </c>
      <c r="F2876" s="188">
        <v>200</v>
      </c>
      <c r="G2876" s="187">
        <v>11</v>
      </c>
      <c r="H2876" s="187">
        <v>11</v>
      </c>
      <c r="I2876" s="187">
        <v>11</v>
      </c>
      <c r="J2876" s="188"/>
      <c r="K2876" s="187">
        <v>15.2</v>
      </c>
      <c r="L2876" s="187">
        <v>15.2</v>
      </c>
      <c r="M2876" s="187">
        <v>48300000</v>
      </c>
      <c r="N2876" s="187">
        <v>577000</v>
      </c>
      <c r="O2876" s="187">
        <v>483000</v>
      </c>
      <c r="P2876" s="187">
        <v>76.8</v>
      </c>
      <c r="Q2876" s="187">
        <v>48300000</v>
      </c>
      <c r="R2876" s="187">
        <v>577000</v>
      </c>
      <c r="S2876" s="187">
        <v>483000</v>
      </c>
      <c r="T2876" s="187">
        <v>76.8</v>
      </c>
      <c r="U2876" s="187">
        <v>76300000</v>
      </c>
      <c r="V2876" s="188"/>
    </row>
    <row r="2877" spans="1:22">
      <c r="A2877" s="190" t="s">
        <v>4730</v>
      </c>
      <c r="B2877" s="190" t="s">
        <v>4730</v>
      </c>
      <c r="C2877" s="187">
        <v>72.3</v>
      </c>
      <c r="D2877" s="187">
        <v>9210</v>
      </c>
      <c r="E2877" s="188">
        <v>200</v>
      </c>
      <c r="F2877" s="188">
        <v>200</v>
      </c>
      <c r="G2877" s="187">
        <v>12.5</v>
      </c>
      <c r="H2877" s="187">
        <v>12.5</v>
      </c>
      <c r="I2877" s="187">
        <v>12.5</v>
      </c>
      <c r="J2877" s="188"/>
      <c r="K2877" s="187">
        <v>13</v>
      </c>
      <c r="L2877" s="187">
        <v>13</v>
      </c>
      <c r="M2877" s="187">
        <v>53400000</v>
      </c>
      <c r="N2877" s="187">
        <v>643000</v>
      </c>
      <c r="O2877" s="187">
        <v>534000</v>
      </c>
      <c r="P2877" s="187">
        <v>76.100000000000009</v>
      </c>
      <c r="Q2877" s="187">
        <v>53400000</v>
      </c>
      <c r="R2877" s="187">
        <v>643000</v>
      </c>
      <c r="S2877" s="187">
        <v>534000</v>
      </c>
      <c r="T2877" s="187">
        <v>76.100000000000009</v>
      </c>
      <c r="U2877" s="187">
        <v>84900000</v>
      </c>
      <c r="V2877" s="188"/>
    </row>
    <row r="2878" spans="1:22">
      <c r="A2878" s="190" t="s">
        <v>5493</v>
      </c>
      <c r="B2878" s="190" t="s">
        <v>5493</v>
      </c>
      <c r="C2878" s="187">
        <v>81.099999999999994</v>
      </c>
      <c r="D2878" s="187">
        <v>10300</v>
      </c>
      <c r="E2878" s="188">
        <v>200</v>
      </c>
      <c r="F2878" s="188">
        <v>200</v>
      </c>
      <c r="G2878" s="187">
        <v>14.2</v>
      </c>
      <c r="H2878" s="187">
        <v>14.2</v>
      </c>
      <c r="I2878" s="187">
        <v>14.2</v>
      </c>
      <c r="J2878" s="188"/>
      <c r="K2878" s="187">
        <v>11.1</v>
      </c>
      <c r="L2878" s="187">
        <v>11.1</v>
      </c>
      <c r="M2878" s="187">
        <v>58700000</v>
      </c>
      <c r="N2878" s="187">
        <v>714000</v>
      </c>
      <c r="O2878" s="187">
        <v>587000</v>
      </c>
      <c r="P2878" s="187">
        <v>75.400000000000006</v>
      </c>
      <c r="Q2878" s="187">
        <v>58700000</v>
      </c>
      <c r="R2878" s="187">
        <v>714000</v>
      </c>
      <c r="S2878" s="187">
        <v>587000</v>
      </c>
      <c r="T2878" s="187">
        <v>75.400000000000006</v>
      </c>
      <c r="U2878" s="187">
        <v>94200000</v>
      </c>
      <c r="V2878" s="188"/>
    </row>
    <row r="2879" spans="1:22">
      <c r="A2879" s="190" t="s">
        <v>5494</v>
      </c>
      <c r="B2879" s="190" t="s">
        <v>5494</v>
      </c>
      <c r="C2879" s="187">
        <v>90.3</v>
      </c>
      <c r="D2879" s="187">
        <v>11500</v>
      </c>
      <c r="E2879" s="188">
        <v>200</v>
      </c>
      <c r="F2879" s="188">
        <v>200</v>
      </c>
      <c r="G2879" s="187">
        <v>16</v>
      </c>
      <c r="H2879" s="187">
        <v>16</v>
      </c>
      <c r="I2879" s="187">
        <v>16</v>
      </c>
      <c r="J2879" s="188"/>
      <c r="K2879" s="187">
        <v>9.5</v>
      </c>
      <c r="L2879" s="187">
        <v>9.5</v>
      </c>
      <c r="M2879" s="187">
        <v>63900000</v>
      </c>
      <c r="N2879" s="187">
        <v>785000</v>
      </c>
      <c r="O2879" s="187">
        <v>639000</v>
      </c>
      <c r="P2879" s="187">
        <v>74.599999999999994</v>
      </c>
      <c r="Q2879" s="187">
        <v>63900000</v>
      </c>
      <c r="R2879" s="187">
        <v>785000</v>
      </c>
      <c r="S2879" s="187">
        <v>639000</v>
      </c>
      <c r="T2879" s="187">
        <v>74.599999999999994</v>
      </c>
      <c r="U2879" s="187">
        <v>103000000</v>
      </c>
      <c r="V2879" s="188"/>
    </row>
    <row r="2880" spans="1:22">
      <c r="A2880" s="190" t="s">
        <v>5495</v>
      </c>
      <c r="B2880" s="190" t="s">
        <v>5495</v>
      </c>
      <c r="C2880" s="187">
        <v>52.7</v>
      </c>
      <c r="D2880" s="187">
        <v>6720</v>
      </c>
      <c r="E2880" s="188">
        <v>220</v>
      </c>
      <c r="F2880" s="188">
        <v>220</v>
      </c>
      <c r="G2880" s="187">
        <v>8</v>
      </c>
      <c r="H2880" s="187">
        <v>8</v>
      </c>
      <c r="I2880" s="187">
        <v>8</v>
      </c>
      <c r="J2880" s="188"/>
      <c r="K2880" s="187">
        <v>24.5</v>
      </c>
      <c r="L2880" s="187">
        <v>24.5</v>
      </c>
      <c r="M2880" s="187">
        <v>50000000</v>
      </c>
      <c r="N2880" s="187">
        <v>532000</v>
      </c>
      <c r="O2880" s="187">
        <v>455000</v>
      </c>
      <c r="P2880" s="187">
        <v>86.300000000000011</v>
      </c>
      <c r="Q2880" s="187">
        <v>50000000</v>
      </c>
      <c r="R2880" s="187">
        <v>532000</v>
      </c>
      <c r="S2880" s="187">
        <v>455000</v>
      </c>
      <c r="T2880" s="187">
        <v>86.300000000000011</v>
      </c>
      <c r="U2880" s="187">
        <v>77600000</v>
      </c>
      <c r="V2880" s="188"/>
    </row>
    <row r="2881" spans="1:22">
      <c r="A2881" s="190" t="s">
        <v>5498</v>
      </c>
      <c r="B2881" s="190" t="s">
        <v>5498</v>
      </c>
      <c r="C2881" s="187">
        <v>57.7</v>
      </c>
      <c r="D2881" s="187">
        <v>7350</v>
      </c>
      <c r="E2881" s="188">
        <v>220</v>
      </c>
      <c r="F2881" s="188">
        <v>220</v>
      </c>
      <c r="G2881" s="187">
        <v>8.8000000000000007</v>
      </c>
      <c r="H2881" s="187">
        <v>8.8000000000000007</v>
      </c>
      <c r="I2881" s="187">
        <v>8.8000000000000007</v>
      </c>
      <c r="J2881" s="188"/>
      <c r="K2881" s="187">
        <v>22</v>
      </c>
      <c r="L2881" s="187">
        <v>22</v>
      </c>
      <c r="M2881" s="187">
        <v>54300000</v>
      </c>
      <c r="N2881" s="187">
        <v>580000</v>
      </c>
      <c r="O2881" s="187">
        <v>494000</v>
      </c>
      <c r="P2881" s="187">
        <v>85.9</v>
      </c>
      <c r="Q2881" s="187">
        <v>54300000</v>
      </c>
      <c r="R2881" s="187">
        <v>580000</v>
      </c>
      <c r="S2881" s="187">
        <v>494000</v>
      </c>
      <c r="T2881" s="187">
        <v>85.9</v>
      </c>
      <c r="U2881" s="187">
        <v>84600000</v>
      </c>
      <c r="V2881" s="188"/>
    </row>
    <row r="2882" spans="1:22">
      <c r="A2882" s="190" t="s">
        <v>5496</v>
      </c>
      <c r="B2882" s="190" t="s">
        <v>5496</v>
      </c>
      <c r="C2882" s="187">
        <v>65.099999999999994</v>
      </c>
      <c r="D2882" s="187">
        <v>8290</v>
      </c>
      <c r="E2882" s="188">
        <v>220</v>
      </c>
      <c r="F2882" s="188">
        <v>220</v>
      </c>
      <c r="G2882" s="187">
        <v>10</v>
      </c>
      <c r="H2882" s="187">
        <v>10</v>
      </c>
      <c r="I2882" s="187">
        <v>10</v>
      </c>
      <c r="J2882" s="188"/>
      <c r="K2882" s="187">
        <v>19</v>
      </c>
      <c r="L2882" s="187">
        <v>19</v>
      </c>
      <c r="M2882" s="187">
        <v>60500000</v>
      </c>
      <c r="N2882" s="187">
        <v>650000</v>
      </c>
      <c r="O2882" s="187">
        <v>550000</v>
      </c>
      <c r="P2882" s="187">
        <v>85.399999999999991</v>
      </c>
      <c r="Q2882" s="187">
        <v>60500000</v>
      </c>
      <c r="R2882" s="187">
        <v>650000</v>
      </c>
      <c r="S2882" s="187">
        <v>550000</v>
      </c>
      <c r="T2882" s="187">
        <v>85.399999999999991</v>
      </c>
      <c r="U2882" s="187">
        <v>94700000</v>
      </c>
      <c r="V2882" s="188"/>
    </row>
    <row r="2883" spans="1:22">
      <c r="A2883" s="190" t="s">
        <v>5497</v>
      </c>
      <c r="B2883" s="190" t="s">
        <v>5497</v>
      </c>
      <c r="C2883" s="187">
        <v>71.2</v>
      </c>
      <c r="D2883" s="187">
        <v>9070</v>
      </c>
      <c r="E2883" s="188">
        <v>220</v>
      </c>
      <c r="F2883" s="188">
        <v>220</v>
      </c>
      <c r="G2883" s="187">
        <v>11</v>
      </c>
      <c r="H2883" s="187">
        <v>11</v>
      </c>
      <c r="I2883" s="187">
        <v>11</v>
      </c>
      <c r="J2883" s="188"/>
      <c r="K2883" s="187">
        <v>17</v>
      </c>
      <c r="L2883" s="187">
        <v>17</v>
      </c>
      <c r="M2883" s="187">
        <v>65500000</v>
      </c>
      <c r="N2883" s="187">
        <v>707000</v>
      </c>
      <c r="O2883" s="187">
        <v>595000</v>
      </c>
      <c r="P2883" s="187">
        <v>85</v>
      </c>
      <c r="Q2883" s="187">
        <v>65500000</v>
      </c>
      <c r="R2883" s="187">
        <v>707000</v>
      </c>
      <c r="S2883" s="187">
        <v>595000</v>
      </c>
      <c r="T2883" s="187">
        <v>85</v>
      </c>
      <c r="U2883" s="187">
        <v>103000000</v>
      </c>
      <c r="V2883" s="188"/>
    </row>
    <row r="2884" spans="1:22">
      <c r="A2884" s="190" t="s">
        <v>5499</v>
      </c>
      <c r="B2884" s="190" t="s">
        <v>5499</v>
      </c>
      <c r="C2884" s="187">
        <v>80.099999999999994</v>
      </c>
      <c r="D2884" s="187">
        <v>10200</v>
      </c>
      <c r="E2884" s="188">
        <v>220</v>
      </c>
      <c r="F2884" s="188">
        <v>220</v>
      </c>
      <c r="G2884" s="187">
        <v>12.5</v>
      </c>
      <c r="H2884" s="187">
        <v>12.5</v>
      </c>
      <c r="I2884" s="187">
        <v>12.5</v>
      </c>
      <c r="J2884" s="188"/>
      <c r="K2884" s="187">
        <v>14.6</v>
      </c>
      <c r="L2884" s="187">
        <v>14.6</v>
      </c>
      <c r="M2884" s="187">
        <v>72500000</v>
      </c>
      <c r="N2884" s="187">
        <v>789000</v>
      </c>
      <c r="O2884" s="187">
        <v>659000</v>
      </c>
      <c r="P2884" s="187">
        <v>84.3</v>
      </c>
      <c r="Q2884" s="187">
        <v>72500000</v>
      </c>
      <c r="R2884" s="187">
        <v>789000</v>
      </c>
      <c r="S2884" s="187">
        <v>659000</v>
      </c>
      <c r="T2884" s="187">
        <v>84.3</v>
      </c>
      <c r="U2884" s="187">
        <v>115000000</v>
      </c>
      <c r="V2884" s="188"/>
    </row>
    <row r="2885" spans="1:22">
      <c r="A2885" s="190" t="s">
        <v>5500</v>
      </c>
      <c r="B2885" s="190" t="s">
        <v>5500</v>
      </c>
      <c r="C2885" s="187">
        <v>90.1</v>
      </c>
      <c r="D2885" s="187">
        <v>11500</v>
      </c>
      <c r="E2885" s="188">
        <v>220</v>
      </c>
      <c r="F2885" s="188">
        <v>220</v>
      </c>
      <c r="G2885" s="187">
        <v>14.2</v>
      </c>
      <c r="H2885" s="187">
        <v>14.2</v>
      </c>
      <c r="I2885" s="187">
        <v>14.2</v>
      </c>
      <c r="J2885" s="188"/>
      <c r="K2885" s="187">
        <v>12.5</v>
      </c>
      <c r="L2885" s="187">
        <v>12.5</v>
      </c>
      <c r="M2885" s="187">
        <v>80100000</v>
      </c>
      <c r="N2885" s="187">
        <v>879000</v>
      </c>
      <c r="O2885" s="187">
        <v>728000</v>
      </c>
      <c r="P2885" s="187">
        <v>83.5</v>
      </c>
      <c r="Q2885" s="187">
        <v>80100000</v>
      </c>
      <c r="R2885" s="187">
        <v>879000</v>
      </c>
      <c r="S2885" s="187">
        <v>728000</v>
      </c>
      <c r="T2885" s="187">
        <v>83.5</v>
      </c>
      <c r="U2885" s="187">
        <v>128000000</v>
      </c>
      <c r="V2885" s="188"/>
    </row>
    <row r="2886" spans="1:22">
      <c r="A2886" s="190" t="s">
        <v>5501</v>
      </c>
      <c r="B2886" s="190" t="s">
        <v>5501</v>
      </c>
      <c r="C2886" s="187">
        <v>100</v>
      </c>
      <c r="D2886" s="187">
        <v>12800</v>
      </c>
      <c r="E2886" s="188">
        <v>220</v>
      </c>
      <c r="F2886" s="188">
        <v>220</v>
      </c>
      <c r="G2886" s="187">
        <v>16</v>
      </c>
      <c r="H2886" s="187">
        <v>16</v>
      </c>
      <c r="I2886" s="187">
        <v>16</v>
      </c>
      <c r="J2886" s="188"/>
      <c r="K2886" s="187">
        <v>10.8</v>
      </c>
      <c r="L2886" s="187">
        <v>10.8</v>
      </c>
      <c r="M2886" s="187">
        <v>87500000</v>
      </c>
      <c r="N2886" s="187">
        <v>969000</v>
      </c>
      <c r="O2886" s="187">
        <v>795000</v>
      </c>
      <c r="P2886" s="187">
        <v>82.699999999999989</v>
      </c>
      <c r="Q2886" s="187">
        <v>87500000</v>
      </c>
      <c r="R2886" s="187">
        <v>969000</v>
      </c>
      <c r="S2886" s="187">
        <v>795000</v>
      </c>
      <c r="T2886" s="187">
        <v>82.699999999999989</v>
      </c>
      <c r="U2886" s="187">
        <v>141000000</v>
      </c>
      <c r="V2886" s="188"/>
    </row>
    <row r="2887" spans="1:22">
      <c r="A2887" s="190" t="s">
        <v>5502</v>
      </c>
      <c r="B2887" s="190" t="s">
        <v>5502</v>
      </c>
      <c r="C2887" s="187">
        <v>38.299999999999997</v>
      </c>
      <c r="D2887" s="187">
        <v>4870</v>
      </c>
      <c r="E2887" s="188">
        <v>250</v>
      </c>
      <c r="F2887" s="188">
        <v>250</v>
      </c>
      <c r="G2887" s="187">
        <v>5</v>
      </c>
      <c r="H2887" s="187">
        <v>5</v>
      </c>
      <c r="I2887" s="187">
        <v>5</v>
      </c>
      <c r="J2887" s="188"/>
      <c r="K2887" s="187">
        <v>47</v>
      </c>
      <c r="L2887" s="187">
        <v>47</v>
      </c>
      <c r="M2887" s="187">
        <v>48600000</v>
      </c>
      <c r="N2887" s="187">
        <v>447000</v>
      </c>
      <c r="O2887" s="187">
        <v>389000</v>
      </c>
      <c r="P2887" s="187">
        <v>99.9</v>
      </c>
      <c r="Q2887" s="187">
        <v>48600000</v>
      </c>
      <c r="R2887" s="187">
        <v>447000</v>
      </c>
      <c r="S2887" s="187">
        <v>389000</v>
      </c>
      <c r="T2887" s="187">
        <v>99.9</v>
      </c>
      <c r="U2887" s="187">
        <v>74300000</v>
      </c>
      <c r="V2887" s="188"/>
    </row>
    <row r="2888" spans="1:22">
      <c r="A2888" s="190" t="s">
        <v>5506</v>
      </c>
      <c r="B2888" s="190" t="s">
        <v>5506</v>
      </c>
      <c r="C2888" s="187">
        <v>42.7</v>
      </c>
      <c r="D2888" s="187">
        <v>5440</v>
      </c>
      <c r="E2888" s="188">
        <v>250</v>
      </c>
      <c r="F2888" s="188">
        <v>250</v>
      </c>
      <c r="G2888" s="187">
        <v>5.6</v>
      </c>
      <c r="H2888" s="187">
        <v>5.6</v>
      </c>
      <c r="I2888" s="187">
        <v>5.6</v>
      </c>
      <c r="J2888" s="188"/>
      <c r="K2888" s="187">
        <v>41.6</v>
      </c>
      <c r="L2888" s="187">
        <v>41.6</v>
      </c>
      <c r="M2888" s="187">
        <v>54000000</v>
      </c>
      <c r="N2888" s="187">
        <v>498000</v>
      </c>
      <c r="O2888" s="187">
        <v>432000</v>
      </c>
      <c r="P2888" s="187">
        <v>99.600000000000009</v>
      </c>
      <c r="Q2888" s="187">
        <v>54000000</v>
      </c>
      <c r="R2888" s="187">
        <v>498000</v>
      </c>
      <c r="S2888" s="187">
        <v>432000</v>
      </c>
      <c r="T2888" s="187">
        <v>99.600000000000009</v>
      </c>
      <c r="U2888" s="187">
        <v>82700000</v>
      </c>
      <c r="V2888" s="188"/>
    </row>
    <row r="2889" spans="1:22">
      <c r="A2889" s="190" t="s">
        <v>5507</v>
      </c>
      <c r="B2889" s="190" t="s">
        <v>5507</v>
      </c>
      <c r="C2889" s="187">
        <v>47.9</v>
      </c>
      <c r="D2889" s="187">
        <v>6100</v>
      </c>
      <c r="E2889" s="188">
        <v>250</v>
      </c>
      <c r="F2889" s="188">
        <v>250</v>
      </c>
      <c r="G2889" s="187">
        <v>6.3</v>
      </c>
      <c r="H2889" s="187">
        <v>6.3</v>
      </c>
      <c r="I2889" s="187">
        <v>6.3</v>
      </c>
      <c r="J2889" s="188"/>
      <c r="K2889" s="187">
        <v>36.700000000000003</v>
      </c>
      <c r="L2889" s="187">
        <v>36.700000000000003</v>
      </c>
      <c r="M2889" s="187">
        <v>60100000</v>
      </c>
      <c r="N2889" s="187">
        <v>556000</v>
      </c>
      <c r="O2889" s="187">
        <v>481000</v>
      </c>
      <c r="P2889" s="187">
        <v>99.3</v>
      </c>
      <c r="Q2889" s="187">
        <v>60100000</v>
      </c>
      <c r="R2889" s="187">
        <v>556000</v>
      </c>
      <c r="S2889" s="187">
        <v>481000</v>
      </c>
      <c r="T2889" s="187">
        <v>99.3</v>
      </c>
      <c r="U2889" s="187">
        <v>92400000</v>
      </c>
      <c r="V2889" s="188"/>
    </row>
    <row r="2890" spans="1:22">
      <c r="A2890" s="190" t="s">
        <v>5508</v>
      </c>
      <c r="B2890" s="190" t="s">
        <v>5508</v>
      </c>
      <c r="C2890" s="187">
        <v>53.7</v>
      </c>
      <c r="D2890" s="187">
        <v>6840.0000000000009</v>
      </c>
      <c r="E2890" s="188">
        <v>250</v>
      </c>
      <c r="F2890" s="188">
        <v>250</v>
      </c>
      <c r="G2890" s="187">
        <v>7.1</v>
      </c>
      <c r="H2890" s="187">
        <v>7.1</v>
      </c>
      <c r="I2890" s="187">
        <v>7.1</v>
      </c>
      <c r="J2890" s="188"/>
      <c r="K2890" s="187">
        <v>32.200000000000003</v>
      </c>
      <c r="L2890" s="187">
        <v>32.200000000000003</v>
      </c>
      <c r="M2890" s="187">
        <v>67000000</v>
      </c>
      <c r="N2890" s="187">
        <v>622000</v>
      </c>
      <c r="O2890" s="187">
        <v>536000</v>
      </c>
      <c r="P2890" s="187">
        <v>99</v>
      </c>
      <c r="Q2890" s="187">
        <v>67000000</v>
      </c>
      <c r="R2890" s="187">
        <v>622000</v>
      </c>
      <c r="S2890" s="187">
        <v>536000</v>
      </c>
      <c r="T2890" s="187">
        <v>99</v>
      </c>
      <c r="U2890" s="187">
        <v>103000000</v>
      </c>
      <c r="V2890" s="188"/>
    </row>
    <row r="2891" spans="1:22">
      <c r="A2891" s="190" t="s">
        <v>5503</v>
      </c>
      <c r="B2891" s="190" t="s">
        <v>5503</v>
      </c>
      <c r="C2891" s="187">
        <v>60.3</v>
      </c>
      <c r="D2891" s="187">
        <v>7680</v>
      </c>
      <c r="E2891" s="188">
        <v>250</v>
      </c>
      <c r="F2891" s="188">
        <v>250</v>
      </c>
      <c r="G2891" s="187">
        <v>8</v>
      </c>
      <c r="H2891" s="187">
        <v>8</v>
      </c>
      <c r="I2891" s="187">
        <v>8</v>
      </c>
      <c r="J2891" s="188"/>
      <c r="K2891" s="187">
        <v>28.3</v>
      </c>
      <c r="L2891" s="187">
        <v>28.3</v>
      </c>
      <c r="M2891" s="187">
        <v>74600000</v>
      </c>
      <c r="N2891" s="187">
        <v>694000</v>
      </c>
      <c r="O2891" s="187">
        <v>596000</v>
      </c>
      <c r="P2891" s="187">
        <v>98.6</v>
      </c>
      <c r="Q2891" s="187">
        <v>74600000</v>
      </c>
      <c r="R2891" s="187">
        <v>694000</v>
      </c>
      <c r="S2891" s="187">
        <v>596000</v>
      </c>
      <c r="T2891" s="187">
        <v>98.6</v>
      </c>
      <c r="U2891" s="187">
        <v>115000000</v>
      </c>
      <c r="V2891" s="188"/>
    </row>
    <row r="2892" spans="1:22">
      <c r="A2892" s="190" t="s">
        <v>5509</v>
      </c>
      <c r="B2892" s="190" t="s">
        <v>5509</v>
      </c>
      <c r="C2892" s="187">
        <v>66</v>
      </c>
      <c r="D2892" s="187">
        <v>8410</v>
      </c>
      <c r="E2892" s="188">
        <v>250</v>
      </c>
      <c r="F2892" s="188">
        <v>250</v>
      </c>
      <c r="G2892" s="187">
        <v>8.8000000000000007</v>
      </c>
      <c r="H2892" s="187">
        <v>8.8000000000000007</v>
      </c>
      <c r="I2892" s="187">
        <v>8.8000000000000007</v>
      </c>
      <c r="J2892" s="188"/>
      <c r="K2892" s="187">
        <v>25.4</v>
      </c>
      <c r="L2892" s="187">
        <v>25.4</v>
      </c>
      <c r="M2892" s="187">
        <v>81100000</v>
      </c>
      <c r="N2892" s="187">
        <v>758000</v>
      </c>
      <c r="O2892" s="187">
        <v>649000</v>
      </c>
      <c r="P2892" s="187">
        <v>98.2</v>
      </c>
      <c r="Q2892" s="187">
        <v>81100000</v>
      </c>
      <c r="R2892" s="187">
        <v>758000</v>
      </c>
      <c r="S2892" s="187">
        <v>649000</v>
      </c>
      <c r="T2892" s="187">
        <v>98.2</v>
      </c>
      <c r="U2892" s="187">
        <v>126000000</v>
      </c>
      <c r="V2892" s="188"/>
    </row>
    <row r="2893" spans="1:22">
      <c r="A2893" s="190" t="s">
        <v>5504</v>
      </c>
      <c r="B2893" s="190" t="s">
        <v>5504</v>
      </c>
      <c r="C2893" s="187">
        <v>74.5</v>
      </c>
      <c r="D2893" s="187">
        <v>9490</v>
      </c>
      <c r="E2893" s="188">
        <v>250</v>
      </c>
      <c r="F2893" s="188">
        <v>250</v>
      </c>
      <c r="G2893" s="187">
        <v>10</v>
      </c>
      <c r="H2893" s="187">
        <v>10</v>
      </c>
      <c r="I2893" s="187">
        <v>10</v>
      </c>
      <c r="J2893" s="188"/>
      <c r="K2893" s="187">
        <v>22</v>
      </c>
      <c r="L2893" s="187">
        <v>22</v>
      </c>
      <c r="M2893" s="187">
        <v>90600000</v>
      </c>
      <c r="N2893" s="187">
        <v>851000</v>
      </c>
      <c r="O2893" s="187">
        <v>724000</v>
      </c>
      <c r="P2893" s="187">
        <v>97.699999999999989</v>
      </c>
      <c r="Q2893" s="187">
        <v>90600000</v>
      </c>
      <c r="R2893" s="187">
        <v>851000</v>
      </c>
      <c r="S2893" s="187">
        <v>724000</v>
      </c>
      <c r="T2893" s="187">
        <v>97.699999999999989</v>
      </c>
      <c r="U2893" s="187">
        <v>141000000</v>
      </c>
      <c r="V2893" s="188"/>
    </row>
    <row r="2894" spans="1:22">
      <c r="A2894" s="190" t="s">
        <v>5505</v>
      </c>
      <c r="B2894" s="190" t="s">
        <v>5505</v>
      </c>
      <c r="C2894" s="187">
        <v>81.5</v>
      </c>
      <c r="D2894" s="187">
        <v>10400</v>
      </c>
      <c r="E2894" s="188">
        <v>250</v>
      </c>
      <c r="F2894" s="188">
        <v>250</v>
      </c>
      <c r="G2894" s="187">
        <v>11</v>
      </c>
      <c r="H2894" s="187">
        <v>11</v>
      </c>
      <c r="I2894" s="187">
        <v>11</v>
      </c>
      <c r="J2894" s="188"/>
      <c r="K2894" s="187">
        <v>19.7</v>
      </c>
      <c r="L2894" s="187">
        <v>19.7</v>
      </c>
      <c r="M2894" s="187">
        <v>98200000</v>
      </c>
      <c r="N2894" s="187">
        <v>926000</v>
      </c>
      <c r="O2894" s="187">
        <v>785000</v>
      </c>
      <c r="P2894" s="187">
        <v>97.2</v>
      </c>
      <c r="Q2894" s="187">
        <v>98200000</v>
      </c>
      <c r="R2894" s="187">
        <v>926000</v>
      </c>
      <c r="S2894" s="187">
        <v>785000</v>
      </c>
      <c r="T2894" s="187">
        <v>97.2</v>
      </c>
      <c r="U2894" s="187">
        <v>154000000</v>
      </c>
      <c r="V2894" s="188"/>
    </row>
    <row r="2895" spans="1:22">
      <c r="A2895" s="190" t="s">
        <v>5510</v>
      </c>
      <c r="B2895" s="190" t="s">
        <v>5510</v>
      </c>
      <c r="C2895" s="187">
        <v>91.9</v>
      </c>
      <c r="D2895" s="187">
        <v>11700</v>
      </c>
      <c r="E2895" s="188">
        <v>250</v>
      </c>
      <c r="F2895" s="188">
        <v>250</v>
      </c>
      <c r="G2895" s="187">
        <v>12.5</v>
      </c>
      <c r="H2895" s="187">
        <v>12.5</v>
      </c>
      <c r="I2895" s="187">
        <v>12.5</v>
      </c>
      <c r="J2895" s="188"/>
      <c r="K2895" s="187">
        <v>17</v>
      </c>
      <c r="L2895" s="187">
        <v>17</v>
      </c>
      <c r="M2895" s="187">
        <v>109000000</v>
      </c>
      <c r="N2895" s="187">
        <v>1040000</v>
      </c>
      <c r="O2895" s="187">
        <v>873000</v>
      </c>
      <c r="P2895" s="187">
        <v>96.6</v>
      </c>
      <c r="Q2895" s="187">
        <v>109000000</v>
      </c>
      <c r="R2895" s="187">
        <v>1040000</v>
      </c>
      <c r="S2895" s="187">
        <v>873000</v>
      </c>
      <c r="T2895" s="187">
        <v>96.6</v>
      </c>
      <c r="U2895" s="187">
        <v>172000000</v>
      </c>
      <c r="V2895" s="188"/>
    </row>
    <row r="2896" spans="1:22">
      <c r="A2896" s="190" t="s">
        <v>5511</v>
      </c>
      <c r="B2896" s="190" t="s">
        <v>5511</v>
      </c>
      <c r="C2896" s="187">
        <v>103</v>
      </c>
      <c r="D2896" s="187">
        <v>13200</v>
      </c>
      <c r="E2896" s="188">
        <v>250</v>
      </c>
      <c r="F2896" s="188">
        <v>250</v>
      </c>
      <c r="G2896" s="187">
        <v>14.2</v>
      </c>
      <c r="H2896" s="187">
        <v>14.2</v>
      </c>
      <c r="I2896" s="187">
        <v>14.2</v>
      </c>
      <c r="J2896" s="188"/>
      <c r="K2896" s="187">
        <v>14.6</v>
      </c>
      <c r="L2896" s="187">
        <v>14.6</v>
      </c>
      <c r="M2896" s="187">
        <v>121000000</v>
      </c>
      <c r="N2896" s="187">
        <v>1160000</v>
      </c>
      <c r="O2896" s="187">
        <v>967000</v>
      </c>
      <c r="P2896" s="187">
        <v>95.8</v>
      </c>
      <c r="Q2896" s="187">
        <v>121000000</v>
      </c>
      <c r="R2896" s="187">
        <v>1160000</v>
      </c>
      <c r="S2896" s="187">
        <v>967000</v>
      </c>
      <c r="T2896" s="187">
        <v>95.8</v>
      </c>
      <c r="U2896" s="187">
        <v>191000000</v>
      </c>
      <c r="V2896" s="188"/>
    </row>
    <row r="2897" spans="1:22">
      <c r="A2897" s="190" t="s">
        <v>5464</v>
      </c>
      <c r="B2897" s="190" t="s">
        <v>5464</v>
      </c>
      <c r="C2897" s="187">
        <v>115</v>
      </c>
      <c r="D2897" s="187">
        <v>14700</v>
      </c>
      <c r="E2897" s="188">
        <v>250</v>
      </c>
      <c r="F2897" s="188">
        <v>250</v>
      </c>
      <c r="G2897" s="187">
        <v>16</v>
      </c>
      <c r="H2897" s="187">
        <v>16</v>
      </c>
      <c r="I2897" s="187">
        <v>16</v>
      </c>
      <c r="J2897" s="188"/>
      <c r="K2897" s="187">
        <v>12.6</v>
      </c>
      <c r="L2897" s="187">
        <v>12.6</v>
      </c>
      <c r="M2897" s="187">
        <v>133000000</v>
      </c>
      <c r="N2897" s="187">
        <v>1280000</v>
      </c>
      <c r="O2897" s="187">
        <v>1060000</v>
      </c>
      <c r="P2897" s="187">
        <v>95</v>
      </c>
      <c r="Q2897" s="187">
        <v>133000000</v>
      </c>
      <c r="R2897" s="187">
        <v>1280000</v>
      </c>
      <c r="S2897" s="187">
        <v>1060000</v>
      </c>
      <c r="T2897" s="187">
        <v>95</v>
      </c>
      <c r="U2897" s="187">
        <v>211000000</v>
      </c>
      <c r="V2897" s="188"/>
    </row>
    <row r="2898" spans="1:22">
      <c r="A2898" s="190" t="s">
        <v>5513</v>
      </c>
      <c r="B2898" s="190" t="s">
        <v>5513</v>
      </c>
      <c r="C2898" s="187">
        <v>56</v>
      </c>
      <c r="D2898" s="187">
        <v>7130</v>
      </c>
      <c r="E2898" s="188">
        <v>260</v>
      </c>
      <c r="F2898" s="188">
        <v>260</v>
      </c>
      <c r="G2898" s="187">
        <v>7.1</v>
      </c>
      <c r="H2898" s="187">
        <v>7.1</v>
      </c>
      <c r="I2898" s="187">
        <v>7.1</v>
      </c>
      <c r="J2898" s="188"/>
      <c r="K2898" s="187">
        <v>33.6</v>
      </c>
      <c r="L2898" s="187">
        <v>33.6</v>
      </c>
      <c r="M2898" s="187">
        <v>75700000</v>
      </c>
      <c r="N2898" s="187">
        <v>674000</v>
      </c>
      <c r="O2898" s="187">
        <v>582000</v>
      </c>
      <c r="P2898" s="187">
        <v>103</v>
      </c>
      <c r="Q2898" s="187">
        <v>75700000</v>
      </c>
      <c r="R2898" s="187">
        <v>674000</v>
      </c>
      <c r="S2898" s="187">
        <v>582000</v>
      </c>
      <c r="T2898" s="187">
        <v>103</v>
      </c>
      <c r="U2898" s="187">
        <v>116000000</v>
      </c>
      <c r="V2898" s="188"/>
    </row>
    <row r="2899" spans="1:22">
      <c r="A2899" s="190" t="s">
        <v>5512</v>
      </c>
      <c r="B2899" s="190" t="s">
        <v>5512</v>
      </c>
      <c r="C2899" s="187">
        <v>62.8</v>
      </c>
      <c r="D2899" s="187">
        <v>8000</v>
      </c>
      <c r="E2899" s="188">
        <v>260</v>
      </c>
      <c r="F2899" s="188">
        <v>260</v>
      </c>
      <c r="G2899" s="187">
        <v>8</v>
      </c>
      <c r="H2899" s="187">
        <v>8</v>
      </c>
      <c r="I2899" s="187">
        <v>8</v>
      </c>
      <c r="J2899" s="188"/>
      <c r="K2899" s="187">
        <v>29.5</v>
      </c>
      <c r="L2899" s="187">
        <v>29.5</v>
      </c>
      <c r="M2899" s="187">
        <v>84200000</v>
      </c>
      <c r="N2899" s="187">
        <v>753000</v>
      </c>
      <c r="O2899" s="187">
        <v>648000</v>
      </c>
      <c r="P2899" s="187">
        <v>103</v>
      </c>
      <c r="Q2899" s="187">
        <v>84200000</v>
      </c>
      <c r="R2899" s="187">
        <v>753000</v>
      </c>
      <c r="S2899" s="187">
        <v>648000</v>
      </c>
      <c r="T2899" s="187">
        <v>103</v>
      </c>
      <c r="U2899" s="187">
        <v>130000000</v>
      </c>
      <c r="V2899" s="188"/>
    </row>
    <row r="2900" spans="1:22">
      <c r="A2900" s="190" t="s">
        <v>5516</v>
      </c>
      <c r="B2900" s="190" t="s">
        <v>5516</v>
      </c>
      <c r="C2900" s="187">
        <v>68.8</v>
      </c>
      <c r="D2900" s="187">
        <v>8760</v>
      </c>
      <c r="E2900" s="188">
        <v>260</v>
      </c>
      <c r="F2900" s="188">
        <v>260</v>
      </c>
      <c r="G2900" s="187">
        <v>8.8000000000000007</v>
      </c>
      <c r="H2900" s="187">
        <v>8.8000000000000007</v>
      </c>
      <c r="I2900" s="187">
        <v>8.8000000000000007</v>
      </c>
      <c r="J2900" s="188"/>
      <c r="K2900" s="187">
        <v>26.5</v>
      </c>
      <c r="L2900" s="187">
        <v>26.5</v>
      </c>
      <c r="M2900" s="187">
        <v>91600000</v>
      </c>
      <c r="N2900" s="187">
        <v>822000</v>
      </c>
      <c r="O2900" s="187">
        <v>705000</v>
      </c>
      <c r="P2900" s="187">
        <v>102</v>
      </c>
      <c r="Q2900" s="187">
        <v>91600000</v>
      </c>
      <c r="R2900" s="187">
        <v>822000</v>
      </c>
      <c r="S2900" s="187">
        <v>705000</v>
      </c>
      <c r="T2900" s="187">
        <v>102</v>
      </c>
      <c r="U2900" s="187">
        <v>142000000</v>
      </c>
      <c r="V2900" s="188"/>
    </row>
    <row r="2901" spans="1:22">
      <c r="A2901" s="190" t="s">
        <v>5514</v>
      </c>
      <c r="B2901" s="190" t="s">
        <v>5514</v>
      </c>
      <c r="C2901" s="187">
        <v>77.7</v>
      </c>
      <c r="D2901" s="187">
        <v>9890</v>
      </c>
      <c r="E2901" s="188">
        <v>260</v>
      </c>
      <c r="F2901" s="188">
        <v>260</v>
      </c>
      <c r="G2901" s="187">
        <v>10</v>
      </c>
      <c r="H2901" s="187">
        <v>10</v>
      </c>
      <c r="I2901" s="187">
        <v>10</v>
      </c>
      <c r="J2901" s="188"/>
      <c r="K2901" s="187">
        <v>23</v>
      </c>
      <c r="L2901" s="187">
        <v>23</v>
      </c>
      <c r="M2901" s="187">
        <v>102000000</v>
      </c>
      <c r="N2901" s="187">
        <v>924000</v>
      </c>
      <c r="O2901" s="187">
        <v>788000</v>
      </c>
      <c r="P2901" s="187">
        <v>102</v>
      </c>
      <c r="Q2901" s="187">
        <v>102000000</v>
      </c>
      <c r="R2901" s="187">
        <v>924000</v>
      </c>
      <c r="S2901" s="187">
        <v>788000</v>
      </c>
      <c r="T2901" s="187">
        <v>102</v>
      </c>
      <c r="U2901" s="187">
        <v>159000000</v>
      </c>
      <c r="V2901" s="188"/>
    </row>
    <row r="2902" spans="1:22">
      <c r="A2902" s="190" t="s">
        <v>5515</v>
      </c>
      <c r="B2902" s="190" t="s">
        <v>5515</v>
      </c>
      <c r="C2902" s="187">
        <v>85</v>
      </c>
      <c r="D2902" s="187">
        <v>10800</v>
      </c>
      <c r="E2902" s="188">
        <v>260</v>
      </c>
      <c r="F2902" s="188">
        <v>260</v>
      </c>
      <c r="G2902" s="187">
        <v>11</v>
      </c>
      <c r="H2902" s="187">
        <v>11</v>
      </c>
      <c r="I2902" s="187">
        <v>11</v>
      </c>
      <c r="J2902" s="188"/>
      <c r="K2902" s="187">
        <v>20.6</v>
      </c>
      <c r="L2902" s="187">
        <v>20.6</v>
      </c>
      <c r="M2902" s="187">
        <v>111000000</v>
      </c>
      <c r="N2902" s="187">
        <v>1010000</v>
      </c>
      <c r="O2902" s="187">
        <v>855000</v>
      </c>
      <c r="P2902" s="187">
        <v>101</v>
      </c>
      <c r="Q2902" s="187">
        <v>111000000</v>
      </c>
      <c r="R2902" s="187">
        <v>1010000</v>
      </c>
      <c r="S2902" s="187">
        <v>855000</v>
      </c>
      <c r="T2902" s="187">
        <v>101</v>
      </c>
      <c r="U2902" s="187">
        <v>173000000</v>
      </c>
      <c r="V2902" s="188"/>
    </row>
    <row r="2903" spans="1:22">
      <c r="A2903" s="190" t="s">
        <v>5517</v>
      </c>
      <c r="B2903" s="190" t="s">
        <v>5517</v>
      </c>
      <c r="C2903" s="187">
        <v>95.8</v>
      </c>
      <c r="D2903" s="187">
        <v>12200</v>
      </c>
      <c r="E2903" s="188">
        <v>260</v>
      </c>
      <c r="F2903" s="188">
        <v>260</v>
      </c>
      <c r="G2903" s="187">
        <v>12.5</v>
      </c>
      <c r="H2903" s="187">
        <v>12.5</v>
      </c>
      <c r="I2903" s="187">
        <v>12.5</v>
      </c>
      <c r="J2903" s="188"/>
      <c r="K2903" s="187">
        <v>17.8</v>
      </c>
      <c r="L2903" s="187">
        <v>17.8</v>
      </c>
      <c r="M2903" s="187">
        <v>124000000</v>
      </c>
      <c r="N2903" s="187">
        <v>1130000</v>
      </c>
      <c r="O2903" s="187">
        <v>951000</v>
      </c>
      <c r="P2903" s="187">
        <v>101</v>
      </c>
      <c r="Q2903" s="187">
        <v>124000000</v>
      </c>
      <c r="R2903" s="187">
        <v>1130000</v>
      </c>
      <c r="S2903" s="187">
        <v>951000</v>
      </c>
      <c r="T2903" s="187">
        <v>101</v>
      </c>
      <c r="U2903" s="187">
        <v>194000000</v>
      </c>
      <c r="V2903" s="188"/>
    </row>
    <row r="2904" spans="1:22">
      <c r="A2904" s="190" t="s">
        <v>5518</v>
      </c>
      <c r="B2904" s="190" t="s">
        <v>5518</v>
      </c>
      <c r="C2904" s="187">
        <v>108</v>
      </c>
      <c r="D2904" s="187">
        <v>13700</v>
      </c>
      <c r="E2904" s="188">
        <v>260</v>
      </c>
      <c r="F2904" s="188">
        <v>260</v>
      </c>
      <c r="G2904" s="187">
        <v>14.2</v>
      </c>
      <c r="H2904" s="187">
        <v>14.2</v>
      </c>
      <c r="I2904" s="187">
        <v>14.2</v>
      </c>
      <c r="J2904" s="188"/>
      <c r="K2904" s="187">
        <v>15.3</v>
      </c>
      <c r="L2904" s="187">
        <v>15.3</v>
      </c>
      <c r="M2904" s="187">
        <v>137000000</v>
      </c>
      <c r="N2904" s="187">
        <v>1260000</v>
      </c>
      <c r="O2904" s="187">
        <v>1060000</v>
      </c>
      <c r="P2904" s="187">
        <v>99.9</v>
      </c>
      <c r="Q2904" s="187">
        <v>137000000</v>
      </c>
      <c r="R2904" s="187">
        <v>1260000</v>
      </c>
      <c r="S2904" s="187">
        <v>1060000</v>
      </c>
      <c r="T2904" s="187">
        <v>99.9</v>
      </c>
      <c r="U2904" s="187">
        <v>217000000</v>
      </c>
      <c r="V2904" s="188"/>
    </row>
    <row r="2905" spans="1:22">
      <c r="A2905" s="190" t="s">
        <v>5519</v>
      </c>
      <c r="B2905" s="190" t="s">
        <v>5519</v>
      </c>
      <c r="C2905" s="187">
        <v>120</v>
      </c>
      <c r="D2905" s="187">
        <v>15300</v>
      </c>
      <c r="E2905" s="188">
        <v>260</v>
      </c>
      <c r="F2905" s="188">
        <v>260</v>
      </c>
      <c r="G2905" s="187">
        <v>16</v>
      </c>
      <c r="H2905" s="187">
        <v>16</v>
      </c>
      <c r="I2905" s="187">
        <v>16</v>
      </c>
      <c r="J2905" s="188"/>
      <c r="K2905" s="187">
        <v>13.3</v>
      </c>
      <c r="L2905" s="187">
        <v>13.3</v>
      </c>
      <c r="M2905" s="187">
        <v>151000000</v>
      </c>
      <c r="N2905" s="187">
        <v>1390000</v>
      </c>
      <c r="O2905" s="187">
        <v>1160000</v>
      </c>
      <c r="P2905" s="187">
        <v>99.1</v>
      </c>
      <c r="Q2905" s="187">
        <v>151000000</v>
      </c>
      <c r="R2905" s="187">
        <v>1390000</v>
      </c>
      <c r="S2905" s="187">
        <v>1160000</v>
      </c>
      <c r="T2905" s="187">
        <v>99.1</v>
      </c>
      <c r="U2905" s="187">
        <v>239000000</v>
      </c>
      <c r="V2905" s="188"/>
    </row>
    <row r="2906" spans="1:22">
      <c r="A2906" s="190" t="s">
        <v>5520</v>
      </c>
      <c r="B2906" s="190" t="s">
        <v>5520</v>
      </c>
      <c r="C2906" s="187">
        <v>57.8</v>
      </c>
      <c r="D2906" s="187">
        <v>7359.9999999999991</v>
      </c>
      <c r="E2906" s="188">
        <v>300</v>
      </c>
      <c r="F2906" s="188">
        <v>300</v>
      </c>
      <c r="G2906" s="187">
        <v>6.3</v>
      </c>
      <c r="H2906" s="187">
        <v>6.3</v>
      </c>
      <c r="I2906" s="187">
        <v>6.3</v>
      </c>
      <c r="J2906" s="188"/>
      <c r="K2906" s="187">
        <v>44.6</v>
      </c>
      <c r="L2906" s="187">
        <v>44.6</v>
      </c>
      <c r="M2906" s="187">
        <v>105000000</v>
      </c>
      <c r="N2906" s="187">
        <v>809000</v>
      </c>
      <c r="O2906" s="187">
        <v>703000</v>
      </c>
      <c r="P2906" s="187">
        <v>120</v>
      </c>
      <c r="Q2906" s="187">
        <v>105000000</v>
      </c>
      <c r="R2906" s="187">
        <v>809000</v>
      </c>
      <c r="S2906" s="187">
        <v>703000</v>
      </c>
      <c r="T2906" s="187">
        <v>120</v>
      </c>
      <c r="U2906" s="187">
        <v>161000000</v>
      </c>
      <c r="V2906" s="188"/>
    </row>
    <row r="2907" spans="1:22">
      <c r="A2907" s="190" t="s">
        <v>5521</v>
      </c>
      <c r="B2907" s="190" t="s">
        <v>5521</v>
      </c>
      <c r="C2907" s="187">
        <v>64.900000000000006</v>
      </c>
      <c r="D2907" s="187">
        <v>8260</v>
      </c>
      <c r="E2907" s="188">
        <v>300</v>
      </c>
      <c r="F2907" s="188">
        <v>300</v>
      </c>
      <c r="G2907" s="187">
        <v>7.1</v>
      </c>
      <c r="H2907" s="187">
        <v>7.1</v>
      </c>
      <c r="I2907" s="187">
        <v>7.1</v>
      </c>
      <c r="J2907" s="188"/>
      <c r="K2907" s="187">
        <v>39.299999999999997</v>
      </c>
      <c r="L2907" s="187">
        <v>39.299999999999997</v>
      </c>
      <c r="M2907" s="187">
        <v>118000000</v>
      </c>
      <c r="N2907" s="187">
        <v>906000</v>
      </c>
      <c r="O2907" s="187">
        <v>785000</v>
      </c>
      <c r="P2907" s="187">
        <v>119</v>
      </c>
      <c r="Q2907" s="187">
        <v>118000000</v>
      </c>
      <c r="R2907" s="187">
        <v>906000</v>
      </c>
      <c r="S2907" s="187">
        <v>785000</v>
      </c>
      <c r="T2907" s="187">
        <v>119</v>
      </c>
      <c r="U2907" s="187">
        <v>181000000</v>
      </c>
      <c r="V2907" s="188"/>
    </row>
    <row r="2908" spans="1:22">
      <c r="A2908" s="190" t="s">
        <v>5522</v>
      </c>
      <c r="B2908" s="190" t="s">
        <v>5522</v>
      </c>
      <c r="C2908" s="187">
        <v>72.8</v>
      </c>
      <c r="D2908" s="187">
        <v>9280</v>
      </c>
      <c r="E2908" s="188">
        <v>300</v>
      </c>
      <c r="F2908" s="188">
        <v>300</v>
      </c>
      <c r="G2908" s="187">
        <v>8</v>
      </c>
      <c r="H2908" s="187">
        <v>8</v>
      </c>
      <c r="I2908" s="187">
        <v>8</v>
      </c>
      <c r="J2908" s="188"/>
      <c r="K2908" s="187">
        <v>34.5</v>
      </c>
      <c r="L2908" s="187">
        <v>34.5</v>
      </c>
      <c r="M2908" s="187">
        <v>131000000</v>
      </c>
      <c r="N2908" s="187">
        <v>1010000</v>
      </c>
      <c r="O2908" s="187">
        <v>875000</v>
      </c>
      <c r="P2908" s="187">
        <v>119</v>
      </c>
      <c r="Q2908" s="187">
        <v>131000000</v>
      </c>
      <c r="R2908" s="187">
        <v>1010000</v>
      </c>
      <c r="S2908" s="187">
        <v>875000</v>
      </c>
      <c r="T2908" s="187">
        <v>119</v>
      </c>
      <c r="U2908" s="187">
        <v>202000000</v>
      </c>
      <c r="V2908" s="188"/>
    </row>
    <row r="2909" spans="1:22">
      <c r="A2909" s="190" t="s">
        <v>5523</v>
      </c>
      <c r="B2909" s="190" t="s">
        <v>5523</v>
      </c>
      <c r="C2909" s="187">
        <v>79.8</v>
      </c>
      <c r="D2909" s="187">
        <v>10200</v>
      </c>
      <c r="E2909" s="188">
        <v>300</v>
      </c>
      <c r="F2909" s="188">
        <v>300</v>
      </c>
      <c r="G2909" s="187">
        <v>8.8000000000000007</v>
      </c>
      <c r="H2909" s="187">
        <v>8.8000000000000007</v>
      </c>
      <c r="I2909" s="187">
        <v>8.8000000000000007</v>
      </c>
      <c r="J2909" s="188"/>
      <c r="K2909" s="187">
        <v>31.1</v>
      </c>
      <c r="L2909" s="187">
        <v>31.1</v>
      </c>
      <c r="M2909" s="187">
        <v>143000000</v>
      </c>
      <c r="N2909" s="187">
        <v>1110000</v>
      </c>
      <c r="O2909" s="187">
        <v>954000</v>
      </c>
      <c r="P2909" s="187">
        <v>119</v>
      </c>
      <c r="Q2909" s="187">
        <v>143000000</v>
      </c>
      <c r="R2909" s="187">
        <v>1110000</v>
      </c>
      <c r="S2909" s="187">
        <v>954000</v>
      </c>
      <c r="T2909" s="187">
        <v>119</v>
      </c>
      <c r="U2909" s="187">
        <v>221000000</v>
      </c>
      <c r="V2909" s="188"/>
    </row>
    <row r="2910" spans="1:22">
      <c r="A2910" s="190" t="s">
        <v>4648</v>
      </c>
      <c r="B2910" s="190" t="s">
        <v>4648</v>
      </c>
      <c r="C2910" s="187">
        <v>90.2</v>
      </c>
      <c r="D2910" s="187">
        <v>11500</v>
      </c>
      <c r="E2910" s="188">
        <v>300</v>
      </c>
      <c r="F2910" s="188">
        <v>300</v>
      </c>
      <c r="G2910" s="187">
        <v>10</v>
      </c>
      <c r="H2910" s="187">
        <v>10</v>
      </c>
      <c r="I2910" s="187">
        <v>10</v>
      </c>
      <c r="J2910" s="188"/>
      <c r="K2910" s="187">
        <v>27</v>
      </c>
      <c r="L2910" s="187">
        <v>27</v>
      </c>
      <c r="M2910" s="187">
        <v>160000000</v>
      </c>
      <c r="N2910" s="187">
        <v>1250000</v>
      </c>
      <c r="O2910" s="187">
        <v>1070000</v>
      </c>
      <c r="P2910" s="187">
        <v>118</v>
      </c>
      <c r="Q2910" s="187">
        <v>160000000</v>
      </c>
      <c r="R2910" s="187">
        <v>1250000</v>
      </c>
      <c r="S2910" s="187">
        <v>1070000</v>
      </c>
      <c r="T2910" s="187">
        <v>118</v>
      </c>
      <c r="U2910" s="187">
        <v>248000000</v>
      </c>
      <c r="V2910" s="188"/>
    </row>
    <row r="2911" spans="1:22">
      <c r="A2911" s="190" t="s">
        <v>5524</v>
      </c>
      <c r="B2911" s="190" t="s">
        <v>5524</v>
      </c>
      <c r="C2911" s="187">
        <v>98.8</v>
      </c>
      <c r="D2911" s="187">
        <v>12600</v>
      </c>
      <c r="E2911" s="188">
        <v>300</v>
      </c>
      <c r="F2911" s="188">
        <v>300</v>
      </c>
      <c r="G2911" s="187">
        <v>11</v>
      </c>
      <c r="H2911" s="187">
        <v>11</v>
      </c>
      <c r="I2911" s="187">
        <v>11</v>
      </c>
      <c r="J2911" s="188"/>
      <c r="K2911" s="187">
        <v>24.3</v>
      </c>
      <c r="L2911" s="187">
        <v>24.3</v>
      </c>
      <c r="M2911" s="187">
        <v>174000000</v>
      </c>
      <c r="N2911" s="187">
        <v>1360000</v>
      </c>
      <c r="O2911" s="187">
        <v>1160000</v>
      </c>
      <c r="P2911" s="187">
        <v>118</v>
      </c>
      <c r="Q2911" s="187">
        <v>174000000</v>
      </c>
      <c r="R2911" s="187">
        <v>1360000</v>
      </c>
      <c r="S2911" s="187">
        <v>1160000</v>
      </c>
      <c r="T2911" s="187">
        <v>118</v>
      </c>
      <c r="U2911" s="187">
        <v>270000000</v>
      </c>
      <c r="V2911" s="188"/>
    </row>
    <row r="2912" spans="1:22">
      <c r="A2912" s="190" t="s">
        <v>5525</v>
      </c>
      <c r="B2912" s="190" t="s">
        <v>5525</v>
      </c>
      <c r="C2912" s="187">
        <v>112</v>
      </c>
      <c r="D2912" s="187">
        <v>14200</v>
      </c>
      <c r="E2912" s="188">
        <v>300</v>
      </c>
      <c r="F2912" s="188">
        <v>300</v>
      </c>
      <c r="G2912" s="187">
        <v>12.5</v>
      </c>
      <c r="H2912" s="187">
        <v>12.5</v>
      </c>
      <c r="I2912" s="187">
        <v>12.5</v>
      </c>
      <c r="J2912" s="188"/>
      <c r="K2912" s="187">
        <v>21</v>
      </c>
      <c r="L2912" s="187">
        <v>21</v>
      </c>
      <c r="M2912" s="187">
        <v>194000000</v>
      </c>
      <c r="N2912" s="187">
        <v>1520000</v>
      </c>
      <c r="O2912" s="187">
        <v>1300000</v>
      </c>
      <c r="P2912" s="187">
        <v>117</v>
      </c>
      <c r="Q2912" s="187">
        <v>194000000</v>
      </c>
      <c r="R2912" s="187">
        <v>1520000</v>
      </c>
      <c r="S2912" s="187">
        <v>1300000</v>
      </c>
      <c r="T2912" s="187">
        <v>117</v>
      </c>
      <c r="U2912" s="187">
        <v>303000000</v>
      </c>
      <c r="V2912" s="188"/>
    </row>
    <row r="2913" spans="1:22">
      <c r="A2913" s="190" t="s">
        <v>5526</v>
      </c>
      <c r="B2913" s="190" t="s">
        <v>5526</v>
      </c>
      <c r="C2913" s="187">
        <v>126</v>
      </c>
      <c r="D2913" s="187">
        <v>16000</v>
      </c>
      <c r="E2913" s="188">
        <v>300</v>
      </c>
      <c r="F2913" s="188">
        <v>300</v>
      </c>
      <c r="G2913" s="187">
        <v>14.2</v>
      </c>
      <c r="H2913" s="187">
        <v>14.2</v>
      </c>
      <c r="I2913" s="187">
        <v>14.2</v>
      </c>
      <c r="J2913" s="188"/>
      <c r="K2913" s="187">
        <v>18.100000000000001</v>
      </c>
      <c r="L2913" s="187">
        <v>18.100000000000001</v>
      </c>
      <c r="M2913" s="187">
        <v>216000000</v>
      </c>
      <c r="N2913" s="187">
        <v>1710000</v>
      </c>
      <c r="O2913" s="187">
        <v>1440000</v>
      </c>
      <c r="P2913" s="187">
        <v>116</v>
      </c>
      <c r="Q2913" s="187">
        <v>216000000</v>
      </c>
      <c r="R2913" s="187">
        <v>1710000</v>
      </c>
      <c r="S2913" s="187">
        <v>1440000</v>
      </c>
      <c r="T2913" s="187">
        <v>116</v>
      </c>
      <c r="U2913" s="187">
        <v>339000000</v>
      </c>
      <c r="V2913" s="188"/>
    </row>
    <row r="2914" spans="1:22">
      <c r="A2914" s="190" t="s">
        <v>5527</v>
      </c>
      <c r="B2914" s="190" t="s">
        <v>5527</v>
      </c>
      <c r="C2914" s="187">
        <v>141</v>
      </c>
      <c r="D2914" s="187">
        <v>17900</v>
      </c>
      <c r="E2914" s="188">
        <v>300</v>
      </c>
      <c r="F2914" s="188">
        <v>300</v>
      </c>
      <c r="G2914" s="187">
        <v>16</v>
      </c>
      <c r="H2914" s="187">
        <v>16</v>
      </c>
      <c r="I2914" s="187">
        <v>16</v>
      </c>
      <c r="J2914" s="188"/>
      <c r="K2914" s="187">
        <v>15.8</v>
      </c>
      <c r="L2914" s="187">
        <v>15.8</v>
      </c>
      <c r="M2914" s="187">
        <v>238000000</v>
      </c>
      <c r="N2914" s="187">
        <v>1900000</v>
      </c>
      <c r="O2914" s="187">
        <v>1590000</v>
      </c>
      <c r="P2914" s="187">
        <v>115</v>
      </c>
      <c r="Q2914" s="187">
        <v>238000000</v>
      </c>
      <c r="R2914" s="187">
        <v>1900000</v>
      </c>
      <c r="S2914" s="187">
        <v>1590000</v>
      </c>
      <c r="T2914" s="187">
        <v>115</v>
      </c>
      <c r="U2914" s="187">
        <v>376000000</v>
      </c>
      <c r="V2914" s="188"/>
    </row>
    <row r="2915" spans="1:22">
      <c r="A2915" s="190" t="s">
        <v>5528</v>
      </c>
      <c r="B2915" s="190" t="s">
        <v>5528</v>
      </c>
      <c r="C2915" s="187">
        <v>85.4</v>
      </c>
      <c r="D2915" s="187">
        <v>10900</v>
      </c>
      <c r="E2915" s="188">
        <v>350</v>
      </c>
      <c r="F2915" s="188">
        <v>350</v>
      </c>
      <c r="G2915" s="187">
        <v>8</v>
      </c>
      <c r="H2915" s="187">
        <v>8</v>
      </c>
      <c r="I2915" s="187">
        <v>8</v>
      </c>
      <c r="J2915" s="188"/>
      <c r="K2915" s="187">
        <v>40.799999999999997</v>
      </c>
      <c r="L2915" s="187">
        <v>40.799999999999997</v>
      </c>
      <c r="M2915" s="187">
        <v>211000000</v>
      </c>
      <c r="N2915" s="187">
        <v>1390000</v>
      </c>
      <c r="O2915" s="187">
        <v>1210000</v>
      </c>
      <c r="P2915" s="187">
        <v>139</v>
      </c>
      <c r="Q2915" s="187">
        <v>211000000</v>
      </c>
      <c r="R2915" s="187">
        <v>1390000</v>
      </c>
      <c r="S2915" s="187">
        <v>1210000</v>
      </c>
      <c r="T2915" s="187">
        <v>139</v>
      </c>
      <c r="U2915" s="187">
        <v>324000000</v>
      </c>
      <c r="V2915" s="188"/>
    </row>
    <row r="2916" spans="1:22">
      <c r="A2916" s="190" t="s">
        <v>5531</v>
      </c>
      <c r="B2916" s="190" t="s">
        <v>5531</v>
      </c>
      <c r="C2916" s="187">
        <v>93.6</v>
      </c>
      <c r="D2916" s="187">
        <v>11900</v>
      </c>
      <c r="E2916" s="188">
        <v>350</v>
      </c>
      <c r="F2916" s="188">
        <v>350</v>
      </c>
      <c r="G2916" s="187">
        <v>8.8000000000000007</v>
      </c>
      <c r="H2916" s="187">
        <v>8.8000000000000007</v>
      </c>
      <c r="I2916" s="187">
        <v>8.8000000000000007</v>
      </c>
      <c r="J2916" s="188"/>
      <c r="K2916" s="187">
        <v>36.799999999999997</v>
      </c>
      <c r="L2916" s="187">
        <v>36.799999999999997</v>
      </c>
      <c r="M2916" s="187">
        <v>231000000</v>
      </c>
      <c r="N2916" s="187">
        <v>1520000</v>
      </c>
      <c r="O2916" s="187">
        <v>1320000</v>
      </c>
      <c r="P2916" s="187">
        <v>139</v>
      </c>
      <c r="Q2916" s="187">
        <v>231000000</v>
      </c>
      <c r="R2916" s="187">
        <v>1520000</v>
      </c>
      <c r="S2916" s="187">
        <v>1320000</v>
      </c>
      <c r="T2916" s="187">
        <v>139</v>
      </c>
      <c r="U2916" s="187">
        <v>354000000</v>
      </c>
      <c r="V2916" s="188"/>
    </row>
    <row r="2917" spans="1:22">
      <c r="A2917" s="190" t="s">
        <v>5529</v>
      </c>
      <c r="B2917" s="190" t="s">
        <v>5529</v>
      </c>
      <c r="C2917" s="187">
        <v>106</v>
      </c>
      <c r="D2917" s="187">
        <v>13500</v>
      </c>
      <c r="E2917" s="188">
        <v>350</v>
      </c>
      <c r="F2917" s="188">
        <v>350</v>
      </c>
      <c r="G2917" s="187">
        <v>10</v>
      </c>
      <c r="H2917" s="187">
        <v>10</v>
      </c>
      <c r="I2917" s="187">
        <v>10</v>
      </c>
      <c r="J2917" s="188"/>
      <c r="K2917" s="187">
        <v>32</v>
      </c>
      <c r="L2917" s="187">
        <v>32</v>
      </c>
      <c r="M2917" s="187">
        <v>259000000</v>
      </c>
      <c r="N2917" s="187">
        <v>1720000</v>
      </c>
      <c r="O2917" s="187">
        <v>1480000</v>
      </c>
      <c r="P2917" s="187">
        <v>139</v>
      </c>
      <c r="Q2917" s="187">
        <v>259000000</v>
      </c>
      <c r="R2917" s="187">
        <v>1720000</v>
      </c>
      <c r="S2917" s="187">
        <v>1480000</v>
      </c>
      <c r="T2917" s="187">
        <v>139</v>
      </c>
      <c r="U2917" s="187">
        <v>399000000</v>
      </c>
      <c r="V2917" s="188"/>
    </row>
    <row r="2918" spans="1:22">
      <c r="A2918" s="190" t="s">
        <v>5530</v>
      </c>
      <c r="B2918" s="190" t="s">
        <v>5530</v>
      </c>
      <c r="C2918" s="187">
        <v>116</v>
      </c>
      <c r="D2918" s="187">
        <v>14800</v>
      </c>
      <c r="E2918" s="188">
        <v>350</v>
      </c>
      <c r="F2918" s="188">
        <v>350</v>
      </c>
      <c r="G2918" s="187">
        <v>11</v>
      </c>
      <c r="H2918" s="187">
        <v>11</v>
      </c>
      <c r="I2918" s="187">
        <v>11</v>
      </c>
      <c r="J2918" s="188"/>
      <c r="K2918" s="187">
        <v>28.8</v>
      </c>
      <c r="L2918" s="187">
        <v>28.8</v>
      </c>
      <c r="M2918" s="187">
        <v>282000000</v>
      </c>
      <c r="N2918" s="187">
        <v>1870000</v>
      </c>
      <c r="O2918" s="187">
        <v>1610000</v>
      </c>
      <c r="P2918" s="187">
        <v>138</v>
      </c>
      <c r="Q2918" s="187">
        <v>282000000</v>
      </c>
      <c r="R2918" s="187">
        <v>1870000</v>
      </c>
      <c r="S2918" s="187">
        <v>1610000</v>
      </c>
      <c r="T2918" s="187">
        <v>138</v>
      </c>
      <c r="U2918" s="187">
        <v>435000000</v>
      </c>
      <c r="V2918" s="188"/>
    </row>
    <row r="2919" spans="1:22">
      <c r="A2919" s="190" t="s">
        <v>5532</v>
      </c>
      <c r="B2919" s="190" t="s">
        <v>5532</v>
      </c>
      <c r="C2919" s="187">
        <v>131</v>
      </c>
      <c r="D2919" s="187">
        <v>16700</v>
      </c>
      <c r="E2919" s="188">
        <v>350</v>
      </c>
      <c r="F2919" s="188">
        <v>350</v>
      </c>
      <c r="G2919" s="187">
        <v>12.5</v>
      </c>
      <c r="H2919" s="187">
        <v>12.5</v>
      </c>
      <c r="I2919" s="187">
        <v>12.5</v>
      </c>
      <c r="J2919" s="188"/>
      <c r="K2919" s="187">
        <v>25</v>
      </c>
      <c r="L2919" s="187">
        <v>25</v>
      </c>
      <c r="M2919" s="187">
        <v>315000000</v>
      </c>
      <c r="N2919" s="187">
        <v>2110000</v>
      </c>
      <c r="O2919" s="187">
        <v>1800000</v>
      </c>
      <c r="P2919" s="187">
        <v>137</v>
      </c>
      <c r="Q2919" s="187">
        <v>315000000</v>
      </c>
      <c r="R2919" s="187">
        <v>2110000</v>
      </c>
      <c r="S2919" s="187">
        <v>1800000</v>
      </c>
      <c r="T2919" s="187">
        <v>137</v>
      </c>
      <c r="U2919" s="187">
        <v>489000000</v>
      </c>
      <c r="V2919" s="188"/>
    </row>
    <row r="2920" spans="1:22">
      <c r="A2920" s="190" t="s">
        <v>5533</v>
      </c>
      <c r="B2920" s="190" t="s">
        <v>5533</v>
      </c>
      <c r="C2920" s="187">
        <v>148</v>
      </c>
      <c r="D2920" s="187">
        <v>18900</v>
      </c>
      <c r="E2920" s="188">
        <v>350</v>
      </c>
      <c r="F2920" s="188">
        <v>350</v>
      </c>
      <c r="G2920" s="187">
        <v>14.2</v>
      </c>
      <c r="H2920" s="187">
        <v>14.2</v>
      </c>
      <c r="I2920" s="187">
        <v>14.2</v>
      </c>
      <c r="J2920" s="188"/>
      <c r="K2920" s="187">
        <v>21.6</v>
      </c>
      <c r="L2920" s="187">
        <v>21.6</v>
      </c>
      <c r="M2920" s="187">
        <v>352000000</v>
      </c>
      <c r="N2920" s="187">
        <v>2360000</v>
      </c>
      <c r="O2920" s="187">
        <v>2010000</v>
      </c>
      <c r="P2920" s="187">
        <v>137</v>
      </c>
      <c r="Q2920" s="187">
        <v>352000000</v>
      </c>
      <c r="R2920" s="187">
        <v>2360000</v>
      </c>
      <c r="S2920" s="187">
        <v>2010000</v>
      </c>
      <c r="T2920" s="187">
        <v>137</v>
      </c>
      <c r="U2920" s="187">
        <v>549000000</v>
      </c>
      <c r="V2920" s="188"/>
    </row>
    <row r="2921" spans="1:22">
      <c r="A2921" s="190" t="s">
        <v>5534</v>
      </c>
      <c r="B2921" s="190" t="s">
        <v>5534</v>
      </c>
      <c r="C2921" s="187">
        <v>166</v>
      </c>
      <c r="D2921" s="187">
        <v>21100</v>
      </c>
      <c r="E2921" s="188">
        <v>350</v>
      </c>
      <c r="F2921" s="188">
        <v>350</v>
      </c>
      <c r="G2921" s="187">
        <v>16</v>
      </c>
      <c r="H2921" s="187">
        <v>16</v>
      </c>
      <c r="I2921" s="187">
        <v>16</v>
      </c>
      <c r="J2921" s="188"/>
      <c r="K2921" s="187">
        <v>18.899999999999999</v>
      </c>
      <c r="L2921" s="187">
        <v>18.899999999999999</v>
      </c>
      <c r="M2921" s="187">
        <v>389000000</v>
      </c>
      <c r="N2921" s="187">
        <v>2630000</v>
      </c>
      <c r="O2921" s="187">
        <v>2220000</v>
      </c>
      <c r="P2921" s="187">
        <v>136</v>
      </c>
      <c r="Q2921" s="187">
        <v>389000000</v>
      </c>
      <c r="R2921" s="187">
        <v>2630000</v>
      </c>
      <c r="S2921" s="187">
        <v>2220000</v>
      </c>
      <c r="T2921" s="187">
        <v>136</v>
      </c>
      <c r="U2921" s="187">
        <v>610000000</v>
      </c>
      <c r="V2921" s="188"/>
    </row>
    <row r="2922" spans="1:22">
      <c r="A2922" s="190" t="s">
        <v>5455</v>
      </c>
      <c r="B2922" s="190" t="s">
        <v>5455</v>
      </c>
      <c r="C2922" s="187">
        <v>97.9</v>
      </c>
      <c r="D2922" s="187">
        <v>12500</v>
      </c>
      <c r="E2922" s="188">
        <v>400</v>
      </c>
      <c r="F2922" s="188">
        <v>400</v>
      </c>
      <c r="G2922" s="187">
        <v>8</v>
      </c>
      <c r="H2922" s="187">
        <v>8</v>
      </c>
      <c r="I2922" s="187">
        <v>8</v>
      </c>
      <c r="J2922" s="188"/>
      <c r="K2922" s="187">
        <v>47</v>
      </c>
      <c r="L2922" s="187">
        <v>47</v>
      </c>
      <c r="M2922" s="187">
        <v>319000000</v>
      </c>
      <c r="N2922" s="187">
        <v>1830000</v>
      </c>
      <c r="O2922" s="187">
        <v>1590000</v>
      </c>
      <c r="P2922" s="187">
        <v>160</v>
      </c>
      <c r="Q2922" s="187">
        <v>319000000</v>
      </c>
      <c r="R2922" s="187">
        <v>1830000</v>
      </c>
      <c r="S2922" s="187">
        <v>1590000</v>
      </c>
      <c r="T2922" s="187">
        <v>160</v>
      </c>
      <c r="U2922" s="187">
        <v>487000000</v>
      </c>
      <c r="V2922" s="188"/>
    </row>
    <row r="2923" spans="1:22">
      <c r="A2923" s="178" t="s">
        <v>5456</v>
      </c>
      <c r="B2923" s="178" t="s">
        <v>5456</v>
      </c>
      <c r="C2923" s="187">
        <v>107</v>
      </c>
      <c r="D2923" s="187">
        <v>13700</v>
      </c>
      <c r="E2923" s="188">
        <v>400</v>
      </c>
      <c r="F2923" s="188">
        <v>400</v>
      </c>
      <c r="G2923" s="187">
        <v>8.8000000000000007</v>
      </c>
      <c r="H2923" s="187">
        <v>8.8000000000000007</v>
      </c>
      <c r="I2923" s="187">
        <v>8.8000000000000007</v>
      </c>
      <c r="J2923" s="188"/>
      <c r="K2923" s="187">
        <v>42.5</v>
      </c>
      <c r="L2923" s="187">
        <v>42.5</v>
      </c>
      <c r="M2923" s="187">
        <v>348000000</v>
      </c>
      <c r="N2923" s="187">
        <v>2000000</v>
      </c>
      <c r="O2923" s="187">
        <v>1740000</v>
      </c>
      <c r="P2923" s="187">
        <v>159</v>
      </c>
      <c r="Q2923" s="187">
        <v>348000000</v>
      </c>
      <c r="R2923" s="187">
        <v>2000000</v>
      </c>
      <c r="S2923" s="187">
        <v>1740000</v>
      </c>
      <c r="T2923" s="187">
        <v>159</v>
      </c>
      <c r="U2923" s="187">
        <v>533000000</v>
      </c>
      <c r="V2923" s="188"/>
    </row>
    <row r="2924" spans="1:22">
      <c r="A2924" s="178" t="s">
        <v>5457</v>
      </c>
      <c r="B2924" s="178" t="s">
        <v>5457</v>
      </c>
      <c r="C2924" s="187">
        <v>122</v>
      </c>
      <c r="D2924" s="187">
        <v>15500</v>
      </c>
      <c r="E2924" s="188">
        <v>400</v>
      </c>
      <c r="F2924" s="188">
        <v>400</v>
      </c>
      <c r="G2924" s="187">
        <v>10</v>
      </c>
      <c r="H2924" s="187">
        <v>10</v>
      </c>
      <c r="I2924" s="187">
        <v>10</v>
      </c>
      <c r="J2924" s="188"/>
      <c r="K2924" s="187">
        <v>37</v>
      </c>
      <c r="L2924" s="187">
        <v>37</v>
      </c>
      <c r="M2924" s="187">
        <v>391000000</v>
      </c>
      <c r="N2924" s="187">
        <v>2260000</v>
      </c>
      <c r="O2924" s="187">
        <v>1960000</v>
      </c>
      <c r="P2924" s="187">
        <v>159</v>
      </c>
      <c r="Q2924" s="187">
        <v>391000000</v>
      </c>
      <c r="R2924" s="187">
        <v>2260000</v>
      </c>
      <c r="S2924" s="187">
        <v>1960000</v>
      </c>
      <c r="T2924" s="187">
        <v>159</v>
      </c>
      <c r="U2924" s="187">
        <v>601000000</v>
      </c>
      <c r="V2924" s="188"/>
    </row>
    <row r="2925" spans="1:22">
      <c r="A2925" s="178" t="s">
        <v>5458</v>
      </c>
      <c r="B2925" s="178" t="s">
        <v>5458</v>
      </c>
      <c r="C2925" s="187">
        <v>133</v>
      </c>
      <c r="D2925" s="187">
        <v>17000</v>
      </c>
      <c r="E2925" s="188">
        <v>400</v>
      </c>
      <c r="F2925" s="188">
        <v>400</v>
      </c>
      <c r="G2925" s="187">
        <v>11</v>
      </c>
      <c r="H2925" s="187">
        <v>11</v>
      </c>
      <c r="I2925" s="187">
        <v>11</v>
      </c>
      <c r="J2925" s="188"/>
      <c r="K2925" s="187">
        <v>33.4</v>
      </c>
      <c r="L2925" s="187">
        <v>33.4</v>
      </c>
      <c r="M2925" s="187">
        <v>427000000</v>
      </c>
      <c r="N2925" s="187">
        <v>2470000</v>
      </c>
      <c r="O2925" s="187">
        <v>2130000</v>
      </c>
      <c r="P2925" s="187">
        <v>158</v>
      </c>
      <c r="Q2925" s="187">
        <v>427000000</v>
      </c>
      <c r="R2925" s="187">
        <v>2470000</v>
      </c>
      <c r="S2925" s="187">
        <v>2130000</v>
      </c>
      <c r="T2925" s="187">
        <v>158</v>
      </c>
      <c r="U2925" s="187">
        <v>657000000</v>
      </c>
      <c r="V2925" s="188"/>
    </row>
    <row r="2926" spans="1:22">
      <c r="A2926" s="178" t="s">
        <v>5459</v>
      </c>
      <c r="B2926" s="178" t="s">
        <v>5459</v>
      </c>
      <c r="C2926" s="187">
        <v>151</v>
      </c>
      <c r="D2926" s="187">
        <v>19200</v>
      </c>
      <c r="E2926" s="188">
        <v>400</v>
      </c>
      <c r="F2926" s="188">
        <v>400</v>
      </c>
      <c r="G2926" s="187">
        <v>12.5</v>
      </c>
      <c r="H2926" s="187">
        <v>12.5</v>
      </c>
      <c r="I2926" s="187">
        <v>12.5</v>
      </c>
      <c r="J2926" s="188"/>
      <c r="K2926" s="187">
        <v>29</v>
      </c>
      <c r="L2926" s="187">
        <v>29</v>
      </c>
      <c r="M2926" s="187">
        <v>478000000</v>
      </c>
      <c r="N2926" s="187">
        <v>2780000</v>
      </c>
      <c r="O2926" s="187">
        <v>2390000</v>
      </c>
      <c r="P2926" s="187">
        <v>158</v>
      </c>
      <c r="Q2926" s="187">
        <v>478000000</v>
      </c>
      <c r="R2926" s="187">
        <v>2780000</v>
      </c>
      <c r="S2926" s="187">
        <v>2390000</v>
      </c>
      <c r="T2926" s="187">
        <v>158</v>
      </c>
      <c r="U2926" s="187">
        <v>739000000</v>
      </c>
      <c r="V2926" s="188"/>
    </row>
    <row r="2927" spans="1:22">
      <c r="A2927" s="178" t="s">
        <v>5460</v>
      </c>
      <c r="B2927" s="178" t="s">
        <v>5460</v>
      </c>
      <c r="C2927" s="187">
        <v>170</v>
      </c>
      <c r="D2927" s="187">
        <v>21700</v>
      </c>
      <c r="E2927" s="188">
        <v>400</v>
      </c>
      <c r="F2927" s="188">
        <v>400</v>
      </c>
      <c r="G2927" s="187">
        <v>14.2</v>
      </c>
      <c r="H2927" s="187">
        <v>14.2</v>
      </c>
      <c r="I2927" s="187">
        <v>14.2</v>
      </c>
      <c r="J2927" s="188"/>
      <c r="K2927" s="187">
        <v>25.2</v>
      </c>
      <c r="L2927" s="187">
        <v>25.2</v>
      </c>
      <c r="M2927" s="187">
        <v>535000000</v>
      </c>
      <c r="N2927" s="187">
        <v>3130000</v>
      </c>
      <c r="O2927" s="187">
        <v>2680000</v>
      </c>
      <c r="P2927" s="187">
        <v>157</v>
      </c>
      <c r="Q2927" s="187">
        <v>535000000</v>
      </c>
      <c r="R2927" s="187">
        <v>3130000</v>
      </c>
      <c r="S2927" s="187">
        <v>2680000</v>
      </c>
      <c r="T2927" s="187">
        <v>157</v>
      </c>
      <c r="U2927" s="187">
        <v>830000000</v>
      </c>
      <c r="V2927" s="188"/>
    </row>
    <row r="2928" spans="1:22">
      <c r="A2928" s="195" t="s">
        <v>5461</v>
      </c>
      <c r="B2928" s="178" t="s">
        <v>5461</v>
      </c>
      <c r="C2928" s="187">
        <v>191</v>
      </c>
      <c r="D2928" s="187">
        <v>24300</v>
      </c>
      <c r="E2928" s="188">
        <v>400</v>
      </c>
      <c r="F2928" s="188">
        <v>400</v>
      </c>
      <c r="G2928" s="187">
        <v>16</v>
      </c>
      <c r="H2928" s="187">
        <v>16</v>
      </c>
      <c r="I2928" s="187">
        <v>16</v>
      </c>
      <c r="J2928" s="188"/>
      <c r="K2928" s="187">
        <v>22</v>
      </c>
      <c r="L2928" s="187">
        <v>22</v>
      </c>
      <c r="M2928" s="187">
        <v>593000000</v>
      </c>
      <c r="N2928" s="187">
        <v>3480000</v>
      </c>
      <c r="O2928" s="187">
        <v>2970000</v>
      </c>
      <c r="P2928" s="187">
        <v>156</v>
      </c>
      <c r="Q2928" s="187">
        <v>593000000</v>
      </c>
      <c r="R2928" s="187">
        <v>3480000</v>
      </c>
      <c r="S2928" s="187">
        <v>2970000</v>
      </c>
      <c r="T2928" s="187">
        <v>156</v>
      </c>
      <c r="U2928" s="187">
        <v>924000000</v>
      </c>
      <c r="V2928" s="188"/>
    </row>
    <row r="2929" spans="1:20" ht="15.6">
      <c r="A2929" s="191" t="s">
        <v>5720</v>
      </c>
      <c r="B2929" s="191" t="s">
        <v>5560</v>
      </c>
      <c r="C2929" s="191">
        <v>17.190000000000001</v>
      </c>
      <c r="D2929" s="191">
        <v>2190</v>
      </c>
      <c r="E2929" s="191">
        <v>100</v>
      </c>
      <c r="F2929" s="191">
        <v>100</v>
      </c>
      <c r="G2929" s="191">
        <v>6</v>
      </c>
      <c r="H2929" s="191">
        <v>8</v>
      </c>
      <c r="J2929" s="191">
        <v>10</v>
      </c>
      <c r="K2929" s="196">
        <f t="shared" ref="K2929" si="29">F2929/2/H2929</f>
        <v>6.25</v>
      </c>
      <c r="L2929" s="196">
        <f t="shared" ref="L2929" si="30">(E2929-2*H2929-2*J2929)/G2929</f>
        <v>10.666666666666666</v>
      </c>
      <c r="M2929" s="189">
        <f>F2929*E2929^3/12-(F2929-G2929)*(E2929-2*H2929)^3/12</f>
        <v>3690485.333333333</v>
      </c>
      <c r="N2929" s="189">
        <f>F2929*E2929^2/4-(F2929-G2929)*(E2929-2*H2929)^2/4</f>
        <v>84184</v>
      </c>
      <c r="O2929" s="189">
        <f>M2929/(E2929/2)</f>
        <v>73809.706666666665</v>
      </c>
      <c r="P2929" s="196">
        <f>SQRT(M2929/D2929)</f>
        <v>41.05061656350037</v>
      </c>
      <c r="Q2929" s="189">
        <f>2*H2929*F2929^3/12+(E2929-2*H2929)*G2929^3/12</f>
        <v>1334845.3333333333</v>
      </c>
      <c r="S2929" s="189">
        <f>Q2929/(F2929/2)</f>
        <v>26696.906666666666</v>
      </c>
      <c r="T2929" s="196">
        <f>SQRT(Q2929/D2929)</f>
        <v>24.688426783559624</v>
      </c>
    </row>
    <row r="2930" spans="1:20" ht="15.6">
      <c r="A2930" s="191" t="s">
        <v>5721</v>
      </c>
      <c r="B2930" s="191" t="s">
        <v>5561</v>
      </c>
      <c r="C2930" s="191">
        <v>23.79</v>
      </c>
      <c r="D2930" s="191">
        <v>3031</v>
      </c>
      <c r="E2930" s="191">
        <v>125</v>
      </c>
      <c r="F2930" s="191">
        <v>125</v>
      </c>
      <c r="G2930" s="191">
        <v>6.5</v>
      </c>
      <c r="H2930" s="191">
        <v>9</v>
      </c>
      <c r="J2930" s="191">
        <v>10</v>
      </c>
      <c r="K2930" s="196">
        <f t="shared" ref="K2930:K2993" si="31">F2930/2/H2930</f>
        <v>6.9444444444444446</v>
      </c>
      <c r="L2930" s="196">
        <f t="shared" ref="L2930:L2993" si="32">(E2930-2*H2930-2*J2930)/G2930</f>
        <v>13.384615384615385</v>
      </c>
      <c r="M2930" s="189">
        <f t="shared" ref="M2930:M2993" si="33">F2930*E2930^3/12-(F2930-G2930)*(E2930-2*H2930)^3/12</f>
        <v>8247752.4583333321</v>
      </c>
      <c r="N2930" s="189">
        <f t="shared" ref="N2930:N2993" si="34">F2930*E2930^2/4-(F2930-G2930)*(E2930-2*H2930)^2/4</f>
        <v>149104.625</v>
      </c>
      <c r="O2930" s="189">
        <f t="shared" ref="O2930:O2993" si="35">M2930/(E2930/2)</f>
        <v>131964.03933333332</v>
      </c>
      <c r="P2930" s="196">
        <f t="shared" ref="P2930:P2993" si="36">SQRT(M2930/D2930)</f>
        <v>52.164474988121164</v>
      </c>
      <c r="Q2930" s="189">
        <f t="shared" ref="Q2930:Q2993" si="37">2*H2930*F2930^3/12+(E2930-2*H2930)*G2930^3/12</f>
        <v>2932136.2395833335</v>
      </c>
      <c r="S2930" s="189">
        <f t="shared" ref="S2930:S2993" si="38">Q2930/(F2930/2)</f>
        <v>46914.179833333335</v>
      </c>
      <c r="T2930" s="196">
        <f t="shared" ref="T2930:T2993" si="39">SQRT(Q2930/D2930)</f>
        <v>31.102772562851175</v>
      </c>
    </row>
    <row r="2931" spans="1:20" ht="15.6">
      <c r="A2931" s="191" t="s">
        <v>5722</v>
      </c>
      <c r="B2931" s="191" t="s">
        <v>5562</v>
      </c>
      <c r="C2931" s="191">
        <v>31.83</v>
      </c>
      <c r="D2931" s="191">
        <v>4054.9999999999995</v>
      </c>
      <c r="E2931" s="191">
        <v>150</v>
      </c>
      <c r="F2931" s="191">
        <v>150</v>
      </c>
      <c r="G2931" s="191">
        <v>7</v>
      </c>
      <c r="H2931" s="191">
        <v>10</v>
      </c>
      <c r="J2931" s="191">
        <v>13</v>
      </c>
      <c r="K2931" s="196">
        <f t="shared" si="31"/>
        <v>7.5</v>
      </c>
      <c r="L2931" s="196">
        <f t="shared" si="32"/>
        <v>14.857142857142858</v>
      </c>
      <c r="M2931" s="189">
        <f t="shared" si="33"/>
        <v>16006583.333333332</v>
      </c>
      <c r="N2931" s="189">
        <f t="shared" si="34"/>
        <v>239575</v>
      </c>
      <c r="O2931" s="189">
        <f t="shared" si="35"/>
        <v>213421.11111111109</v>
      </c>
      <c r="P2931" s="196">
        <f t="shared" si="36"/>
        <v>62.828094851520042</v>
      </c>
      <c r="Q2931" s="189">
        <f t="shared" si="37"/>
        <v>5628715.833333333</v>
      </c>
      <c r="S2931" s="189">
        <f t="shared" si="38"/>
        <v>75049.544444444444</v>
      </c>
      <c r="T2931" s="196">
        <f t="shared" si="39"/>
        <v>37.257115883134396</v>
      </c>
    </row>
    <row r="2932" spans="1:20" ht="15.6">
      <c r="A2932" s="191" t="s">
        <v>5723</v>
      </c>
      <c r="B2932" s="191" t="s">
        <v>5563</v>
      </c>
      <c r="C2932" s="191">
        <v>40.369999999999997</v>
      </c>
      <c r="D2932" s="191">
        <v>5143</v>
      </c>
      <c r="E2932" s="191">
        <v>175</v>
      </c>
      <c r="F2932" s="191">
        <v>175</v>
      </c>
      <c r="G2932" s="191">
        <v>7.5</v>
      </c>
      <c r="H2932" s="191">
        <v>11</v>
      </c>
      <c r="J2932" s="191">
        <v>13</v>
      </c>
      <c r="K2932" s="196">
        <f t="shared" si="31"/>
        <v>7.9545454545454541</v>
      </c>
      <c r="L2932" s="196">
        <f t="shared" si="32"/>
        <v>16.933333333333334</v>
      </c>
      <c r="M2932" s="189">
        <f t="shared" si="33"/>
        <v>28164706.458333328</v>
      </c>
      <c r="N2932" s="189">
        <f t="shared" si="34"/>
        <v>359591.875</v>
      </c>
      <c r="O2932" s="189">
        <f t="shared" si="35"/>
        <v>321882.35952380946</v>
      </c>
      <c r="P2932" s="196">
        <f t="shared" si="36"/>
        <v>74.002152538091195</v>
      </c>
      <c r="Q2932" s="189">
        <f t="shared" si="37"/>
        <v>9830899.739583334</v>
      </c>
      <c r="S2932" s="189">
        <f t="shared" si="38"/>
        <v>112353.13988095238</v>
      </c>
      <c r="T2932" s="196">
        <f t="shared" si="39"/>
        <v>43.720827310696436</v>
      </c>
    </row>
    <row r="2933" spans="1:20" ht="15.6">
      <c r="A2933" s="191" t="s">
        <v>5724</v>
      </c>
      <c r="B2933" s="191" t="s">
        <v>5564</v>
      </c>
      <c r="C2933" s="191">
        <v>50.46</v>
      </c>
      <c r="D2933" s="191">
        <v>6428</v>
      </c>
      <c r="E2933" s="191">
        <v>200</v>
      </c>
      <c r="F2933" s="191">
        <v>200</v>
      </c>
      <c r="G2933" s="191">
        <v>8</v>
      </c>
      <c r="H2933" s="191">
        <v>12</v>
      </c>
      <c r="J2933" s="191">
        <v>16</v>
      </c>
      <c r="K2933" s="196">
        <f t="shared" si="31"/>
        <v>8.3333333333333339</v>
      </c>
      <c r="L2933" s="196">
        <f t="shared" si="32"/>
        <v>18</v>
      </c>
      <c r="M2933" s="189">
        <f t="shared" si="33"/>
        <v>46104917.333333328</v>
      </c>
      <c r="N2933" s="189">
        <f t="shared" si="34"/>
        <v>513152</v>
      </c>
      <c r="O2933" s="189">
        <f t="shared" si="35"/>
        <v>461049.17333333328</v>
      </c>
      <c r="P2933" s="196">
        <f t="shared" si="36"/>
        <v>84.690693623283451</v>
      </c>
      <c r="Q2933" s="189">
        <f t="shared" si="37"/>
        <v>16007509.333333334</v>
      </c>
      <c r="S2933" s="189">
        <f t="shared" si="38"/>
        <v>160075.09333333335</v>
      </c>
      <c r="T2933" s="196">
        <f t="shared" si="39"/>
        <v>49.90268896045923</v>
      </c>
    </row>
    <row r="2934" spans="1:20" ht="15.6">
      <c r="A2934" s="191" t="s">
        <v>5725</v>
      </c>
      <c r="B2934" s="191" t="s">
        <v>5565</v>
      </c>
      <c r="C2934" s="191">
        <v>56.74</v>
      </c>
      <c r="D2934" s="191">
        <v>7228</v>
      </c>
      <c r="E2934" s="191">
        <v>200</v>
      </c>
      <c r="F2934" s="191">
        <v>204</v>
      </c>
      <c r="G2934" s="191">
        <v>12</v>
      </c>
      <c r="H2934" s="191">
        <v>12</v>
      </c>
      <c r="J2934" s="191">
        <v>16</v>
      </c>
      <c r="K2934" s="196">
        <f t="shared" si="31"/>
        <v>8.5</v>
      </c>
      <c r="L2934" s="196">
        <f t="shared" si="32"/>
        <v>12</v>
      </c>
      <c r="M2934" s="189">
        <f t="shared" si="33"/>
        <v>48771584</v>
      </c>
      <c r="N2934" s="189">
        <f t="shared" si="34"/>
        <v>553152</v>
      </c>
      <c r="O2934" s="189">
        <f t="shared" si="35"/>
        <v>487715.84000000003</v>
      </c>
      <c r="P2934" s="196">
        <f t="shared" si="36"/>
        <v>82.143718454066743</v>
      </c>
      <c r="Q2934" s="189">
        <f t="shared" si="37"/>
        <v>17004672</v>
      </c>
      <c r="S2934" s="189">
        <f t="shared" si="38"/>
        <v>166712.4705882353</v>
      </c>
      <c r="T2934" s="196">
        <f t="shared" si="39"/>
        <v>48.503721067439102</v>
      </c>
    </row>
    <row r="2935" spans="1:20" ht="15.6">
      <c r="A2935" s="191" t="s">
        <v>5726</v>
      </c>
      <c r="B2935" s="191" t="s">
        <v>5566</v>
      </c>
      <c r="C2935" s="191">
        <v>72.36</v>
      </c>
      <c r="D2935" s="191">
        <v>9218</v>
      </c>
      <c r="E2935" s="191">
        <v>250</v>
      </c>
      <c r="F2935" s="191">
        <v>250</v>
      </c>
      <c r="G2935" s="191">
        <v>9</v>
      </c>
      <c r="H2935" s="191">
        <v>14</v>
      </c>
      <c r="J2935" s="191">
        <v>16</v>
      </c>
      <c r="K2935" s="196">
        <f t="shared" si="31"/>
        <v>8.9285714285714288</v>
      </c>
      <c r="L2935" s="196">
        <f t="shared" si="32"/>
        <v>21.111111111111111</v>
      </c>
      <c r="M2935" s="189">
        <f t="shared" si="33"/>
        <v>105788119.33333331</v>
      </c>
      <c r="N2935" s="189">
        <f t="shared" si="34"/>
        <v>936889</v>
      </c>
      <c r="O2935" s="189">
        <f t="shared" si="35"/>
        <v>846304.95466666645</v>
      </c>
      <c r="P2935" s="196">
        <f t="shared" si="36"/>
        <v>107.12728448270929</v>
      </c>
      <c r="Q2935" s="189">
        <f t="shared" si="37"/>
        <v>36471819.833333336</v>
      </c>
      <c r="S2935" s="189">
        <f t="shared" si="38"/>
        <v>291774.55866666668</v>
      </c>
      <c r="T2935" s="196">
        <f t="shared" si="39"/>
        <v>62.901407727421102</v>
      </c>
    </row>
    <row r="2936" spans="1:20" ht="15.6">
      <c r="A2936" s="191" t="s">
        <v>5727</v>
      </c>
      <c r="B2936" s="191" t="s">
        <v>5567</v>
      </c>
      <c r="C2936" s="191">
        <v>82.17</v>
      </c>
      <c r="D2936" s="191">
        <v>10468</v>
      </c>
      <c r="E2936" s="191">
        <v>250</v>
      </c>
      <c r="F2936" s="191">
        <v>255</v>
      </c>
      <c r="G2936" s="191">
        <v>14</v>
      </c>
      <c r="H2936" s="191">
        <v>14</v>
      </c>
      <c r="J2936" s="191">
        <v>16</v>
      </c>
      <c r="K2936" s="196">
        <f t="shared" si="31"/>
        <v>9.1071428571428577</v>
      </c>
      <c r="L2936" s="196">
        <f t="shared" si="32"/>
        <v>13.571428571428571</v>
      </c>
      <c r="M2936" s="189">
        <f t="shared" si="33"/>
        <v>112298536</v>
      </c>
      <c r="N2936" s="189">
        <f t="shared" si="34"/>
        <v>1015014</v>
      </c>
      <c r="O2936" s="189">
        <f t="shared" si="35"/>
        <v>898388.28799999994</v>
      </c>
      <c r="P2936" s="196">
        <f t="shared" si="36"/>
        <v>103.57505922095889</v>
      </c>
      <c r="Q2936" s="189">
        <f t="shared" si="37"/>
        <v>38740639</v>
      </c>
      <c r="S2936" s="189">
        <f t="shared" si="38"/>
        <v>303848.14901960787</v>
      </c>
      <c r="T2936" s="196">
        <f t="shared" si="39"/>
        <v>60.834722722533641</v>
      </c>
    </row>
    <row r="2937" spans="1:20" ht="15.6">
      <c r="A2937" s="191" t="s">
        <v>5728</v>
      </c>
      <c r="B2937" s="191" t="s">
        <v>5568</v>
      </c>
      <c r="C2937" s="191">
        <v>85.02</v>
      </c>
      <c r="D2937" s="191">
        <v>10831</v>
      </c>
      <c r="E2937" s="191">
        <v>294</v>
      </c>
      <c r="F2937" s="191">
        <v>302</v>
      </c>
      <c r="G2937" s="191">
        <v>12</v>
      </c>
      <c r="H2937" s="191">
        <v>12</v>
      </c>
      <c r="J2937" s="191">
        <v>20</v>
      </c>
      <c r="K2937" s="196">
        <f t="shared" si="31"/>
        <v>12.583333333333334</v>
      </c>
      <c r="L2937" s="196">
        <f t="shared" si="32"/>
        <v>19.166666666666668</v>
      </c>
      <c r="M2937" s="189">
        <f t="shared" si="33"/>
        <v>163867464</v>
      </c>
      <c r="N2937" s="189">
        <f t="shared" si="34"/>
        <v>1240668</v>
      </c>
      <c r="O2937" s="189">
        <f t="shared" si="35"/>
        <v>1114744.6530612244</v>
      </c>
      <c r="P2937" s="196">
        <f t="shared" si="36"/>
        <v>123.00197601949114</v>
      </c>
      <c r="Q2937" s="189">
        <f t="shared" si="37"/>
        <v>55126096</v>
      </c>
      <c r="S2937" s="189">
        <f t="shared" si="38"/>
        <v>365073.48344370862</v>
      </c>
      <c r="T2937" s="196">
        <f t="shared" si="39"/>
        <v>71.341845658252723</v>
      </c>
    </row>
    <row r="2938" spans="1:20" ht="15.6">
      <c r="A2938" s="191" t="s">
        <v>5729</v>
      </c>
      <c r="B2938" s="191" t="s">
        <v>5569</v>
      </c>
      <c r="C2938" s="191">
        <v>94.54</v>
      </c>
      <c r="D2938" s="191">
        <v>12043</v>
      </c>
      <c r="E2938" s="191">
        <v>300</v>
      </c>
      <c r="F2938" s="191">
        <v>300</v>
      </c>
      <c r="G2938" s="191">
        <v>10</v>
      </c>
      <c r="H2938" s="191">
        <v>15</v>
      </c>
      <c r="J2938" s="191">
        <v>20</v>
      </c>
      <c r="K2938" s="196">
        <f t="shared" si="31"/>
        <v>10</v>
      </c>
      <c r="L2938" s="196">
        <f t="shared" si="32"/>
        <v>23</v>
      </c>
      <c r="M2938" s="189">
        <f t="shared" si="33"/>
        <v>199327500</v>
      </c>
      <c r="N2938" s="189">
        <f t="shared" si="34"/>
        <v>1464750</v>
      </c>
      <c r="O2938" s="189">
        <f t="shared" si="35"/>
        <v>1328850</v>
      </c>
      <c r="P2938" s="196">
        <f t="shared" si="36"/>
        <v>128.65191843593524</v>
      </c>
      <c r="Q2938" s="189">
        <f t="shared" si="37"/>
        <v>67522500</v>
      </c>
      <c r="S2938" s="189">
        <f t="shared" si="38"/>
        <v>450150</v>
      </c>
      <c r="T2938" s="196">
        <f t="shared" si="39"/>
        <v>74.878461682344323</v>
      </c>
    </row>
    <row r="2939" spans="1:20" ht="15.6">
      <c r="A2939" s="191" t="s">
        <v>5730</v>
      </c>
      <c r="B2939" s="191" t="s">
        <v>5570</v>
      </c>
      <c r="C2939" s="191">
        <v>106.31</v>
      </c>
      <c r="D2939" s="191">
        <v>13543</v>
      </c>
      <c r="E2939" s="191">
        <v>300</v>
      </c>
      <c r="F2939" s="191">
        <v>305</v>
      </c>
      <c r="G2939" s="191">
        <v>15</v>
      </c>
      <c r="H2939" s="191">
        <v>15</v>
      </c>
      <c r="J2939" s="191">
        <v>20</v>
      </c>
      <c r="K2939" s="196">
        <f t="shared" si="31"/>
        <v>10.166666666666666</v>
      </c>
      <c r="L2939" s="196">
        <f t="shared" si="32"/>
        <v>15.333333333333334</v>
      </c>
      <c r="M2939" s="189">
        <f t="shared" si="33"/>
        <v>210577500</v>
      </c>
      <c r="N2939" s="189">
        <f t="shared" si="34"/>
        <v>1577250</v>
      </c>
      <c r="O2939" s="189">
        <f t="shared" si="35"/>
        <v>1403850</v>
      </c>
      <c r="P2939" s="196">
        <f t="shared" si="36"/>
        <v>124.69485756048871</v>
      </c>
      <c r="Q2939" s="189">
        <f t="shared" si="37"/>
        <v>71007500</v>
      </c>
      <c r="S2939" s="189">
        <f t="shared" si="38"/>
        <v>465622.95081967214</v>
      </c>
      <c r="T2939" s="196">
        <f t="shared" si="39"/>
        <v>72.409353844019321</v>
      </c>
    </row>
    <row r="2940" spans="1:20" ht="15.6">
      <c r="A2940" s="191" t="s">
        <v>5731</v>
      </c>
      <c r="B2940" s="191" t="s">
        <v>5571</v>
      </c>
      <c r="C2940" s="191">
        <v>114.6</v>
      </c>
      <c r="D2940" s="191">
        <v>14599</v>
      </c>
      <c r="E2940" s="191">
        <v>344</v>
      </c>
      <c r="F2940" s="191">
        <v>348</v>
      </c>
      <c r="G2940" s="191">
        <v>10</v>
      </c>
      <c r="H2940" s="191">
        <v>16</v>
      </c>
      <c r="J2940" s="191">
        <v>20</v>
      </c>
      <c r="K2940" s="196">
        <f t="shared" si="31"/>
        <v>10.875</v>
      </c>
      <c r="L2940" s="196">
        <f t="shared" si="32"/>
        <v>27.2</v>
      </c>
      <c r="M2940" s="189">
        <f t="shared" si="33"/>
        <v>325060864</v>
      </c>
      <c r="N2940" s="189">
        <f t="shared" si="34"/>
        <v>2069664</v>
      </c>
      <c r="O2940" s="189">
        <f t="shared" si="35"/>
        <v>1889888.7441860465</v>
      </c>
      <c r="P2940" s="196">
        <f t="shared" si="36"/>
        <v>149.21785350960559</v>
      </c>
      <c r="Q2940" s="189">
        <f t="shared" si="37"/>
        <v>112410512</v>
      </c>
      <c r="S2940" s="189">
        <f t="shared" si="38"/>
        <v>646037.42528735637</v>
      </c>
      <c r="T2940" s="196">
        <f t="shared" si="39"/>
        <v>87.748946009954651</v>
      </c>
    </row>
    <row r="2941" spans="1:20" ht="15.6">
      <c r="A2941" s="191" t="s">
        <v>5732</v>
      </c>
      <c r="B2941" s="191" t="s">
        <v>5572</v>
      </c>
      <c r="C2941" s="191">
        <v>136.49</v>
      </c>
      <c r="D2941" s="191">
        <v>17387</v>
      </c>
      <c r="E2941" s="191">
        <v>350</v>
      </c>
      <c r="F2941" s="191">
        <v>350</v>
      </c>
      <c r="G2941" s="191">
        <v>12</v>
      </c>
      <c r="H2941" s="191">
        <v>19</v>
      </c>
      <c r="J2941" s="191">
        <v>20</v>
      </c>
      <c r="K2941" s="196">
        <f t="shared" si="31"/>
        <v>9.2105263157894743</v>
      </c>
      <c r="L2941" s="196">
        <f t="shared" si="32"/>
        <v>22.666666666666668</v>
      </c>
      <c r="M2941" s="189">
        <f t="shared" si="33"/>
        <v>395061761.33333325</v>
      </c>
      <c r="N2941" s="189">
        <f t="shared" si="34"/>
        <v>2493182</v>
      </c>
      <c r="O2941" s="189">
        <f t="shared" si="35"/>
        <v>2257495.7790476186</v>
      </c>
      <c r="P2941" s="196">
        <f t="shared" si="36"/>
        <v>150.73710522363839</v>
      </c>
      <c r="Q2941" s="189">
        <f t="shared" si="37"/>
        <v>135815761.33333334</v>
      </c>
      <c r="S2941" s="189">
        <f t="shared" si="38"/>
        <v>776090.06476190477</v>
      </c>
      <c r="T2941" s="196">
        <f t="shared" si="39"/>
        <v>88.381783095915836</v>
      </c>
    </row>
    <row r="2942" spans="1:20" ht="15.6">
      <c r="A2942" s="191" t="s">
        <v>5733</v>
      </c>
      <c r="B2942" s="191" t="s">
        <v>5573</v>
      </c>
      <c r="C2942" s="191">
        <v>140.69999999999999</v>
      </c>
      <c r="D2942" s="191">
        <v>17924</v>
      </c>
      <c r="E2942" s="191">
        <v>388</v>
      </c>
      <c r="F2942" s="191">
        <v>402</v>
      </c>
      <c r="G2942" s="191">
        <v>15</v>
      </c>
      <c r="H2942" s="191">
        <v>15</v>
      </c>
      <c r="J2942" s="191">
        <v>24</v>
      </c>
      <c r="K2942" s="196">
        <f t="shared" si="31"/>
        <v>13.4</v>
      </c>
      <c r="L2942" s="196">
        <f t="shared" si="32"/>
        <v>20.666666666666668</v>
      </c>
      <c r="M2942" s="189">
        <f t="shared" si="33"/>
        <v>477053450</v>
      </c>
      <c r="N2942" s="189">
        <f t="shared" si="34"/>
        <v>2729805</v>
      </c>
      <c r="O2942" s="189">
        <f t="shared" si="35"/>
        <v>2459038.4020618559</v>
      </c>
      <c r="P2942" s="196">
        <f t="shared" si="36"/>
        <v>163.14210169977815</v>
      </c>
      <c r="Q2942" s="189">
        <f t="shared" si="37"/>
        <v>162512707.5</v>
      </c>
      <c r="S2942" s="189">
        <f t="shared" si="38"/>
        <v>808520.93283582095</v>
      </c>
      <c r="T2942" s="196">
        <f t="shared" si="39"/>
        <v>95.219565475844377</v>
      </c>
    </row>
    <row r="2943" spans="1:20" ht="15.6">
      <c r="A2943" s="191" t="s">
        <v>5734</v>
      </c>
      <c r="B2943" s="191" t="s">
        <v>5574</v>
      </c>
      <c r="C2943" s="191">
        <v>147.27000000000001</v>
      </c>
      <c r="D2943" s="191">
        <v>18760</v>
      </c>
      <c r="E2943" s="191">
        <v>394</v>
      </c>
      <c r="F2943" s="191">
        <v>398</v>
      </c>
      <c r="G2943" s="191">
        <v>11</v>
      </c>
      <c r="H2943" s="191">
        <v>18</v>
      </c>
      <c r="J2943" s="191">
        <v>24</v>
      </c>
      <c r="K2943" s="196">
        <f t="shared" si="31"/>
        <v>11.055555555555555</v>
      </c>
      <c r="L2943" s="196">
        <f t="shared" si="32"/>
        <v>28.181818181818183</v>
      </c>
      <c r="M2943" s="189">
        <f t="shared" si="33"/>
        <v>548854840.66666675</v>
      </c>
      <c r="N2943" s="189">
        <f t="shared" si="34"/>
        <v>3046115</v>
      </c>
      <c r="O2943" s="189">
        <f t="shared" si="35"/>
        <v>2786065.1810490699</v>
      </c>
      <c r="P2943" s="196">
        <f t="shared" si="36"/>
        <v>171.04576761720344</v>
      </c>
      <c r="Q2943" s="189">
        <f t="shared" si="37"/>
        <v>189174084.16666666</v>
      </c>
      <c r="S2943" s="189">
        <f t="shared" si="38"/>
        <v>950623.53852596309</v>
      </c>
      <c r="T2943" s="196">
        <f t="shared" si="39"/>
        <v>100.41865566453595</v>
      </c>
    </row>
    <row r="2944" spans="1:20" ht="15.6">
      <c r="A2944" s="191" t="s">
        <v>5735</v>
      </c>
      <c r="B2944" s="191" t="s">
        <v>5575</v>
      </c>
      <c r="C2944" s="191">
        <v>172.29</v>
      </c>
      <c r="D2944" s="191">
        <v>21948</v>
      </c>
      <c r="E2944" s="191">
        <v>400</v>
      </c>
      <c r="F2944" s="191">
        <v>400</v>
      </c>
      <c r="G2944" s="191">
        <v>13</v>
      </c>
      <c r="H2944" s="191">
        <v>21</v>
      </c>
      <c r="J2944" s="191">
        <v>24</v>
      </c>
      <c r="K2944" s="196">
        <f t="shared" si="31"/>
        <v>9.5238095238095237</v>
      </c>
      <c r="L2944" s="196">
        <f t="shared" si="32"/>
        <v>23.846153846153847</v>
      </c>
      <c r="M2944" s="189">
        <f t="shared" si="33"/>
        <v>653615871.33333325</v>
      </c>
      <c r="N2944" s="189">
        <f t="shared" si="34"/>
        <v>3600133</v>
      </c>
      <c r="O2944" s="189">
        <f t="shared" si="35"/>
        <v>3268079.3566666665</v>
      </c>
      <c r="P2944" s="196">
        <f t="shared" si="36"/>
        <v>172.56941183611906</v>
      </c>
      <c r="Q2944" s="189">
        <f t="shared" si="37"/>
        <v>224065543.83333334</v>
      </c>
      <c r="S2944" s="189">
        <f t="shared" si="38"/>
        <v>1120327.7191666667</v>
      </c>
      <c r="T2944" s="196">
        <f t="shared" si="39"/>
        <v>101.03923811852663</v>
      </c>
    </row>
    <row r="2945" spans="1:20" ht="15.6">
      <c r="A2945" s="191" t="s">
        <v>5736</v>
      </c>
      <c r="B2945" s="191" t="s">
        <v>5576</v>
      </c>
      <c r="C2945" s="191">
        <v>232.5</v>
      </c>
      <c r="D2945" s="191">
        <v>29618</v>
      </c>
      <c r="E2945" s="191">
        <v>414</v>
      </c>
      <c r="F2945" s="191">
        <v>405</v>
      </c>
      <c r="G2945" s="191">
        <v>18</v>
      </c>
      <c r="H2945" s="191">
        <v>28</v>
      </c>
      <c r="J2945" s="191">
        <v>24</v>
      </c>
      <c r="K2945" s="196">
        <f t="shared" si="31"/>
        <v>7.2321428571428568</v>
      </c>
      <c r="L2945" s="196">
        <f t="shared" si="32"/>
        <v>17.222222222222221</v>
      </c>
      <c r="M2945" s="189">
        <f t="shared" si="33"/>
        <v>915113148</v>
      </c>
      <c r="N2945" s="189">
        <f t="shared" si="34"/>
        <v>4953978</v>
      </c>
      <c r="O2945" s="189">
        <f t="shared" si="35"/>
        <v>4420836.4637681162</v>
      </c>
      <c r="P2945" s="196">
        <f t="shared" si="36"/>
        <v>175.77598213177063</v>
      </c>
      <c r="Q2945" s="189">
        <f t="shared" si="37"/>
        <v>310181238</v>
      </c>
      <c r="S2945" s="189">
        <f t="shared" si="38"/>
        <v>1531759.2</v>
      </c>
      <c r="T2945" s="196">
        <f t="shared" si="39"/>
        <v>102.33634412063111</v>
      </c>
    </row>
    <row r="2946" spans="1:20" ht="15.6">
      <c r="A2946" s="191" t="s">
        <v>5737</v>
      </c>
      <c r="B2946" s="191" t="s">
        <v>5577</v>
      </c>
      <c r="C2946" s="191">
        <v>197.41</v>
      </c>
      <c r="D2946" s="191">
        <v>25148</v>
      </c>
      <c r="E2946" s="191">
        <v>400</v>
      </c>
      <c r="F2946" s="191">
        <v>408</v>
      </c>
      <c r="G2946" s="191">
        <v>21</v>
      </c>
      <c r="H2946" s="191">
        <v>21</v>
      </c>
      <c r="J2946" s="191">
        <v>24</v>
      </c>
      <c r="K2946" s="196">
        <f t="shared" si="31"/>
        <v>9.7142857142857135</v>
      </c>
      <c r="L2946" s="196">
        <f t="shared" si="32"/>
        <v>14.761904761904763</v>
      </c>
      <c r="M2946" s="189">
        <f t="shared" si="33"/>
        <v>696282538</v>
      </c>
      <c r="N2946" s="189">
        <f t="shared" si="34"/>
        <v>3920133</v>
      </c>
      <c r="O2946" s="189">
        <f t="shared" si="35"/>
        <v>3481412.69</v>
      </c>
      <c r="P2946" s="196">
        <f t="shared" si="36"/>
        <v>166.39528887087562</v>
      </c>
      <c r="Q2946" s="189">
        <f t="shared" si="37"/>
        <v>237986878.5</v>
      </c>
      <c r="S2946" s="189">
        <f t="shared" si="38"/>
        <v>1166602.3455882352</v>
      </c>
      <c r="T2946" s="196">
        <f t="shared" si="39"/>
        <v>97.280272959516807</v>
      </c>
    </row>
    <row r="2947" spans="1:20" ht="15.6">
      <c r="A2947" s="191" t="s">
        <v>5738</v>
      </c>
      <c r="B2947" s="191" t="s">
        <v>5578</v>
      </c>
      <c r="C2947" s="191">
        <v>283.73</v>
      </c>
      <c r="D2947" s="191">
        <v>36144</v>
      </c>
      <c r="E2947" s="191">
        <v>428</v>
      </c>
      <c r="F2947" s="191">
        <v>407</v>
      </c>
      <c r="G2947" s="191">
        <v>20</v>
      </c>
      <c r="H2947" s="191">
        <v>35</v>
      </c>
      <c r="J2947" s="191">
        <v>24</v>
      </c>
      <c r="K2947" s="196">
        <f t="shared" si="31"/>
        <v>5.8142857142857141</v>
      </c>
      <c r="L2947" s="196">
        <f t="shared" si="32"/>
        <v>15.5</v>
      </c>
      <c r="M2947" s="189">
        <f t="shared" si="33"/>
        <v>1179442543.3333335</v>
      </c>
      <c r="N2947" s="189">
        <f t="shared" si="34"/>
        <v>6239105</v>
      </c>
      <c r="O2947" s="189">
        <f t="shared" si="35"/>
        <v>5511413.7538940813</v>
      </c>
      <c r="P2947" s="196">
        <f t="shared" si="36"/>
        <v>180.64264670099863</v>
      </c>
      <c r="Q2947" s="189">
        <f t="shared" si="37"/>
        <v>393517000.83333337</v>
      </c>
      <c r="S2947" s="189">
        <f t="shared" si="38"/>
        <v>1933744.4758394761</v>
      </c>
      <c r="T2947" s="196">
        <f t="shared" si="39"/>
        <v>104.34307782200241</v>
      </c>
    </row>
    <row r="2948" spans="1:20" ht="15.6">
      <c r="A2948" s="191" t="s">
        <v>5739</v>
      </c>
      <c r="B2948" s="191" t="s">
        <v>5579</v>
      </c>
      <c r="C2948" s="191">
        <v>21.39</v>
      </c>
      <c r="D2948" s="191">
        <v>2725</v>
      </c>
      <c r="E2948" s="191">
        <v>148</v>
      </c>
      <c r="F2948" s="191">
        <v>100</v>
      </c>
      <c r="G2948" s="191">
        <v>6</v>
      </c>
      <c r="H2948" s="191">
        <v>9</v>
      </c>
      <c r="J2948" s="191">
        <v>13</v>
      </c>
      <c r="K2948" s="196">
        <f t="shared" si="31"/>
        <v>5.5555555555555554</v>
      </c>
      <c r="L2948" s="196">
        <f t="shared" si="32"/>
        <v>17.333333333333332</v>
      </c>
      <c r="M2948" s="189">
        <f t="shared" si="33"/>
        <v>9805100</v>
      </c>
      <c r="N2948" s="189">
        <f t="shared" si="34"/>
        <v>150450</v>
      </c>
      <c r="O2948" s="189">
        <f t="shared" si="35"/>
        <v>132501.35135135136</v>
      </c>
      <c r="P2948" s="196">
        <f t="shared" si="36"/>
        <v>59.985013418873095</v>
      </c>
      <c r="Q2948" s="189">
        <f t="shared" si="37"/>
        <v>1502340</v>
      </c>
      <c r="S2948" s="189">
        <f t="shared" si="38"/>
        <v>30046.799999999999</v>
      </c>
      <c r="T2948" s="196">
        <f t="shared" si="39"/>
        <v>23.480149726793918</v>
      </c>
    </row>
    <row r="2949" spans="1:20" ht="15.6">
      <c r="A2949" s="191" t="s">
        <v>5740</v>
      </c>
      <c r="B2949" s="191" t="s">
        <v>5580</v>
      </c>
      <c r="C2949" s="191">
        <v>31.21</v>
      </c>
      <c r="D2949" s="191">
        <v>3976</v>
      </c>
      <c r="E2949" s="191">
        <v>194</v>
      </c>
      <c r="F2949" s="191">
        <v>150</v>
      </c>
      <c r="G2949" s="191">
        <v>6</v>
      </c>
      <c r="H2949" s="191">
        <v>9</v>
      </c>
      <c r="J2949" s="191">
        <v>16</v>
      </c>
      <c r="K2949" s="196">
        <f t="shared" si="31"/>
        <v>8.3333333333333339</v>
      </c>
      <c r="L2949" s="196">
        <f t="shared" si="32"/>
        <v>24</v>
      </c>
      <c r="M2949" s="189">
        <f t="shared" si="33"/>
        <v>25845988</v>
      </c>
      <c r="N2949" s="189">
        <f t="shared" si="34"/>
        <v>296214</v>
      </c>
      <c r="O2949" s="189">
        <f t="shared" si="35"/>
        <v>266453.48453608248</v>
      </c>
      <c r="P2949" s="196">
        <f t="shared" si="36"/>
        <v>80.625678291720433</v>
      </c>
      <c r="Q2949" s="189">
        <f t="shared" si="37"/>
        <v>5065668</v>
      </c>
      <c r="S2949" s="189">
        <f t="shared" si="38"/>
        <v>67542.240000000005</v>
      </c>
      <c r="T2949" s="196">
        <f t="shared" si="39"/>
        <v>35.693996248798697</v>
      </c>
    </row>
    <row r="2950" spans="1:20" ht="15.6">
      <c r="A2950" s="191" t="s">
        <v>5741</v>
      </c>
      <c r="B2950" s="191" t="s">
        <v>5559</v>
      </c>
      <c r="C2950" s="191">
        <v>44.15</v>
      </c>
      <c r="D2950" s="191">
        <v>5624</v>
      </c>
      <c r="E2950" s="191">
        <v>244</v>
      </c>
      <c r="F2950" s="191">
        <v>175</v>
      </c>
      <c r="G2950" s="191">
        <v>7</v>
      </c>
      <c r="H2950" s="191">
        <v>11</v>
      </c>
      <c r="J2950" s="191">
        <v>16</v>
      </c>
      <c r="K2950" s="196">
        <f t="shared" si="31"/>
        <v>7.9545454545454541</v>
      </c>
      <c r="L2950" s="196">
        <f t="shared" si="32"/>
        <v>27.142857142857142</v>
      </c>
      <c r="M2950" s="189">
        <f t="shared" si="33"/>
        <v>58674261.333333343</v>
      </c>
      <c r="N2950" s="189">
        <f t="shared" si="34"/>
        <v>534772</v>
      </c>
      <c r="O2950" s="189">
        <f t="shared" si="35"/>
        <v>480936.56830601103</v>
      </c>
      <c r="P2950" s="196">
        <f t="shared" si="36"/>
        <v>102.14124788120252</v>
      </c>
      <c r="Q2950" s="189">
        <f t="shared" si="37"/>
        <v>9831866.333333334</v>
      </c>
      <c r="S2950" s="189">
        <f t="shared" si="38"/>
        <v>112364.18666666668</v>
      </c>
      <c r="T2950" s="196">
        <f t="shared" si="39"/>
        <v>41.811459421173069</v>
      </c>
    </row>
    <row r="2951" spans="1:20" ht="15.6">
      <c r="A2951" s="191" t="s">
        <v>5742</v>
      </c>
      <c r="B2951" s="191" t="s">
        <v>5581</v>
      </c>
      <c r="C2951" s="191">
        <v>57.33</v>
      </c>
      <c r="D2951" s="191">
        <v>7303</v>
      </c>
      <c r="E2951" s="191">
        <v>294</v>
      </c>
      <c r="F2951" s="191">
        <v>200</v>
      </c>
      <c r="G2951" s="191">
        <v>8</v>
      </c>
      <c r="H2951" s="191">
        <v>12</v>
      </c>
      <c r="J2951" s="191">
        <v>20</v>
      </c>
      <c r="K2951" s="196">
        <f t="shared" si="31"/>
        <v>8.3333333333333339</v>
      </c>
      <c r="L2951" s="196">
        <f t="shared" si="32"/>
        <v>28.75</v>
      </c>
      <c r="M2951" s="189">
        <f t="shared" si="33"/>
        <v>108608400</v>
      </c>
      <c r="N2951" s="189">
        <f t="shared" si="34"/>
        <v>822600</v>
      </c>
      <c r="O2951" s="189">
        <f t="shared" si="35"/>
        <v>738832.6530612245</v>
      </c>
      <c r="P2951" s="196">
        <f t="shared" si="36"/>
        <v>121.94979022149968</v>
      </c>
      <c r="Q2951" s="189">
        <f t="shared" si="37"/>
        <v>16011520</v>
      </c>
      <c r="S2951" s="189">
        <f t="shared" si="38"/>
        <v>160115.20000000001</v>
      </c>
      <c r="T2951" s="196">
        <f t="shared" si="39"/>
        <v>46.82368945326882</v>
      </c>
    </row>
    <row r="2952" spans="1:20" ht="15.6">
      <c r="A2952" s="191" t="s">
        <v>5743</v>
      </c>
      <c r="B2952" s="191" t="s">
        <v>5582</v>
      </c>
      <c r="C2952" s="191">
        <v>79.69</v>
      </c>
      <c r="D2952" s="191">
        <v>10151</v>
      </c>
      <c r="E2952" s="191">
        <v>340</v>
      </c>
      <c r="F2952" s="191">
        <v>250</v>
      </c>
      <c r="G2952" s="191">
        <v>9</v>
      </c>
      <c r="H2952" s="191">
        <v>14</v>
      </c>
      <c r="J2952" s="191">
        <v>20</v>
      </c>
      <c r="K2952" s="196">
        <f t="shared" si="31"/>
        <v>8.9285714285714288</v>
      </c>
      <c r="L2952" s="196">
        <f t="shared" si="32"/>
        <v>30.222222222222221</v>
      </c>
      <c r="M2952" s="189">
        <f t="shared" si="33"/>
        <v>208875829.33333337</v>
      </c>
      <c r="N2952" s="189">
        <f t="shared" si="34"/>
        <v>1360024</v>
      </c>
      <c r="O2952" s="189">
        <f t="shared" si="35"/>
        <v>1228681.349019608</v>
      </c>
      <c r="P2952" s="196">
        <f t="shared" si="36"/>
        <v>143.44640868164683</v>
      </c>
      <c r="Q2952" s="189">
        <f t="shared" si="37"/>
        <v>36477287.333333336</v>
      </c>
      <c r="S2952" s="189">
        <f t="shared" si="38"/>
        <v>291818.29866666667</v>
      </c>
      <c r="T2952" s="196">
        <f t="shared" si="39"/>
        <v>59.945536747587738</v>
      </c>
    </row>
    <row r="2953" spans="1:20" ht="15.6">
      <c r="A2953" s="191" t="s">
        <v>5744</v>
      </c>
      <c r="B2953" s="191" t="s">
        <v>5583</v>
      </c>
      <c r="C2953" s="191">
        <v>107.34</v>
      </c>
      <c r="D2953" s="191">
        <v>13674</v>
      </c>
      <c r="E2953" s="191">
        <v>390</v>
      </c>
      <c r="F2953" s="191">
        <v>300</v>
      </c>
      <c r="G2953" s="191">
        <v>10</v>
      </c>
      <c r="H2953" s="191">
        <v>16</v>
      </c>
      <c r="J2953" s="191">
        <v>24</v>
      </c>
      <c r="K2953" s="196">
        <f t="shared" si="31"/>
        <v>9.375</v>
      </c>
      <c r="L2953" s="196">
        <f t="shared" si="32"/>
        <v>31</v>
      </c>
      <c r="M2953" s="189">
        <f t="shared" si="33"/>
        <v>374142793.33333325</v>
      </c>
      <c r="N2953" s="189">
        <f t="shared" si="34"/>
        <v>2115610</v>
      </c>
      <c r="O2953" s="189">
        <f t="shared" si="35"/>
        <v>1918680.991452991</v>
      </c>
      <c r="P2953" s="196">
        <f t="shared" si="36"/>
        <v>165.41348223855402</v>
      </c>
      <c r="Q2953" s="189">
        <f t="shared" si="37"/>
        <v>72029833.333333328</v>
      </c>
      <c r="S2953" s="189">
        <f t="shared" si="38"/>
        <v>480198.88888888888</v>
      </c>
      <c r="T2953" s="196">
        <f t="shared" si="39"/>
        <v>72.57857167480384</v>
      </c>
    </row>
    <row r="2954" spans="1:20" ht="15.6">
      <c r="A2954" s="191" t="s">
        <v>5745</v>
      </c>
      <c r="B2954" s="191" t="s">
        <v>5584</v>
      </c>
      <c r="C2954" s="191">
        <v>123.54</v>
      </c>
      <c r="D2954" s="191">
        <v>15738</v>
      </c>
      <c r="E2954" s="191">
        <v>440</v>
      </c>
      <c r="F2954" s="191">
        <v>300</v>
      </c>
      <c r="G2954" s="191">
        <v>11</v>
      </c>
      <c r="H2954" s="191">
        <v>18</v>
      </c>
      <c r="J2954" s="191">
        <v>24</v>
      </c>
      <c r="K2954" s="196">
        <f t="shared" si="31"/>
        <v>8.3333333333333339</v>
      </c>
      <c r="L2954" s="196">
        <f t="shared" si="32"/>
        <v>32.363636363636367</v>
      </c>
      <c r="M2954" s="189">
        <f t="shared" si="33"/>
        <v>541562725.33333325</v>
      </c>
      <c r="N2954" s="189">
        <f t="shared" si="34"/>
        <v>2727644</v>
      </c>
      <c r="O2954" s="189">
        <f t="shared" si="35"/>
        <v>2461648.751515151</v>
      </c>
      <c r="P2954" s="196">
        <f t="shared" si="36"/>
        <v>185.50243384684782</v>
      </c>
      <c r="Q2954" s="189">
        <f t="shared" si="37"/>
        <v>81044810.333333328</v>
      </c>
      <c r="S2954" s="189">
        <f t="shared" si="38"/>
        <v>540298.73555555556</v>
      </c>
      <c r="T2954" s="196">
        <f t="shared" si="39"/>
        <v>71.760893025245593</v>
      </c>
    </row>
    <row r="2955" spans="1:20" ht="15.6">
      <c r="A2955" s="191" t="s">
        <v>5746</v>
      </c>
      <c r="B2955" s="191" t="s">
        <v>5585</v>
      </c>
      <c r="C2955" s="191">
        <v>114.96</v>
      </c>
      <c r="D2955" s="191">
        <v>14644.999999999998</v>
      </c>
      <c r="E2955" s="191">
        <v>482</v>
      </c>
      <c r="F2955" s="191">
        <v>300</v>
      </c>
      <c r="G2955" s="191">
        <v>11</v>
      </c>
      <c r="H2955" s="191">
        <v>15</v>
      </c>
      <c r="J2955" s="191">
        <v>28</v>
      </c>
      <c r="K2955" s="196">
        <f t="shared" si="31"/>
        <v>10</v>
      </c>
      <c r="L2955" s="196">
        <f t="shared" si="32"/>
        <v>36</v>
      </c>
      <c r="M2955" s="189">
        <f t="shared" si="33"/>
        <v>575518957.33333349</v>
      </c>
      <c r="N2955" s="189">
        <f t="shared" si="34"/>
        <v>2663336</v>
      </c>
      <c r="O2955" s="189">
        <f t="shared" si="35"/>
        <v>2388045.4661134169</v>
      </c>
      <c r="P2955" s="196">
        <f t="shared" si="36"/>
        <v>198.23718810364582</v>
      </c>
      <c r="Q2955" s="189">
        <f t="shared" si="37"/>
        <v>67550134.333333328</v>
      </c>
      <c r="S2955" s="189">
        <f t="shared" si="38"/>
        <v>450334.22888888884</v>
      </c>
      <c r="T2955" s="196">
        <f t="shared" si="39"/>
        <v>67.915424646933161</v>
      </c>
    </row>
    <row r="2956" spans="1:20" ht="15.6">
      <c r="A2956" s="191" t="s">
        <v>5747</v>
      </c>
      <c r="B2956" s="191" t="s">
        <v>5586</v>
      </c>
      <c r="C2956" s="191">
        <v>129.09</v>
      </c>
      <c r="D2956" s="191">
        <v>16445</v>
      </c>
      <c r="E2956" s="191">
        <v>488</v>
      </c>
      <c r="F2956" s="191">
        <v>300</v>
      </c>
      <c r="G2956" s="191">
        <v>11</v>
      </c>
      <c r="H2956" s="191">
        <v>18</v>
      </c>
      <c r="J2956" s="191">
        <v>28</v>
      </c>
      <c r="K2956" s="196">
        <f t="shared" si="31"/>
        <v>8.3333333333333339</v>
      </c>
      <c r="L2956" s="196">
        <f t="shared" si="32"/>
        <v>36</v>
      </c>
      <c r="M2956" s="189">
        <f t="shared" si="33"/>
        <v>681371557.33333349</v>
      </c>
      <c r="N2956" s="189">
        <f t="shared" si="34"/>
        <v>3099836</v>
      </c>
      <c r="O2956" s="189">
        <f t="shared" si="35"/>
        <v>2792506.3825136619</v>
      </c>
      <c r="P2956" s="196">
        <f t="shared" si="36"/>
        <v>203.55185356387088</v>
      </c>
      <c r="Q2956" s="189">
        <f t="shared" si="37"/>
        <v>81050134.333333328</v>
      </c>
      <c r="S2956" s="189">
        <f t="shared" si="38"/>
        <v>540334.22888888884</v>
      </c>
      <c r="T2956" s="196">
        <f t="shared" si="39"/>
        <v>70.203688505671536</v>
      </c>
    </row>
    <row r="2957" spans="1:20" ht="15.6">
      <c r="A2957" s="191" t="s">
        <v>5748</v>
      </c>
      <c r="B2957" s="191" t="s">
        <v>5587</v>
      </c>
      <c r="C2957" s="191">
        <v>136.97</v>
      </c>
      <c r="D2957" s="191">
        <v>17449</v>
      </c>
      <c r="E2957" s="191">
        <v>582</v>
      </c>
      <c r="F2957" s="191">
        <v>300</v>
      </c>
      <c r="G2957" s="191">
        <v>12</v>
      </c>
      <c r="H2957" s="191">
        <v>17</v>
      </c>
      <c r="J2957" s="191">
        <v>28</v>
      </c>
      <c r="K2957" s="196">
        <f t="shared" si="31"/>
        <v>8.8235294117647065</v>
      </c>
      <c r="L2957" s="196">
        <f t="shared" si="32"/>
        <v>41</v>
      </c>
      <c r="M2957" s="189">
        <f t="shared" si="33"/>
        <v>978835992</v>
      </c>
      <c r="N2957" s="189">
        <f t="shared" si="34"/>
        <v>3782412</v>
      </c>
      <c r="O2957" s="189">
        <f t="shared" si="35"/>
        <v>3363697.5670103091</v>
      </c>
      <c r="P2957" s="196">
        <f t="shared" si="36"/>
        <v>236.84798468460824</v>
      </c>
      <c r="Q2957" s="189">
        <f t="shared" si="37"/>
        <v>76578912</v>
      </c>
      <c r="S2957" s="189">
        <f t="shared" si="38"/>
        <v>510526.08</v>
      </c>
      <c r="T2957" s="196">
        <f t="shared" si="39"/>
        <v>66.247474181330418</v>
      </c>
    </row>
    <row r="2958" spans="1:20" ht="15.6">
      <c r="A2958" s="191" t="s">
        <v>5749</v>
      </c>
      <c r="B2958" s="191" t="s">
        <v>5588</v>
      </c>
      <c r="C2958" s="191">
        <v>151.1</v>
      </c>
      <c r="D2958" s="191">
        <v>19249</v>
      </c>
      <c r="E2958" s="191">
        <v>588</v>
      </c>
      <c r="F2958" s="191">
        <v>300</v>
      </c>
      <c r="G2958" s="191">
        <v>12</v>
      </c>
      <c r="H2958" s="191">
        <v>20</v>
      </c>
      <c r="J2958" s="191">
        <v>28</v>
      </c>
      <c r="K2958" s="196">
        <f t="shared" si="31"/>
        <v>7.5</v>
      </c>
      <c r="L2958" s="196">
        <f t="shared" si="32"/>
        <v>41</v>
      </c>
      <c r="M2958" s="189">
        <f t="shared" si="33"/>
        <v>1132838592</v>
      </c>
      <c r="N2958" s="189">
        <f t="shared" si="34"/>
        <v>4308912</v>
      </c>
      <c r="O2958" s="189">
        <f t="shared" si="35"/>
        <v>3853192.4897959186</v>
      </c>
      <c r="P2958" s="196">
        <f t="shared" si="36"/>
        <v>242.59393080440111</v>
      </c>
      <c r="Q2958" s="189">
        <f t="shared" si="37"/>
        <v>90078912</v>
      </c>
      <c r="S2958" s="189">
        <f t="shared" si="38"/>
        <v>600526.07999999996</v>
      </c>
      <c r="T2958" s="196">
        <f t="shared" si="39"/>
        <v>68.408092354556928</v>
      </c>
    </row>
    <row r="2959" spans="1:20" ht="15.6">
      <c r="A2959" s="191" t="s">
        <v>5750</v>
      </c>
      <c r="B2959" s="191" t="s">
        <v>5589</v>
      </c>
      <c r="C2959" s="191">
        <v>174.56</v>
      </c>
      <c r="D2959" s="191">
        <v>22237</v>
      </c>
      <c r="E2959" s="191">
        <v>594</v>
      </c>
      <c r="F2959" s="191">
        <v>302</v>
      </c>
      <c r="G2959" s="191">
        <v>14</v>
      </c>
      <c r="H2959" s="191">
        <v>23</v>
      </c>
      <c r="J2959" s="191">
        <v>28</v>
      </c>
      <c r="K2959" s="196">
        <f t="shared" si="31"/>
        <v>6.5652173913043477</v>
      </c>
      <c r="L2959" s="196">
        <f t="shared" si="32"/>
        <v>35.142857142857146</v>
      </c>
      <c r="M2959" s="189">
        <f t="shared" si="33"/>
        <v>1324947156</v>
      </c>
      <c r="N2959" s="189">
        <f t="shared" si="34"/>
        <v>5017230</v>
      </c>
      <c r="O2959" s="189">
        <f t="shared" si="35"/>
        <v>4461101.5353535358</v>
      </c>
      <c r="P2959" s="196">
        <f t="shared" si="36"/>
        <v>244.09629109318431</v>
      </c>
      <c r="Q2959" s="189">
        <f t="shared" si="37"/>
        <v>105709140</v>
      </c>
      <c r="S2959" s="189">
        <f t="shared" si="38"/>
        <v>700060.52980132448</v>
      </c>
      <c r="T2959" s="196">
        <f t="shared" si="39"/>
        <v>68.947444160118209</v>
      </c>
    </row>
    <row r="2960" spans="1:20" ht="15.6">
      <c r="A2960" s="191" t="s">
        <v>5751</v>
      </c>
      <c r="B2960" s="191" t="s">
        <v>5590</v>
      </c>
      <c r="C2960" s="191">
        <v>18.22</v>
      </c>
      <c r="D2960" s="191">
        <v>2321</v>
      </c>
      <c r="E2960" s="191">
        <v>175</v>
      </c>
      <c r="F2960" s="191">
        <v>90</v>
      </c>
      <c r="G2960" s="191">
        <v>5</v>
      </c>
      <c r="H2960" s="191">
        <v>8</v>
      </c>
      <c r="J2960" s="191">
        <v>10</v>
      </c>
      <c r="K2960" s="196">
        <f t="shared" si="31"/>
        <v>5.625</v>
      </c>
      <c r="L2960" s="196">
        <f t="shared" si="32"/>
        <v>27.8</v>
      </c>
      <c r="M2960" s="189">
        <f t="shared" si="33"/>
        <v>11722586.25</v>
      </c>
      <c r="N2960" s="189">
        <f t="shared" si="34"/>
        <v>151841.25</v>
      </c>
      <c r="O2960" s="189">
        <f t="shared" si="35"/>
        <v>133972.41428571427</v>
      </c>
      <c r="P2960" s="196">
        <f t="shared" si="36"/>
        <v>71.068008916995197</v>
      </c>
      <c r="Q2960" s="189">
        <f t="shared" si="37"/>
        <v>973656.25</v>
      </c>
      <c r="S2960" s="189">
        <f t="shared" si="38"/>
        <v>21636.805555555555</v>
      </c>
      <c r="T2960" s="196">
        <f t="shared" si="39"/>
        <v>20.481664965072802</v>
      </c>
    </row>
    <row r="2961" spans="1:20" ht="15.6">
      <c r="A2961" s="191" t="s">
        <v>5752</v>
      </c>
      <c r="B2961" s="191" t="s">
        <v>5591</v>
      </c>
      <c r="C2961" s="191">
        <v>18.52</v>
      </c>
      <c r="D2961" s="191">
        <v>2359</v>
      </c>
      <c r="E2961" s="191">
        <v>198</v>
      </c>
      <c r="F2961" s="191">
        <v>99</v>
      </c>
      <c r="G2961" s="191">
        <v>4.5</v>
      </c>
      <c r="H2961" s="191">
        <v>7</v>
      </c>
      <c r="J2961" s="191">
        <v>13</v>
      </c>
      <c r="K2961" s="196">
        <f t="shared" si="31"/>
        <v>7.0714285714285712</v>
      </c>
      <c r="L2961" s="196">
        <f t="shared" si="32"/>
        <v>35.111111111111114</v>
      </c>
      <c r="M2961" s="189">
        <f t="shared" si="33"/>
        <v>14982390</v>
      </c>
      <c r="N2961" s="189">
        <f t="shared" si="34"/>
        <v>170451</v>
      </c>
      <c r="O2961" s="189">
        <f t="shared" si="35"/>
        <v>151337.27272727274</v>
      </c>
      <c r="P2961" s="196">
        <f t="shared" si="36"/>
        <v>79.694174875670996</v>
      </c>
      <c r="Q2961" s="189">
        <f t="shared" si="37"/>
        <v>1133412.75</v>
      </c>
      <c r="S2961" s="189">
        <f t="shared" si="38"/>
        <v>22897.227272727272</v>
      </c>
      <c r="T2961" s="196">
        <f t="shared" si="39"/>
        <v>21.919471388315831</v>
      </c>
    </row>
    <row r="2962" spans="1:20" ht="15.6">
      <c r="A2962" s="191" t="s">
        <v>5753</v>
      </c>
      <c r="B2962" s="191" t="s">
        <v>5592</v>
      </c>
      <c r="C2962" s="191">
        <v>21.64</v>
      </c>
      <c r="D2962" s="191">
        <v>2757</v>
      </c>
      <c r="E2962" s="191">
        <v>200</v>
      </c>
      <c r="F2962" s="191">
        <v>100</v>
      </c>
      <c r="G2962" s="191">
        <v>5.5</v>
      </c>
      <c r="H2962" s="191">
        <v>8</v>
      </c>
      <c r="J2962" s="191">
        <v>13</v>
      </c>
      <c r="K2962" s="196">
        <f t="shared" si="31"/>
        <v>6.25</v>
      </c>
      <c r="L2962" s="196">
        <f t="shared" si="32"/>
        <v>28.727272727272727</v>
      </c>
      <c r="M2962" s="189">
        <f t="shared" si="33"/>
        <v>17609322.666666664</v>
      </c>
      <c r="N2962" s="189">
        <f t="shared" si="34"/>
        <v>200152</v>
      </c>
      <c r="O2962" s="189">
        <f t="shared" si="35"/>
        <v>176093.22666666665</v>
      </c>
      <c r="P2962" s="196">
        <f t="shared" si="36"/>
        <v>79.919533949228139</v>
      </c>
      <c r="Q2962" s="189">
        <f t="shared" si="37"/>
        <v>1335884.4166666665</v>
      </c>
      <c r="S2962" s="189">
        <f t="shared" si="38"/>
        <v>26717.688333333332</v>
      </c>
      <c r="T2962" s="196">
        <f t="shared" si="39"/>
        <v>22.012332223528563</v>
      </c>
    </row>
    <row r="2963" spans="1:20" ht="15.6">
      <c r="A2963" s="191" t="s">
        <v>5754</v>
      </c>
      <c r="B2963" s="191" t="s">
        <v>5593</v>
      </c>
      <c r="C2963" s="191">
        <v>25.82</v>
      </c>
      <c r="D2963" s="191">
        <v>3289</v>
      </c>
      <c r="E2963" s="191">
        <v>248</v>
      </c>
      <c r="F2963" s="191">
        <v>124</v>
      </c>
      <c r="G2963" s="191">
        <v>5</v>
      </c>
      <c r="H2963" s="191">
        <v>8</v>
      </c>
      <c r="J2963" s="191">
        <v>13</v>
      </c>
      <c r="K2963" s="196">
        <f t="shared" si="31"/>
        <v>7.75</v>
      </c>
      <c r="L2963" s="196">
        <f t="shared" si="32"/>
        <v>41.2</v>
      </c>
      <c r="M2963" s="189">
        <f t="shared" si="33"/>
        <v>33783167.999999985</v>
      </c>
      <c r="N2963" s="189">
        <f t="shared" si="34"/>
        <v>305360</v>
      </c>
      <c r="O2963" s="189">
        <f t="shared" si="35"/>
        <v>272444.90322580631</v>
      </c>
      <c r="P2963" s="196">
        <f t="shared" si="36"/>
        <v>101.34871571437635</v>
      </c>
      <c r="Q2963" s="189">
        <f t="shared" si="37"/>
        <v>2544582</v>
      </c>
      <c r="S2963" s="189">
        <f t="shared" si="38"/>
        <v>41041.645161290326</v>
      </c>
      <c r="T2963" s="196">
        <f t="shared" si="39"/>
        <v>27.814822229601535</v>
      </c>
    </row>
    <row r="2964" spans="1:20" ht="15.6">
      <c r="A2964" s="191" t="s">
        <v>5755</v>
      </c>
      <c r="B2964" s="191" t="s">
        <v>5594</v>
      </c>
      <c r="C2964" s="191">
        <v>29.73</v>
      </c>
      <c r="D2964" s="191">
        <v>3786.9999999999995</v>
      </c>
      <c r="E2964" s="191">
        <v>250</v>
      </c>
      <c r="F2964" s="191">
        <v>125</v>
      </c>
      <c r="G2964" s="191">
        <v>6</v>
      </c>
      <c r="H2964" s="191">
        <v>9</v>
      </c>
      <c r="J2964" s="191">
        <v>13</v>
      </c>
      <c r="K2964" s="196">
        <f t="shared" si="31"/>
        <v>6.9444444444444446</v>
      </c>
      <c r="L2964" s="196">
        <f t="shared" si="32"/>
        <v>34.333333333333336</v>
      </c>
      <c r="M2964" s="189">
        <f t="shared" si="33"/>
        <v>38929333.999999985</v>
      </c>
      <c r="N2964" s="189">
        <f t="shared" si="34"/>
        <v>351861</v>
      </c>
      <c r="O2964" s="189">
        <f t="shared" si="35"/>
        <v>311434.6719999999</v>
      </c>
      <c r="P2964" s="196">
        <f t="shared" si="36"/>
        <v>101.38899877770254</v>
      </c>
      <c r="Q2964" s="189">
        <f t="shared" si="37"/>
        <v>2933863.5</v>
      </c>
      <c r="S2964" s="189">
        <f t="shared" si="38"/>
        <v>46941.815999999999</v>
      </c>
      <c r="T2964" s="196">
        <f t="shared" si="39"/>
        <v>27.833787003750697</v>
      </c>
    </row>
    <row r="2965" spans="1:20" ht="15.6">
      <c r="A2965" s="191" t="s">
        <v>5756</v>
      </c>
      <c r="B2965" s="191" t="s">
        <v>5595</v>
      </c>
      <c r="C2965" s="191">
        <v>32.619999999999997</v>
      </c>
      <c r="D2965" s="191">
        <v>4155</v>
      </c>
      <c r="E2965" s="191">
        <v>298</v>
      </c>
      <c r="F2965" s="191">
        <v>149</v>
      </c>
      <c r="G2965" s="191">
        <v>5.5</v>
      </c>
      <c r="H2965" s="191">
        <v>8</v>
      </c>
      <c r="J2965" s="191">
        <v>16</v>
      </c>
      <c r="K2965" s="196">
        <f t="shared" si="31"/>
        <v>9.3125</v>
      </c>
      <c r="L2965" s="196">
        <f t="shared" si="32"/>
        <v>45.454545454545453</v>
      </c>
      <c r="M2965" s="189">
        <f t="shared" si="33"/>
        <v>60414791.666666687</v>
      </c>
      <c r="N2965" s="189">
        <f t="shared" si="34"/>
        <v>455025.5</v>
      </c>
      <c r="O2965" s="189">
        <f t="shared" si="35"/>
        <v>405468.40044742741</v>
      </c>
      <c r="P2965" s="196">
        <f t="shared" si="36"/>
        <v>120.58301180373566</v>
      </c>
      <c r="Q2965" s="189">
        <f t="shared" si="37"/>
        <v>4414508.479166667</v>
      </c>
      <c r="S2965" s="189">
        <f t="shared" si="38"/>
        <v>59255.147371364656</v>
      </c>
      <c r="T2965" s="196">
        <f t="shared" si="39"/>
        <v>32.59535111576816</v>
      </c>
    </row>
    <row r="2966" spans="1:20" ht="15.6">
      <c r="A2966" s="191" t="s">
        <v>5757</v>
      </c>
      <c r="B2966" s="191" t="s">
        <v>5596</v>
      </c>
      <c r="C2966" s="191">
        <v>37.31</v>
      </c>
      <c r="D2966" s="191">
        <v>4753</v>
      </c>
      <c r="E2966" s="191">
        <v>300</v>
      </c>
      <c r="F2966" s="191">
        <v>150</v>
      </c>
      <c r="G2966" s="191">
        <v>6.5</v>
      </c>
      <c r="H2966" s="191">
        <v>9</v>
      </c>
      <c r="J2966" s="191">
        <v>16</v>
      </c>
      <c r="K2966" s="196">
        <f t="shared" si="31"/>
        <v>8.3333333333333339</v>
      </c>
      <c r="L2966" s="196">
        <f t="shared" si="32"/>
        <v>38.46153846153846</v>
      </c>
      <c r="M2966" s="189">
        <f t="shared" si="33"/>
        <v>69325191</v>
      </c>
      <c r="N2966" s="189">
        <f t="shared" si="34"/>
        <v>522076.5</v>
      </c>
      <c r="O2966" s="189">
        <f t="shared" si="35"/>
        <v>462167.94</v>
      </c>
      <c r="P2966" s="196">
        <f t="shared" si="36"/>
        <v>120.77071299271341</v>
      </c>
      <c r="Q2966" s="189">
        <f t="shared" si="37"/>
        <v>5068953.6875</v>
      </c>
      <c r="S2966" s="189">
        <f t="shared" si="38"/>
        <v>67586.049166666664</v>
      </c>
      <c r="T2966" s="196">
        <f t="shared" si="39"/>
        <v>32.65692241842526</v>
      </c>
    </row>
    <row r="2967" spans="1:20" ht="15.6">
      <c r="A2967" s="191" t="s">
        <v>5758</v>
      </c>
      <c r="B2967" s="191" t="s">
        <v>5597</v>
      </c>
      <c r="C2967" s="191">
        <v>41.76</v>
      </c>
      <c r="D2967" s="191">
        <v>5320</v>
      </c>
      <c r="E2967" s="191">
        <v>346</v>
      </c>
      <c r="F2967" s="191">
        <v>174</v>
      </c>
      <c r="G2967" s="191">
        <v>6</v>
      </c>
      <c r="H2967" s="191">
        <v>9</v>
      </c>
      <c r="J2967" s="191">
        <v>16</v>
      </c>
      <c r="K2967" s="196">
        <f t="shared" si="31"/>
        <v>9.6666666666666661</v>
      </c>
      <c r="L2967" s="196">
        <f t="shared" si="32"/>
        <v>49.333333333333336</v>
      </c>
      <c r="M2967" s="189">
        <f t="shared" si="33"/>
        <v>106589444</v>
      </c>
      <c r="N2967" s="189">
        <f t="shared" si="34"/>
        <v>689118</v>
      </c>
      <c r="O2967" s="189">
        <f t="shared" si="35"/>
        <v>616123.95375722542</v>
      </c>
      <c r="P2967" s="196">
        <f t="shared" si="36"/>
        <v>141.54719981135653</v>
      </c>
      <c r="Q2967" s="189">
        <f t="shared" si="37"/>
        <v>7907940</v>
      </c>
      <c r="S2967" s="189">
        <f t="shared" si="38"/>
        <v>90895.862068965522</v>
      </c>
      <c r="T2967" s="196">
        <f t="shared" si="39"/>
        <v>38.554570250724431</v>
      </c>
    </row>
    <row r="2968" spans="1:20" ht="15.6">
      <c r="A2968" s="191" t="s">
        <v>5759</v>
      </c>
      <c r="B2968" s="191" t="s">
        <v>5598</v>
      </c>
      <c r="C2968" s="191">
        <v>49.97</v>
      </c>
      <c r="D2968" s="191">
        <v>6366</v>
      </c>
      <c r="E2968" s="191">
        <v>350</v>
      </c>
      <c r="F2968" s="191">
        <v>175</v>
      </c>
      <c r="G2968" s="191">
        <v>7</v>
      </c>
      <c r="H2968" s="191">
        <v>11</v>
      </c>
      <c r="J2968" s="191">
        <v>16</v>
      </c>
      <c r="K2968" s="196">
        <f t="shared" si="31"/>
        <v>7.9545454545454541</v>
      </c>
      <c r="L2968" s="196">
        <f t="shared" si="32"/>
        <v>42.285714285714285</v>
      </c>
      <c r="M2968" s="189">
        <f t="shared" si="33"/>
        <v>131234688.66666663</v>
      </c>
      <c r="N2968" s="189">
        <f t="shared" si="34"/>
        <v>840847</v>
      </c>
      <c r="O2968" s="189">
        <f t="shared" si="35"/>
        <v>749912.50666666648</v>
      </c>
      <c r="P2968" s="196">
        <f t="shared" si="36"/>
        <v>143.57902686934952</v>
      </c>
      <c r="Q2968" s="189">
        <f t="shared" si="37"/>
        <v>9834896.1666666679</v>
      </c>
      <c r="S2968" s="189">
        <f t="shared" si="38"/>
        <v>112398.81333333335</v>
      </c>
      <c r="T2968" s="196">
        <f t="shared" si="39"/>
        <v>39.305341363117172</v>
      </c>
    </row>
    <row r="2969" spans="1:20" ht="15.6">
      <c r="A2969" s="191" t="s">
        <v>5760</v>
      </c>
      <c r="B2969" s="191" t="s">
        <v>5599</v>
      </c>
      <c r="C2969" s="191">
        <v>55.83</v>
      </c>
      <c r="D2969" s="191">
        <v>7112</v>
      </c>
      <c r="E2969" s="191">
        <v>400</v>
      </c>
      <c r="F2969" s="191">
        <v>150</v>
      </c>
      <c r="G2969" s="191">
        <v>8</v>
      </c>
      <c r="H2969" s="191">
        <v>13</v>
      </c>
      <c r="J2969" s="191">
        <v>16</v>
      </c>
      <c r="K2969" s="196">
        <f t="shared" si="31"/>
        <v>5.7692307692307692</v>
      </c>
      <c r="L2969" s="196">
        <f t="shared" si="32"/>
        <v>42.75</v>
      </c>
      <c r="M2969" s="189">
        <f t="shared" si="33"/>
        <v>180955449.33333337</v>
      </c>
      <c r="N2969" s="189">
        <f t="shared" si="34"/>
        <v>1034402</v>
      </c>
      <c r="O2969" s="189">
        <f t="shared" si="35"/>
        <v>904777.24666666682</v>
      </c>
      <c r="P2969" s="196">
        <f t="shared" si="36"/>
        <v>159.51075074285649</v>
      </c>
      <c r="Q2969" s="189">
        <f t="shared" si="37"/>
        <v>7328457.333333333</v>
      </c>
      <c r="S2969" s="189">
        <f t="shared" si="38"/>
        <v>97712.764444444445</v>
      </c>
      <c r="T2969" s="196">
        <f t="shared" si="39"/>
        <v>32.100397319371176</v>
      </c>
    </row>
    <row r="2970" spans="1:20" ht="15.6">
      <c r="A2970" s="191" t="s">
        <v>5761</v>
      </c>
      <c r="B2970" s="191" t="s">
        <v>5600</v>
      </c>
      <c r="C2970" s="191">
        <v>56.65</v>
      </c>
      <c r="D2970" s="191">
        <v>7216</v>
      </c>
      <c r="E2970" s="191">
        <v>396</v>
      </c>
      <c r="F2970" s="191">
        <v>199</v>
      </c>
      <c r="G2970" s="191">
        <v>7</v>
      </c>
      <c r="H2970" s="191">
        <v>11</v>
      </c>
      <c r="J2970" s="191">
        <v>16</v>
      </c>
      <c r="K2970" s="196">
        <f t="shared" si="31"/>
        <v>9.045454545454545</v>
      </c>
      <c r="L2970" s="196">
        <f t="shared" si="32"/>
        <v>48.857142857142854</v>
      </c>
      <c r="M2970" s="189">
        <f t="shared" si="33"/>
        <v>192792688</v>
      </c>
      <c r="N2970" s="189">
        <f t="shared" si="34"/>
        <v>1087548</v>
      </c>
      <c r="O2970" s="189">
        <f t="shared" si="35"/>
        <v>973700.4444444445</v>
      </c>
      <c r="P2970" s="196">
        <f t="shared" si="36"/>
        <v>163.45455100394861</v>
      </c>
      <c r="Q2970" s="189">
        <f t="shared" si="37"/>
        <v>14458455</v>
      </c>
      <c r="S2970" s="189">
        <f t="shared" si="38"/>
        <v>145311.1055276382</v>
      </c>
      <c r="T2970" s="196">
        <f t="shared" si="39"/>
        <v>44.762329681737803</v>
      </c>
    </row>
    <row r="2971" spans="1:20" ht="15.6">
      <c r="A2971" s="191" t="s">
        <v>5762</v>
      </c>
      <c r="B2971" s="191" t="s">
        <v>5601</v>
      </c>
      <c r="C2971" s="191">
        <v>66.03</v>
      </c>
      <c r="D2971" s="191">
        <v>8412</v>
      </c>
      <c r="E2971" s="191">
        <v>400</v>
      </c>
      <c r="F2971" s="191">
        <v>200</v>
      </c>
      <c r="G2971" s="191">
        <v>8</v>
      </c>
      <c r="H2971" s="191">
        <v>13</v>
      </c>
      <c r="J2971" s="191">
        <v>16</v>
      </c>
      <c r="K2971" s="196">
        <f t="shared" si="31"/>
        <v>7.6923076923076925</v>
      </c>
      <c r="L2971" s="196">
        <f t="shared" si="32"/>
        <v>42.75</v>
      </c>
      <c r="M2971" s="189">
        <f t="shared" si="33"/>
        <v>229648682.66666663</v>
      </c>
      <c r="N2971" s="189">
        <f t="shared" si="34"/>
        <v>1285952</v>
      </c>
      <c r="O2971" s="189">
        <f t="shared" si="35"/>
        <v>1148243.4133333331</v>
      </c>
      <c r="P2971" s="196">
        <f t="shared" si="36"/>
        <v>165.22750589724632</v>
      </c>
      <c r="Q2971" s="189">
        <f t="shared" si="37"/>
        <v>17349290.666666664</v>
      </c>
      <c r="S2971" s="189">
        <f t="shared" si="38"/>
        <v>173492.90666666665</v>
      </c>
      <c r="T2971" s="196">
        <f t="shared" si="39"/>
        <v>45.414154131358579</v>
      </c>
    </row>
    <row r="2972" spans="1:20" ht="15.6">
      <c r="A2972" s="191" t="s">
        <v>5763</v>
      </c>
      <c r="B2972" s="191" t="s">
        <v>5602</v>
      </c>
      <c r="C2972" s="191">
        <v>65.48</v>
      </c>
      <c r="D2972" s="191">
        <v>8341</v>
      </c>
      <c r="E2972" s="191">
        <v>450</v>
      </c>
      <c r="F2972" s="191">
        <v>150</v>
      </c>
      <c r="G2972" s="191">
        <v>9</v>
      </c>
      <c r="H2972" s="191">
        <v>14</v>
      </c>
      <c r="J2972" s="191">
        <v>20</v>
      </c>
      <c r="K2972" s="196">
        <f t="shared" si="31"/>
        <v>5.3571428571428568</v>
      </c>
      <c r="L2972" s="196">
        <f t="shared" si="32"/>
        <v>42.444444444444443</v>
      </c>
      <c r="M2972" s="189">
        <f t="shared" si="33"/>
        <v>256032986</v>
      </c>
      <c r="N2972" s="189">
        <f t="shared" si="34"/>
        <v>1316289</v>
      </c>
      <c r="O2972" s="189">
        <f t="shared" si="35"/>
        <v>1137924.3822222222</v>
      </c>
      <c r="P2972" s="196">
        <f t="shared" si="36"/>
        <v>175.20193566054439</v>
      </c>
      <c r="Q2972" s="189">
        <f t="shared" si="37"/>
        <v>7900636.5</v>
      </c>
      <c r="S2972" s="189">
        <f t="shared" si="38"/>
        <v>105341.82</v>
      </c>
      <c r="T2972" s="196">
        <f t="shared" si="39"/>
        <v>30.776694940241242</v>
      </c>
    </row>
    <row r="2973" spans="1:20" ht="15.6">
      <c r="A2973" s="191" t="s">
        <v>5764</v>
      </c>
      <c r="B2973" s="191" t="s">
        <v>5603</v>
      </c>
      <c r="C2973" s="191">
        <v>66.69</v>
      </c>
      <c r="D2973" s="191">
        <v>8495</v>
      </c>
      <c r="E2973" s="191">
        <v>446</v>
      </c>
      <c r="F2973" s="191">
        <v>199</v>
      </c>
      <c r="G2973" s="191">
        <v>8</v>
      </c>
      <c r="H2973" s="191">
        <v>12</v>
      </c>
      <c r="J2973" s="191">
        <v>20</v>
      </c>
      <c r="K2973" s="196">
        <f t="shared" si="31"/>
        <v>8.2916666666666661</v>
      </c>
      <c r="L2973" s="196">
        <f t="shared" si="32"/>
        <v>47.75</v>
      </c>
      <c r="M2973" s="189">
        <f t="shared" si="33"/>
        <v>275055341.33333349</v>
      </c>
      <c r="N2973" s="189">
        <f t="shared" si="34"/>
        <v>1392560</v>
      </c>
      <c r="O2973" s="189">
        <f t="shared" si="35"/>
        <v>1233432.0239162936</v>
      </c>
      <c r="P2973" s="196">
        <f t="shared" si="36"/>
        <v>179.94026257877854</v>
      </c>
      <c r="Q2973" s="189">
        <f t="shared" si="37"/>
        <v>15779203.333333334</v>
      </c>
      <c r="S2973" s="189">
        <f t="shared" si="38"/>
        <v>158584.95812395311</v>
      </c>
      <c r="T2973" s="196">
        <f t="shared" si="39"/>
        <v>43.09836994432569</v>
      </c>
    </row>
    <row r="2974" spans="1:20" ht="15.6">
      <c r="A2974" s="191" t="s">
        <v>5765</v>
      </c>
      <c r="B2974" s="191" t="s">
        <v>5604</v>
      </c>
      <c r="C2974" s="191">
        <v>76.47</v>
      </c>
      <c r="D2974" s="191">
        <v>9741</v>
      </c>
      <c r="E2974" s="191">
        <v>450</v>
      </c>
      <c r="F2974" s="191">
        <v>200</v>
      </c>
      <c r="G2974" s="191">
        <v>9</v>
      </c>
      <c r="H2974" s="191">
        <v>14</v>
      </c>
      <c r="J2974" s="191">
        <v>20</v>
      </c>
      <c r="K2974" s="196">
        <f t="shared" si="31"/>
        <v>7.1428571428571432</v>
      </c>
      <c r="L2974" s="196">
        <f t="shared" si="32"/>
        <v>42.444444444444443</v>
      </c>
      <c r="M2974" s="189">
        <f t="shared" si="33"/>
        <v>322589452.66666675</v>
      </c>
      <c r="N2974" s="189">
        <f t="shared" si="34"/>
        <v>1621489</v>
      </c>
      <c r="O2974" s="189">
        <f t="shared" si="35"/>
        <v>1433730.9007407411</v>
      </c>
      <c r="P2974" s="196">
        <f t="shared" si="36"/>
        <v>181.97985311683172</v>
      </c>
      <c r="Q2974" s="189">
        <f t="shared" si="37"/>
        <v>18692303.166666668</v>
      </c>
      <c r="S2974" s="189">
        <f t="shared" si="38"/>
        <v>186923.03166666668</v>
      </c>
      <c r="T2974" s="196">
        <f t="shared" si="39"/>
        <v>43.805600323672614</v>
      </c>
    </row>
    <row r="2975" spans="1:20" ht="15.6">
      <c r="A2975" s="191" t="s">
        <v>5766</v>
      </c>
      <c r="B2975" s="191" t="s">
        <v>5605</v>
      </c>
      <c r="C2975" s="191">
        <v>79.5</v>
      </c>
      <c r="D2975" s="191">
        <v>10127</v>
      </c>
      <c r="E2975" s="191">
        <v>496</v>
      </c>
      <c r="F2975" s="191">
        <v>199</v>
      </c>
      <c r="G2975" s="191">
        <v>9</v>
      </c>
      <c r="H2975" s="191">
        <v>14</v>
      </c>
      <c r="J2975" s="191">
        <v>20</v>
      </c>
      <c r="K2975" s="196">
        <f t="shared" si="31"/>
        <v>7.1071428571428568</v>
      </c>
      <c r="L2975" s="196">
        <f t="shared" si="32"/>
        <v>47.555555555555557</v>
      </c>
      <c r="M2975" s="189">
        <f t="shared" si="33"/>
        <v>400595765.33333325</v>
      </c>
      <c r="N2975" s="189">
        <f t="shared" si="34"/>
        <v>1835656</v>
      </c>
      <c r="O2975" s="189">
        <f t="shared" si="35"/>
        <v>1615305.5053763438</v>
      </c>
      <c r="P2975" s="196">
        <f t="shared" si="36"/>
        <v>198.88991953380358</v>
      </c>
      <c r="Q2975" s="189">
        <f t="shared" si="37"/>
        <v>18416495.333333332</v>
      </c>
      <c r="S2975" s="189">
        <f t="shared" si="38"/>
        <v>185090.405360134</v>
      </c>
      <c r="T2975" s="196">
        <f t="shared" si="39"/>
        <v>42.644506080131123</v>
      </c>
    </row>
    <row r="2976" spans="1:20" ht="15.6">
      <c r="A2976" s="191" t="s">
        <v>5767</v>
      </c>
      <c r="B2976" s="191" t="s">
        <v>5606</v>
      </c>
      <c r="C2976" s="191">
        <v>89.67</v>
      </c>
      <c r="D2976" s="191">
        <v>11423</v>
      </c>
      <c r="E2976" s="191">
        <v>500</v>
      </c>
      <c r="F2976" s="191">
        <v>200</v>
      </c>
      <c r="G2976" s="191">
        <v>10</v>
      </c>
      <c r="H2976" s="191">
        <v>16</v>
      </c>
      <c r="J2976" s="191">
        <v>20</v>
      </c>
      <c r="K2976" s="196">
        <f t="shared" si="31"/>
        <v>6.25</v>
      </c>
      <c r="L2976" s="196">
        <f t="shared" si="32"/>
        <v>42.8</v>
      </c>
      <c r="M2976" s="189">
        <f t="shared" si="33"/>
        <v>460365493.33333325</v>
      </c>
      <c r="N2976" s="189">
        <f t="shared" si="34"/>
        <v>2096360</v>
      </c>
      <c r="O2976" s="189">
        <f t="shared" si="35"/>
        <v>1841461.9733333329</v>
      </c>
      <c r="P2976" s="196">
        <f t="shared" si="36"/>
        <v>200.75265305887086</v>
      </c>
      <c r="Q2976" s="189">
        <f t="shared" si="37"/>
        <v>21372333.333333332</v>
      </c>
      <c r="S2976" s="189">
        <f t="shared" si="38"/>
        <v>213723.33333333331</v>
      </c>
      <c r="T2976" s="196">
        <f t="shared" si="39"/>
        <v>43.254956651384902</v>
      </c>
    </row>
    <row r="2977" spans="1:20" ht="15.6">
      <c r="A2977" s="191" t="s">
        <v>5768</v>
      </c>
      <c r="B2977" s="191" t="s">
        <v>5607</v>
      </c>
      <c r="C2977" s="191">
        <v>103.06</v>
      </c>
      <c r="D2977" s="191">
        <v>13129</v>
      </c>
      <c r="E2977" s="191">
        <v>506</v>
      </c>
      <c r="F2977" s="191">
        <v>201</v>
      </c>
      <c r="G2977" s="191">
        <v>11</v>
      </c>
      <c r="H2977" s="191">
        <v>19</v>
      </c>
      <c r="J2977" s="191">
        <v>20</v>
      </c>
      <c r="K2977" s="196">
        <f t="shared" si="31"/>
        <v>5.2894736842105265</v>
      </c>
      <c r="L2977" s="196">
        <f t="shared" si="32"/>
        <v>38.909090909090907</v>
      </c>
      <c r="M2977" s="189">
        <f t="shared" si="33"/>
        <v>547065278</v>
      </c>
      <c r="N2977" s="189">
        <f t="shared" si="34"/>
        <v>2462169</v>
      </c>
      <c r="O2977" s="189">
        <f t="shared" si="35"/>
        <v>2162313.3517786562</v>
      </c>
      <c r="P2977" s="196">
        <f t="shared" si="36"/>
        <v>204.1285503728221</v>
      </c>
      <c r="Q2977" s="189">
        <f t="shared" si="37"/>
        <v>25767145.5</v>
      </c>
      <c r="S2977" s="189">
        <f t="shared" si="38"/>
        <v>256389.50746268657</v>
      </c>
      <c r="T2977" s="196">
        <f t="shared" si="39"/>
        <v>44.301387744081893</v>
      </c>
    </row>
    <row r="2978" spans="1:20" ht="15.6">
      <c r="A2978" s="191" t="s">
        <v>5769</v>
      </c>
      <c r="B2978" s="191" t="s">
        <v>5608</v>
      </c>
      <c r="C2978" s="191">
        <v>95.17</v>
      </c>
      <c r="D2978" s="191">
        <v>12124</v>
      </c>
      <c r="E2978" s="191">
        <v>596</v>
      </c>
      <c r="F2978" s="191">
        <v>199</v>
      </c>
      <c r="G2978" s="191">
        <v>10</v>
      </c>
      <c r="H2978" s="191">
        <v>15</v>
      </c>
      <c r="J2978" s="191">
        <v>24</v>
      </c>
      <c r="K2978" s="196">
        <f t="shared" si="31"/>
        <v>6.6333333333333337</v>
      </c>
      <c r="L2978" s="196">
        <f t="shared" si="32"/>
        <v>51.8</v>
      </c>
      <c r="M2978" s="189">
        <f t="shared" si="33"/>
        <v>655022976.66666651</v>
      </c>
      <c r="N2978" s="189">
        <f t="shared" si="34"/>
        <v>2535175</v>
      </c>
      <c r="O2978" s="189">
        <f t="shared" si="35"/>
        <v>2198063.6800894849</v>
      </c>
      <c r="P2978" s="196">
        <f t="shared" si="36"/>
        <v>232.43702237820122</v>
      </c>
      <c r="Q2978" s="189">
        <f t="shared" si="37"/>
        <v>19748664.166666668</v>
      </c>
      <c r="S2978" s="189">
        <f t="shared" si="38"/>
        <v>198479.03685092129</v>
      </c>
      <c r="T2978" s="196">
        <f t="shared" si="39"/>
        <v>40.359511258385261</v>
      </c>
    </row>
    <row r="2979" spans="1:20" ht="15.6">
      <c r="A2979" s="191" t="s">
        <v>5770</v>
      </c>
      <c r="B2979" s="191" t="s">
        <v>5609</v>
      </c>
      <c r="C2979" s="191">
        <v>106.13</v>
      </c>
      <c r="D2979" s="191">
        <v>13519.999999999998</v>
      </c>
      <c r="E2979" s="191">
        <v>600</v>
      </c>
      <c r="F2979" s="191">
        <v>200</v>
      </c>
      <c r="G2979" s="191">
        <v>11</v>
      </c>
      <c r="H2979" s="191">
        <v>17</v>
      </c>
      <c r="J2979" s="191">
        <v>24</v>
      </c>
      <c r="K2979" s="196">
        <f t="shared" si="31"/>
        <v>5.882352941176471</v>
      </c>
      <c r="L2979" s="196">
        <f t="shared" si="32"/>
        <v>47.090909090909093</v>
      </c>
      <c r="M2979" s="189">
        <f t="shared" si="33"/>
        <v>744186438</v>
      </c>
      <c r="N2979" s="189">
        <f t="shared" si="34"/>
        <v>2863179</v>
      </c>
      <c r="O2979" s="189">
        <f t="shared" si="35"/>
        <v>2480621.46</v>
      </c>
      <c r="P2979" s="196">
        <f t="shared" si="36"/>
        <v>234.61324683767535</v>
      </c>
      <c r="Q2979" s="189">
        <f t="shared" si="37"/>
        <v>22729445.5</v>
      </c>
      <c r="S2979" s="189">
        <f t="shared" si="38"/>
        <v>227294.45499999999</v>
      </c>
      <c r="T2979" s="196">
        <f t="shared" si="39"/>
        <v>41.002097561440316</v>
      </c>
    </row>
    <row r="2980" spans="1:20" ht="15.6">
      <c r="A2980" s="191" t="s">
        <v>5771</v>
      </c>
      <c r="B2980" s="191" t="s">
        <v>5610</v>
      </c>
      <c r="C2980" s="191">
        <v>120.31</v>
      </c>
      <c r="D2980" s="191">
        <v>15326</v>
      </c>
      <c r="E2980" s="191">
        <v>606</v>
      </c>
      <c r="F2980" s="191">
        <v>201</v>
      </c>
      <c r="G2980" s="191">
        <v>12</v>
      </c>
      <c r="H2980" s="191">
        <v>20</v>
      </c>
      <c r="J2980" s="191">
        <v>24</v>
      </c>
      <c r="K2980" s="196">
        <f t="shared" si="31"/>
        <v>5.0250000000000004</v>
      </c>
      <c r="L2980" s="196">
        <f t="shared" si="32"/>
        <v>43.166666666666664</v>
      </c>
      <c r="M2980" s="189">
        <f t="shared" si="33"/>
        <v>871815456</v>
      </c>
      <c r="N2980" s="189">
        <f t="shared" si="34"/>
        <v>3316788</v>
      </c>
      <c r="O2980" s="189">
        <f t="shared" si="35"/>
        <v>2877278.7326732674</v>
      </c>
      <c r="P2980" s="196">
        <f t="shared" si="36"/>
        <v>238.50521059756144</v>
      </c>
      <c r="Q2980" s="189">
        <f t="shared" si="37"/>
        <v>27150174</v>
      </c>
      <c r="S2980" s="189">
        <f t="shared" si="38"/>
        <v>270150.98507462686</v>
      </c>
      <c r="T2980" s="196">
        <f t="shared" si="39"/>
        <v>42.089318906565005</v>
      </c>
    </row>
    <row r="2981" spans="1:20" ht="15.6">
      <c r="A2981" s="191" t="s">
        <v>5772</v>
      </c>
      <c r="B2981" s="191" t="s">
        <v>5611</v>
      </c>
      <c r="C2981" s="191">
        <v>166.02</v>
      </c>
      <c r="D2981" s="191">
        <v>21149</v>
      </c>
      <c r="E2981" s="191">
        <v>692</v>
      </c>
      <c r="F2981" s="191">
        <v>300</v>
      </c>
      <c r="G2981" s="191">
        <v>13</v>
      </c>
      <c r="H2981" s="191">
        <v>20</v>
      </c>
      <c r="J2981" s="191">
        <v>28</v>
      </c>
      <c r="K2981" s="196">
        <f t="shared" si="31"/>
        <v>7.5</v>
      </c>
      <c r="L2981" s="196">
        <f t="shared" si="32"/>
        <v>45.846153846153847</v>
      </c>
      <c r="M2981" s="189">
        <f t="shared" si="33"/>
        <v>1655417125.333333</v>
      </c>
      <c r="N2981" s="189">
        <f t="shared" si="34"/>
        <v>5413588</v>
      </c>
      <c r="O2981" s="189">
        <f t="shared" si="35"/>
        <v>4784442.5587668587</v>
      </c>
      <c r="P2981" s="196">
        <f t="shared" si="36"/>
        <v>279.77493482001825</v>
      </c>
      <c r="Q2981" s="189">
        <f t="shared" si="37"/>
        <v>90119370.333333328</v>
      </c>
      <c r="S2981" s="189">
        <f t="shared" si="38"/>
        <v>600795.80222222221</v>
      </c>
      <c r="T2981" s="196">
        <f t="shared" si="39"/>
        <v>65.277596538412993</v>
      </c>
    </row>
    <row r="2982" spans="1:20" ht="15.6">
      <c r="A2982" s="191" t="s">
        <v>5773</v>
      </c>
      <c r="B2982" s="191" t="s">
        <v>5612</v>
      </c>
      <c r="C2982" s="191">
        <v>184.86</v>
      </c>
      <c r="D2982" s="191">
        <v>23549</v>
      </c>
      <c r="E2982" s="191">
        <v>700</v>
      </c>
      <c r="F2982" s="191">
        <v>300</v>
      </c>
      <c r="G2982" s="191">
        <v>13</v>
      </c>
      <c r="H2982" s="191">
        <v>24</v>
      </c>
      <c r="J2982" s="191">
        <v>28</v>
      </c>
      <c r="K2982" s="196">
        <f t="shared" si="31"/>
        <v>6.25</v>
      </c>
      <c r="L2982" s="196">
        <f t="shared" si="32"/>
        <v>45.846153846153847</v>
      </c>
      <c r="M2982" s="189">
        <f t="shared" si="33"/>
        <v>1946069925.333333</v>
      </c>
      <c r="N2982" s="189">
        <f t="shared" si="34"/>
        <v>6248788</v>
      </c>
      <c r="O2982" s="189">
        <f t="shared" si="35"/>
        <v>5560199.7866666662</v>
      </c>
      <c r="P2982" s="196">
        <f t="shared" si="36"/>
        <v>287.47030231611313</v>
      </c>
      <c r="Q2982" s="189">
        <f t="shared" si="37"/>
        <v>108119370.33333333</v>
      </c>
      <c r="S2982" s="189">
        <f t="shared" si="38"/>
        <v>720795.80222222221</v>
      </c>
      <c r="T2982" s="196">
        <f t="shared" si="39"/>
        <v>67.758770817439398</v>
      </c>
    </row>
    <row r="2983" spans="1:20" ht="15.6">
      <c r="A2983" s="191" t="s">
        <v>5774</v>
      </c>
      <c r="B2983" s="191" t="s">
        <v>5613</v>
      </c>
      <c r="C2983" s="191">
        <v>191.11</v>
      </c>
      <c r="D2983" s="191">
        <v>24345</v>
      </c>
      <c r="E2983" s="191">
        <v>792</v>
      </c>
      <c r="F2983" s="191">
        <v>300</v>
      </c>
      <c r="G2983" s="191">
        <v>14</v>
      </c>
      <c r="H2983" s="191">
        <v>22</v>
      </c>
      <c r="J2983" s="191">
        <v>28</v>
      </c>
      <c r="K2983" s="196">
        <f t="shared" si="31"/>
        <v>6.8181818181818183</v>
      </c>
      <c r="L2983" s="196">
        <f t="shared" si="32"/>
        <v>49.428571428571431</v>
      </c>
      <c r="M2983" s="189">
        <f t="shared" si="33"/>
        <v>2445362890.666666</v>
      </c>
      <c r="N2983" s="189">
        <f t="shared" si="34"/>
        <v>7040264</v>
      </c>
      <c r="O2983" s="189">
        <f t="shared" si="35"/>
        <v>6175158.8148148134</v>
      </c>
      <c r="P2983" s="196">
        <f t="shared" si="36"/>
        <v>316.93249475225753</v>
      </c>
      <c r="Q2983" s="189">
        <f t="shared" si="37"/>
        <v>99171042.666666672</v>
      </c>
      <c r="S2983" s="189">
        <f t="shared" si="38"/>
        <v>661140.28444444446</v>
      </c>
      <c r="T2983" s="196">
        <f t="shared" si="39"/>
        <v>63.824518958131385</v>
      </c>
    </row>
    <row r="2984" spans="1:20" ht="15.6">
      <c r="A2984" s="191" t="s">
        <v>5775</v>
      </c>
      <c r="B2984" s="191" t="s">
        <v>5614</v>
      </c>
      <c r="C2984" s="191">
        <v>209.95</v>
      </c>
      <c r="D2984" s="191">
        <v>26745</v>
      </c>
      <c r="E2984" s="191">
        <v>800</v>
      </c>
      <c r="F2984" s="191">
        <v>300</v>
      </c>
      <c r="G2984" s="191">
        <v>14</v>
      </c>
      <c r="H2984" s="191">
        <v>26</v>
      </c>
      <c r="J2984" s="191">
        <v>28</v>
      </c>
      <c r="K2984" s="196">
        <f t="shared" si="31"/>
        <v>5.7692307692307692</v>
      </c>
      <c r="L2984" s="196">
        <f t="shared" si="32"/>
        <v>49.428571428571431</v>
      </c>
      <c r="M2984" s="189">
        <f t="shared" si="33"/>
        <v>2825535690.666666</v>
      </c>
      <c r="N2984" s="189">
        <f t="shared" si="34"/>
        <v>7995464</v>
      </c>
      <c r="O2984" s="189">
        <f t="shared" si="35"/>
        <v>7063839.2266666647</v>
      </c>
      <c r="P2984" s="196">
        <f t="shared" si="36"/>
        <v>325.03422835801058</v>
      </c>
      <c r="Q2984" s="189">
        <f t="shared" si="37"/>
        <v>117171042.66666667</v>
      </c>
      <c r="S2984" s="189">
        <f t="shared" si="38"/>
        <v>781140.28444444446</v>
      </c>
      <c r="T2984" s="196">
        <f t="shared" si="39"/>
        <v>66.189461252951304</v>
      </c>
    </row>
    <row r="2985" spans="1:20" ht="15.6">
      <c r="A2985" s="191" t="s">
        <v>5776</v>
      </c>
      <c r="B2985" s="191" t="s">
        <v>5615</v>
      </c>
      <c r="C2985" s="191">
        <v>56.74</v>
      </c>
      <c r="D2985" s="191">
        <v>7228</v>
      </c>
      <c r="E2985" s="191">
        <v>200</v>
      </c>
      <c r="F2985" s="191">
        <v>204</v>
      </c>
      <c r="G2985" s="191">
        <v>12</v>
      </c>
      <c r="H2985" s="191">
        <v>12</v>
      </c>
      <c r="J2985" s="191">
        <v>16</v>
      </c>
      <c r="K2985" s="196">
        <f t="shared" si="31"/>
        <v>8.5</v>
      </c>
      <c r="L2985" s="196">
        <f t="shared" si="32"/>
        <v>12</v>
      </c>
      <c r="M2985" s="189">
        <f t="shared" si="33"/>
        <v>48771584</v>
      </c>
      <c r="N2985" s="189">
        <f t="shared" si="34"/>
        <v>553152</v>
      </c>
      <c r="O2985" s="189">
        <f t="shared" si="35"/>
        <v>487715.84000000003</v>
      </c>
      <c r="P2985" s="196">
        <f t="shared" si="36"/>
        <v>82.143718454066743</v>
      </c>
      <c r="Q2985" s="189">
        <f t="shared" si="37"/>
        <v>17004672</v>
      </c>
      <c r="S2985" s="189">
        <f t="shared" si="38"/>
        <v>166712.4705882353</v>
      </c>
      <c r="T2985" s="196">
        <f t="shared" si="39"/>
        <v>48.503721067439102</v>
      </c>
    </row>
    <row r="2986" spans="1:20" ht="15.6">
      <c r="A2986" s="191" t="s">
        <v>5777</v>
      </c>
      <c r="B2986" s="191" t="s">
        <v>5616</v>
      </c>
      <c r="C2986" s="191">
        <v>64.42</v>
      </c>
      <c r="D2986" s="191">
        <v>8206</v>
      </c>
      <c r="E2986" s="191">
        <v>244</v>
      </c>
      <c r="F2986" s="191">
        <v>252</v>
      </c>
      <c r="G2986" s="191">
        <v>11</v>
      </c>
      <c r="H2986" s="191">
        <v>11</v>
      </c>
      <c r="J2986" s="191">
        <v>16</v>
      </c>
      <c r="K2986" s="196">
        <f t="shared" si="31"/>
        <v>11.454545454545455</v>
      </c>
      <c r="L2986" s="196">
        <f t="shared" si="32"/>
        <v>17.272727272727273</v>
      </c>
      <c r="M2986" s="189">
        <f t="shared" si="33"/>
        <v>85329750</v>
      </c>
      <c r="N2986" s="189">
        <f t="shared" si="34"/>
        <v>781407</v>
      </c>
      <c r="O2986" s="189">
        <f t="shared" si="35"/>
        <v>699424.1803278689</v>
      </c>
      <c r="P2986" s="196">
        <f t="shared" si="36"/>
        <v>101.97283189673715</v>
      </c>
      <c r="Q2986" s="189">
        <f t="shared" si="37"/>
        <v>29363471.5</v>
      </c>
      <c r="S2986" s="189">
        <f t="shared" si="38"/>
        <v>233043.42460317462</v>
      </c>
      <c r="T2986" s="196">
        <f t="shared" si="39"/>
        <v>59.818833952546747</v>
      </c>
    </row>
    <row r="2987" spans="1:20" ht="15.6">
      <c r="A2987" s="191" t="s">
        <v>5778</v>
      </c>
      <c r="B2987" s="191" t="s">
        <v>5617</v>
      </c>
      <c r="C2987" s="191">
        <v>82.17</v>
      </c>
      <c r="D2987" s="191">
        <v>10468</v>
      </c>
      <c r="E2987" s="191">
        <v>250</v>
      </c>
      <c r="F2987" s="191">
        <v>255</v>
      </c>
      <c r="G2987" s="191">
        <v>14</v>
      </c>
      <c r="H2987" s="191">
        <v>14</v>
      </c>
      <c r="J2987" s="191">
        <v>16</v>
      </c>
      <c r="K2987" s="196">
        <f t="shared" si="31"/>
        <v>9.1071428571428577</v>
      </c>
      <c r="L2987" s="196">
        <f t="shared" si="32"/>
        <v>13.571428571428571</v>
      </c>
      <c r="M2987" s="189">
        <f t="shared" si="33"/>
        <v>112298536</v>
      </c>
      <c r="N2987" s="189">
        <f t="shared" si="34"/>
        <v>1015014</v>
      </c>
      <c r="O2987" s="189">
        <f t="shared" si="35"/>
        <v>898388.28799999994</v>
      </c>
      <c r="P2987" s="196">
        <f t="shared" si="36"/>
        <v>103.57505922095889</v>
      </c>
      <c r="Q2987" s="189">
        <f t="shared" si="37"/>
        <v>38740639</v>
      </c>
      <c r="S2987" s="189">
        <f t="shared" si="38"/>
        <v>303848.14901960787</v>
      </c>
      <c r="T2987" s="196">
        <f t="shared" si="39"/>
        <v>60.834722722533641</v>
      </c>
    </row>
    <row r="2988" spans="1:20" ht="15.6">
      <c r="A2988" s="191" t="s">
        <v>5779</v>
      </c>
      <c r="B2988" s="191" t="s">
        <v>5618</v>
      </c>
      <c r="C2988" s="191">
        <v>85.02</v>
      </c>
      <c r="D2988" s="191">
        <v>10831</v>
      </c>
      <c r="E2988" s="191">
        <v>294</v>
      </c>
      <c r="F2988" s="191">
        <v>302</v>
      </c>
      <c r="G2988" s="191">
        <v>12</v>
      </c>
      <c r="H2988" s="191">
        <v>12</v>
      </c>
      <c r="J2988" s="191">
        <v>20</v>
      </c>
      <c r="K2988" s="196">
        <f t="shared" si="31"/>
        <v>12.583333333333334</v>
      </c>
      <c r="L2988" s="196">
        <f t="shared" si="32"/>
        <v>19.166666666666668</v>
      </c>
      <c r="M2988" s="189">
        <f t="shared" si="33"/>
        <v>163867464</v>
      </c>
      <c r="N2988" s="189">
        <f t="shared" si="34"/>
        <v>1240668</v>
      </c>
      <c r="O2988" s="189">
        <f t="shared" si="35"/>
        <v>1114744.6530612244</v>
      </c>
      <c r="P2988" s="196">
        <f t="shared" si="36"/>
        <v>123.00197601949114</v>
      </c>
      <c r="Q2988" s="189">
        <f t="shared" si="37"/>
        <v>55126096</v>
      </c>
      <c r="S2988" s="189">
        <f t="shared" si="38"/>
        <v>365073.48344370862</v>
      </c>
      <c r="T2988" s="196">
        <f t="shared" si="39"/>
        <v>71.341845658252723</v>
      </c>
    </row>
    <row r="2989" spans="1:20" ht="15.6">
      <c r="A2989" s="191" t="s">
        <v>5780</v>
      </c>
      <c r="B2989" s="191" t="s">
        <v>5619</v>
      </c>
      <c r="C2989" s="191">
        <v>94.54</v>
      </c>
      <c r="D2989" s="191">
        <v>12043</v>
      </c>
      <c r="E2989" s="191">
        <v>300</v>
      </c>
      <c r="F2989" s="191">
        <v>300</v>
      </c>
      <c r="G2989" s="191">
        <v>10</v>
      </c>
      <c r="H2989" s="191">
        <v>15</v>
      </c>
      <c r="J2989" s="191">
        <v>20</v>
      </c>
      <c r="K2989" s="196">
        <f t="shared" si="31"/>
        <v>10</v>
      </c>
      <c r="L2989" s="196">
        <f t="shared" si="32"/>
        <v>23</v>
      </c>
      <c r="M2989" s="189">
        <f t="shared" si="33"/>
        <v>199327500</v>
      </c>
      <c r="N2989" s="189">
        <f t="shared" si="34"/>
        <v>1464750</v>
      </c>
      <c r="O2989" s="189">
        <f t="shared" si="35"/>
        <v>1328850</v>
      </c>
      <c r="P2989" s="196">
        <f t="shared" si="36"/>
        <v>128.65191843593524</v>
      </c>
      <c r="Q2989" s="189">
        <f t="shared" si="37"/>
        <v>67522500</v>
      </c>
      <c r="S2989" s="189">
        <f t="shared" si="38"/>
        <v>450150</v>
      </c>
      <c r="T2989" s="196">
        <f t="shared" si="39"/>
        <v>74.878461682344323</v>
      </c>
    </row>
    <row r="2990" spans="1:20" ht="15.6">
      <c r="A2990" s="191" t="s">
        <v>5781</v>
      </c>
      <c r="B2990" s="191" t="s">
        <v>5620</v>
      </c>
      <c r="C2990" s="191">
        <v>106.31</v>
      </c>
      <c r="D2990" s="191">
        <v>13543</v>
      </c>
      <c r="E2990" s="191">
        <v>300</v>
      </c>
      <c r="F2990" s="191">
        <v>305</v>
      </c>
      <c r="G2990" s="191">
        <v>15</v>
      </c>
      <c r="H2990" s="191">
        <v>15</v>
      </c>
      <c r="J2990" s="191">
        <v>20</v>
      </c>
      <c r="K2990" s="196">
        <f t="shared" si="31"/>
        <v>10.166666666666666</v>
      </c>
      <c r="L2990" s="196">
        <f t="shared" si="32"/>
        <v>15.333333333333334</v>
      </c>
      <c r="M2990" s="189">
        <f t="shared" si="33"/>
        <v>210577500</v>
      </c>
      <c r="N2990" s="189">
        <f t="shared" si="34"/>
        <v>1577250</v>
      </c>
      <c r="O2990" s="189">
        <f t="shared" si="35"/>
        <v>1403850</v>
      </c>
      <c r="P2990" s="196">
        <f t="shared" si="36"/>
        <v>124.69485756048871</v>
      </c>
      <c r="Q2990" s="189">
        <f t="shared" si="37"/>
        <v>71007500</v>
      </c>
      <c r="S2990" s="189">
        <f t="shared" si="38"/>
        <v>465622.95081967214</v>
      </c>
      <c r="T2990" s="196">
        <f t="shared" si="39"/>
        <v>72.409353844019321</v>
      </c>
    </row>
    <row r="2991" spans="1:20" ht="15.6">
      <c r="A2991" s="191" t="s">
        <v>5782</v>
      </c>
      <c r="B2991" s="191" t="s">
        <v>5621</v>
      </c>
      <c r="C2991" s="191">
        <v>106.17</v>
      </c>
      <c r="D2991" s="191">
        <v>13525</v>
      </c>
      <c r="E2991" s="191">
        <v>338</v>
      </c>
      <c r="F2991" s="191">
        <v>351</v>
      </c>
      <c r="G2991" s="191">
        <v>13</v>
      </c>
      <c r="H2991" s="191">
        <v>13</v>
      </c>
      <c r="J2991" s="191">
        <v>20</v>
      </c>
      <c r="K2991" s="196">
        <f t="shared" si="31"/>
        <v>13.5</v>
      </c>
      <c r="L2991" s="196">
        <f t="shared" si="32"/>
        <v>20.923076923076923</v>
      </c>
      <c r="M2991" s="189">
        <f t="shared" si="33"/>
        <v>274014234</v>
      </c>
      <c r="N2991" s="189">
        <f t="shared" si="34"/>
        <v>1799343</v>
      </c>
      <c r="O2991" s="189">
        <f t="shared" si="35"/>
        <v>1621386</v>
      </c>
      <c r="P2991" s="196">
        <f t="shared" si="36"/>
        <v>142.33703825220738</v>
      </c>
      <c r="Q2991" s="189">
        <f t="shared" si="37"/>
        <v>93751482.5</v>
      </c>
      <c r="S2991" s="189">
        <f t="shared" si="38"/>
        <v>534196.48148148146</v>
      </c>
      <c r="T2991" s="196">
        <f t="shared" si="39"/>
        <v>83.256938118794764</v>
      </c>
    </row>
    <row r="2992" spans="1:20" ht="15.6">
      <c r="A2992" s="191" t="s">
        <v>5783</v>
      </c>
      <c r="B2992" s="191" t="s">
        <v>5622</v>
      </c>
      <c r="C2992" s="191">
        <v>130.80000000000001</v>
      </c>
      <c r="D2992" s="191">
        <v>16663</v>
      </c>
      <c r="E2992" s="191">
        <v>344</v>
      </c>
      <c r="F2992" s="191">
        <v>354</v>
      </c>
      <c r="G2992" s="191">
        <v>16</v>
      </c>
      <c r="H2992" s="191">
        <v>16</v>
      </c>
      <c r="J2992" s="191">
        <v>20</v>
      </c>
      <c r="K2992" s="196">
        <f t="shared" si="31"/>
        <v>11.0625</v>
      </c>
      <c r="L2992" s="196">
        <f t="shared" si="32"/>
        <v>17</v>
      </c>
      <c r="M2992" s="189">
        <f t="shared" si="33"/>
        <v>345414656</v>
      </c>
      <c r="N2992" s="189">
        <f t="shared" si="34"/>
        <v>2247168</v>
      </c>
      <c r="O2992" s="189">
        <f t="shared" si="35"/>
        <v>2008224.7441860465</v>
      </c>
      <c r="P2992" s="196">
        <f t="shared" si="36"/>
        <v>143.97721985357299</v>
      </c>
      <c r="Q2992" s="189">
        <f t="shared" si="37"/>
        <v>118404800</v>
      </c>
      <c r="S2992" s="189">
        <f t="shared" si="38"/>
        <v>668953.67231638415</v>
      </c>
      <c r="T2992" s="196">
        <f t="shared" si="39"/>
        <v>84.296211583221236</v>
      </c>
    </row>
    <row r="2993" spans="1:20" ht="15.6">
      <c r="A2993" s="191" t="s">
        <v>5784</v>
      </c>
      <c r="B2993" s="191" t="s">
        <v>5623</v>
      </c>
      <c r="C2993" s="191">
        <v>136.49</v>
      </c>
      <c r="D2993" s="191">
        <v>17387</v>
      </c>
      <c r="E2993" s="191">
        <v>350</v>
      </c>
      <c r="F2993" s="191">
        <v>350</v>
      </c>
      <c r="G2993" s="191">
        <v>12</v>
      </c>
      <c r="H2993" s="191">
        <v>19</v>
      </c>
      <c r="J2993" s="191">
        <v>20</v>
      </c>
      <c r="K2993" s="196">
        <f t="shared" si="31"/>
        <v>9.2105263157894743</v>
      </c>
      <c r="L2993" s="196">
        <f t="shared" si="32"/>
        <v>22.666666666666668</v>
      </c>
      <c r="M2993" s="189">
        <f t="shared" si="33"/>
        <v>395061761.33333325</v>
      </c>
      <c r="N2993" s="189">
        <f t="shared" si="34"/>
        <v>2493182</v>
      </c>
      <c r="O2993" s="189">
        <f t="shared" si="35"/>
        <v>2257495.7790476186</v>
      </c>
      <c r="P2993" s="196">
        <f t="shared" si="36"/>
        <v>150.73710522363839</v>
      </c>
      <c r="Q2993" s="189">
        <f t="shared" si="37"/>
        <v>135815761.33333334</v>
      </c>
      <c r="S2993" s="189">
        <f t="shared" si="38"/>
        <v>776090.06476190477</v>
      </c>
      <c r="T2993" s="196">
        <f t="shared" si="39"/>
        <v>88.381783095915836</v>
      </c>
    </row>
    <row r="2994" spans="1:20" ht="15.6">
      <c r="A2994" s="191" t="s">
        <v>5785</v>
      </c>
      <c r="B2994" s="191" t="s">
        <v>5624</v>
      </c>
      <c r="C2994" s="191">
        <v>155.72</v>
      </c>
      <c r="D2994" s="191">
        <v>19837</v>
      </c>
      <c r="E2994" s="191">
        <v>350</v>
      </c>
      <c r="F2994" s="191">
        <v>357</v>
      </c>
      <c r="G2994" s="191">
        <v>19</v>
      </c>
      <c r="H2994" s="191">
        <v>19</v>
      </c>
      <c r="J2994" s="191">
        <v>20</v>
      </c>
      <c r="K2994" s="196">
        <f t="shared" ref="K2994:K3000" si="40">F2994/2/H2994</f>
        <v>9.3947368421052637</v>
      </c>
      <c r="L2994" s="196">
        <f t="shared" ref="L2994:L3000" si="41">(E2994-2*H2994-2*J2994)/G2994</f>
        <v>14.315789473684211</v>
      </c>
      <c r="M2994" s="189">
        <f t="shared" ref="M2994:M3000" si="42">F2994*E2994^3/12-(F2994-G2994)*(E2994-2*H2994)^3/12</f>
        <v>420072178</v>
      </c>
      <c r="N2994" s="189">
        <f t="shared" ref="N2994:N3000" si="43">F2994*E2994^2/4-(F2994-G2994)*(E2994-2*H2994)^2/4</f>
        <v>2707557</v>
      </c>
      <c r="O2994" s="189">
        <f t="shared" ref="O2994:O3000" si="44">M2994/(E2994/2)</f>
        <v>2400412.4457142856</v>
      </c>
      <c r="P2994" s="196">
        <f t="shared" ref="P2994:P3000" si="45">SQRT(M2994/D2994)</f>
        <v>145.52042773555874</v>
      </c>
      <c r="Q2994" s="189">
        <f t="shared" ref="Q2994:Q3000" si="46">2*H2994*F2994^3/12+(E2994-2*H2994)*G2994^3/12</f>
        <v>144259428.5</v>
      </c>
      <c r="S2994" s="189">
        <f t="shared" ref="S2994:S3000" si="47">Q2994/(F2994/2)</f>
        <v>808176.07002801122</v>
      </c>
      <c r="T2994" s="196">
        <f t="shared" ref="T2994:T3000" si="48">SQRT(Q2994/D2994)</f>
        <v>85.277430674752807</v>
      </c>
    </row>
    <row r="2995" spans="1:20" ht="15.6">
      <c r="A2995" s="191" t="s">
        <v>5786</v>
      </c>
      <c r="B2995" s="191" t="s">
        <v>5625</v>
      </c>
      <c r="C2995" s="191">
        <v>140.69999999999999</v>
      </c>
      <c r="D2995" s="191">
        <v>17924</v>
      </c>
      <c r="E2995" s="191">
        <v>388</v>
      </c>
      <c r="F2995" s="191">
        <v>402</v>
      </c>
      <c r="G2995" s="191">
        <v>15</v>
      </c>
      <c r="H2995" s="191">
        <v>15</v>
      </c>
      <c r="J2995" s="191">
        <v>24</v>
      </c>
      <c r="K2995" s="196">
        <f t="shared" si="40"/>
        <v>13.4</v>
      </c>
      <c r="L2995" s="196">
        <f t="shared" si="41"/>
        <v>20.666666666666668</v>
      </c>
      <c r="M2995" s="189">
        <f t="shared" si="42"/>
        <v>477053450</v>
      </c>
      <c r="N2995" s="189">
        <f t="shared" si="43"/>
        <v>2729805</v>
      </c>
      <c r="O2995" s="189">
        <f t="shared" si="44"/>
        <v>2459038.4020618559</v>
      </c>
      <c r="P2995" s="196">
        <f t="shared" si="45"/>
        <v>163.14210169977815</v>
      </c>
      <c r="Q2995" s="189">
        <f t="shared" si="46"/>
        <v>162512707.5</v>
      </c>
      <c r="S2995" s="189">
        <f t="shared" si="47"/>
        <v>808520.93283582095</v>
      </c>
      <c r="T2995" s="196">
        <f t="shared" si="48"/>
        <v>95.219565475844377</v>
      </c>
    </row>
    <row r="2996" spans="1:20" ht="15.6">
      <c r="A2996" s="191" t="s">
        <v>5787</v>
      </c>
      <c r="B2996" s="191" t="s">
        <v>5626</v>
      </c>
      <c r="C2996" s="191">
        <v>168.92</v>
      </c>
      <c r="D2996" s="191">
        <v>21518</v>
      </c>
      <c r="E2996" s="191">
        <v>394</v>
      </c>
      <c r="F2996" s="191">
        <v>405</v>
      </c>
      <c r="G2996" s="191">
        <v>18</v>
      </c>
      <c r="H2996" s="191">
        <v>18</v>
      </c>
      <c r="J2996" s="191">
        <v>24</v>
      </c>
      <c r="K2996" s="196">
        <f t="shared" si="40"/>
        <v>11.25</v>
      </c>
      <c r="L2996" s="196">
        <f t="shared" si="41"/>
        <v>17.222222222222221</v>
      </c>
      <c r="M2996" s="189">
        <f t="shared" si="42"/>
        <v>584533248</v>
      </c>
      <c r="N2996" s="189">
        <f t="shared" si="43"/>
        <v>3317778</v>
      </c>
      <c r="O2996" s="189">
        <f t="shared" si="44"/>
        <v>2967173.8477157359</v>
      </c>
      <c r="P2996" s="196">
        <f t="shared" si="45"/>
        <v>164.81762728814689</v>
      </c>
      <c r="Q2996" s="189">
        <f t="shared" si="46"/>
        <v>199464363</v>
      </c>
      <c r="S2996" s="189">
        <f t="shared" si="47"/>
        <v>985009.2</v>
      </c>
      <c r="T2996" s="196">
        <f t="shared" si="48"/>
        <v>96.279029876782175</v>
      </c>
    </row>
    <row r="2997" spans="1:20" ht="15.6">
      <c r="A2997" s="191" t="s">
        <v>5788</v>
      </c>
      <c r="B2997" s="191" t="s">
        <v>5627</v>
      </c>
      <c r="C2997" s="191">
        <v>172.29</v>
      </c>
      <c r="D2997" s="191">
        <v>21948</v>
      </c>
      <c r="E2997" s="191">
        <v>400</v>
      </c>
      <c r="F2997" s="191">
        <v>400</v>
      </c>
      <c r="G2997" s="191">
        <v>13</v>
      </c>
      <c r="H2997" s="191">
        <v>21</v>
      </c>
      <c r="J2997" s="191">
        <v>24</v>
      </c>
      <c r="K2997" s="196">
        <f t="shared" si="40"/>
        <v>9.5238095238095237</v>
      </c>
      <c r="L2997" s="196">
        <f t="shared" si="41"/>
        <v>23.846153846153847</v>
      </c>
      <c r="M2997" s="189">
        <f t="shared" si="42"/>
        <v>653615871.33333325</v>
      </c>
      <c r="N2997" s="189">
        <f t="shared" si="43"/>
        <v>3600133</v>
      </c>
      <c r="O2997" s="189">
        <f t="shared" si="44"/>
        <v>3268079.3566666665</v>
      </c>
      <c r="P2997" s="196">
        <f t="shared" si="45"/>
        <v>172.56941183611906</v>
      </c>
      <c r="Q2997" s="189">
        <f t="shared" si="46"/>
        <v>224065543.83333334</v>
      </c>
      <c r="S2997" s="189">
        <f t="shared" si="47"/>
        <v>1120327.7191666667</v>
      </c>
      <c r="T2997" s="196">
        <f t="shared" si="48"/>
        <v>101.03923811852663</v>
      </c>
    </row>
    <row r="2998" spans="1:20" ht="15.6">
      <c r="A2998" s="191" t="s">
        <v>5789</v>
      </c>
      <c r="B2998" s="191" t="s">
        <v>5628</v>
      </c>
      <c r="C2998" s="191">
        <v>232.5</v>
      </c>
      <c r="D2998" s="191">
        <v>29618</v>
      </c>
      <c r="E2998" s="191">
        <v>414</v>
      </c>
      <c r="F2998" s="191">
        <v>405</v>
      </c>
      <c r="G2998" s="191">
        <v>18</v>
      </c>
      <c r="H2998" s="191">
        <v>28</v>
      </c>
      <c r="J2998" s="191">
        <v>24</v>
      </c>
      <c r="K2998" s="196">
        <f t="shared" si="40"/>
        <v>7.2321428571428568</v>
      </c>
      <c r="L2998" s="196">
        <f t="shared" si="41"/>
        <v>17.222222222222221</v>
      </c>
      <c r="M2998" s="189">
        <f t="shared" si="42"/>
        <v>915113148</v>
      </c>
      <c r="N2998" s="189">
        <f t="shared" si="43"/>
        <v>4953978</v>
      </c>
      <c r="O2998" s="189">
        <f t="shared" si="44"/>
        <v>4420836.4637681162</v>
      </c>
      <c r="P2998" s="196">
        <f t="shared" si="45"/>
        <v>175.77598213177063</v>
      </c>
      <c r="Q2998" s="189">
        <f t="shared" si="46"/>
        <v>310181238</v>
      </c>
      <c r="S2998" s="189">
        <f t="shared" si="47"/>
        <v>1531759.2</v>
      </c>
      <c r="T2998" s="196">
        <f t="shared" si="48"/>
        <v>102.33634412063111</v>
      </c>
    </row>
    <row r="2999" spans="1:20" ht="15.6">
      <c r="A2999" s="191" t="s">
        <v>5790</v>
      </c>
      <c r="B2999" s="191" t="s">
        <v>5629</v>
      </c>
      <c r="C2999" s="191">
        <v>197.41</v>
      </c>
      <c r="D2999" s="191">
        <v>25148</v>
      </c>
      <c r="E2999" s="191">
        <v>400</v>
      </c>
      <c r="F2999" s="191">
        <v>408</v>
      </c>
      <c r="G2999" s="191">
        <v>21</v>
      </c>
      <c r="H2999" s="191">
        <v>21</v>
      </c>
      <c r="J2999" s="191">
        <v>24</v>
      </c>
      <c r="K2999" s="196">
        <f t="shared" si="40"/>
        <v>9.7142857142857135</v>
      </c>
      <c r="L2999" s="196">
        <f t="shared" si="41"/>
        <v>14.761904761904763</v>
      </c>
      <c r="M2999" s="189">
        <f t="shared" si="42"/>
        <v>696282538</v>
      </c>
      <c r="N2999" s="189">
        <f t="shared" si="43"/>
        <v>3920133</v>
      </c>
      <c r="O2999" s="189">
        <f t="shared" si="44"/>
        <v>3481412.69</v>
      </c>
      <c r="P2999" s="196">
        <f t="shared" si="45"/>
        <v>166.39528887087562</v>
      </c>
      <c r="Q2999" s="189">
        <f t="shared" si="46"/>
        <v>237986878.5</v>
      </c>
      <c r="S2999" s="189">
        <f t="shared" si="47"/>
        <v>1166602.3455882352</v>
      </c>
      <c r="T2999" s="196">
        <f t="shared" si="48"/>
        <v>97.280272959516807</v>
      </c>
    </row>
    <row r="3000" spans="1:20" ht="15.6">
      <c r="A3000" s="191" t="s">
        <v>5791</v>
      </c>
      <c r="B3000" s="191" t="s">
        <v>5630</v>
      </c>
      <c r="C3000" s="191">
        <v>283.73</v>
      </c>
      <c r="D3000" s="191">
        <v>36144</v>
      </c>
      <c r="E3000" s="191">
        <v>428</v>
      </c>
      <c r="F3000" s="191">
        <v>407</v>
      </c>
      <c r="G3000" s="191">
        <v>20</v>
      </c>
      <c r="H3000" s="191">
        <v>35</v>
      </c>
      <c r="J3000" s="191">
        <v>24</v>
      </c>
      <c r="K3000" s="196">
        <f t="shared" si="40"/>
        <v>5.8142857142857141</v>
      </c>
      <c r="L3000" s="196">
        <f t="shared" si="41"/>
        <v>15.5</v>
      </c>
      <c r="M3000" s="189">
        <f t="shared" si="42"/>
        <v>1179442543.3333335</v>
      </c>
      <c r="N3000" s="189">
        <f t="shared" si="43"/>
        <v>6239105</v>
      </c>
      <c r="O3000" s="189">
        <f t="shared" si="44"/>
        <v>5511413.7538940813</v>
      </c>
      <c r="P3000" s="196">
        <f t="shared" si="45"/>
        <v>180.64264670099863</v>
      </c>
      <c r="Q3000" s="189">
        <f t="shared" si="46"/>
        <v>393517000.83333337</v>
      </c>
      <c r="S3000" s="189">
        <f t="shared" si="47"/>
        <v>1933744.4758394761</v>
      </c>
      <c r="T3000" s="196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2021-02-22T21:51:32Z</dcterms:modified>
</cp:coreProperties>
</file>