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80" i="15" l="1"/>
  <c r="AV80" i="15" s="1"/>
  <c r="AU79" i="15"/>
  <c r="AV79" i="15" s="1"/>
  <c r="AV78" i="15"/>
  <c r="AU78" i="15"/>
  <c r="AU77" i="15"/>
  <c r="AV77" i="15" s="1"/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H346" i="15"/>
  <c r="AG346" i="15"/>
  <c r="AF346" i="15"/>
  <c r="AE346" i="15"/>
  <c r="BC345" i="15"/>
  <c r="BA345" i="15"/>
  <c r="AV345" i="15"/>
  <c r="AQ345" i="15"/>
  <c r="AP345" i="15"/>
  <c r="AN345" i="15"/>
  <c r="AM345" i="15"/>
  <c r="AL345" i="15"/>
  <c r="AK345" i="15"/>
  <c r="AU345" i="15" s="1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U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V334" i="15"/>
  <c r="AU334" i="15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H328" i="15"/>
  <c r="AG328" i="15"/>
  <c r="AF328" i="15"/>
  <c r="AE328" i="15"/>
  <c r="CW327" i="15"/>
  <c r="CU327" i="15"/>
  <c r="BA327" i="15"/>
  <c r="AQ327" i="15"/>
  <c r="AP327" i="15"/>
  <c r="AN327" i="15"/>
  <c r="AM327" i="15"/>
  <c r="BB327" i="15" s="1"/>
  <c r="BC327" i="15" s="1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 s="1"/>
  <c r="AV316" i="15"/>
  <c r="AU316" i="15"/>
  <c r="AQ316" i="15"/>
  <c r="AP316" i="15"/>
  <c r="AN316" i="15"/>
  <c r="AM316" i="15"/>
  <c r="AL316" i="15"/>
  <c r="AK316" i="15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V314" i="15"/>
  <c r="AQ314" i="15"/>
  <c r="AP314" i="15"/>
  <c r="AN314" i="15"/>
  <c r="AM314" i="15"/>
  <c r="AL314" i="15"/>
  <c r="AK314" i="15"/>
  <c r="BC313" i="15"/>
  <c r="BA313" i="15"/>
  <c r="AQ313" i="15"/>
  <c r="AP313" i="15"/>
  <c r="AN313" i="15"/>
  <c r="AM313" i="15"/>
  <c r="AL313" i="15"/>
  <c r="AK313" i="15"/>
  <c r="AV313" i="15" s="1"/>
  <c r="BA312" i="15"/>
  <c r="AT312" i="15"/>
  <c r="BF312" i="15" s="1"/>
  <c r="AQ312" i="15"/>
  <c r="AP312" i="15"/>
  <c r="AN312" i="15"/>
  <c r="AM312" i="15"/>
  <c r="AL312" i="15"/>
  <c r="AK312" i="15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V307" i="15"/>
  <c r="AQ307" i="15"/>
  <c r="AP307" i="15"/>
  <c r="AN307" i="15"/>
  <c r="AM307" i="15"/>
  <c r="AL307" i="15"/>
  <c r="AK307" i="15"/>
  <c r="AH307" i="15"/>
  <c r="AG307" i="15"/>
  <c r="AF307" i="15"/>
  <c r="AE307" i="15"/>
  <c r="BF306" i="15"/>
  <c r="BC306" i="15"/>
  <c r="BA306" i="15"/>
  <c r="AV306" i="15"/>
  <c r="AU306" i="15"/>
  <c r="AQ306" i="15"/>
  <c r="AP306" i="15"/>
  <c r="AN306" i="15"/>
  <c r="AM306" i="15"/>
  <c r="AL306" i="15"/>
  <c r="AK306" i="15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V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V300" i="15"/>
  <c r="AQ300" i="15"/>
  <c r="AP300" i="15"/>
  <c r="AN300" i="15"/>
  <c r="AM300" i="15"/>
  <c r="AL300" i="15"/>
  <c r="AK300" i="15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C261" i="15"/>
  <c r="BF261" i="15" s="1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U252" i="15" s="1"/>
  <c r="AH252" i="15"/>
  <c r="AG252" i="15"/>
  <c r="AF252" i="15"/>
  <c r="AE252" i="15"/>
  <c r="CR251" i="15"/>
  <c r="CQ251" i="15"/>
  <c r="CI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Q249" i="15"/>
  <c r="CK249" i="15"/>
  <c r="BA249" i="15"/>
  <c r="AY249" i="15"/>
  <c r="AV249" i="15"/>
  <c r="AU249" i="15"/>
  <c r="BB249" i="15" s="1"/>
  <c r="AQ249" i="15"/>
  <c r="AP249" i="15"/>
  <c r="AN249" i="15"/>
  <c r="AM249" i="15"/>
  <c r="AL249" i="15"/>
  <c r="AK249" i="15"/>
  <c r="AH249" i="15"/>
  <c r="AG249" i="15"/>
  <c r="AF249" i="15"/>
  <c r="AE249" i="15"/>
  <c r="CQ248" i="15"/>
  <c r="CO248" i="15"/>
  <c r="CO249" i="15" s="1"/>
  <c r="CL248" i="15"/>
  <c r="CL249" i="15" s="1"/>
  <c r="CK248" i="15"/>
  <c r="CI248" i="15"/>
  <c r="CI249" i="15" s="1"/>
  <c r="BA248" i="15"/>
  <c r="AY248" i="15"/>
  <c r="AV248" i="15"/>
  <c r="AQ248" i="15"/>
  <c r="AP248" i="15"/>
  <c r="AN248" i="15"/>
  <c r="AM248" i="15"/>
  <c r="AL248" i="15"/>
  <c r="AK248" i="15"/>
  <c r="AH248" i="15"/>
  <c r="AG248" i="15"/>
  <c r="AF248" i="15"/>
  <c r="AE248" i="15"/>
  <c r="CX247" i="15"/>
  <c r="CW247" i="15"/>
  <c r="CU247" i="15"/>
  <c r="CR247" i="15"/>
  <c r="CL247" i="15"/>
  <c r="BA247" i="15"/>
  <c r="AY247" i="15"/>
  <c r="AQ247" i="15"/>
  <c r="AP247" i="15"/>
  <c r="AN247" i="15"/>
  <c r="AM247" i="15"/>
  <c r="AL247" i="15"/>
  <c r="AK247" i="15"/>
  <c r="AH247" i="15"/>
  <c r="AG247" i="15"/>
  <c r="AF247" i="15"/>
  <c r="AE247" i="15"/>
  <c r="CX246" i="15"/>
  <c r="CW246" i="15"/>
  <c r="CU246" i="15"/>
  <c r="CR246" i="15"/>
  <c r="CQ246" i="15"/>
  <c r="CO246" i="15"/>
  <c r="CL246" i="15"/>
  <c r="BA246" i="15"/>
  <c r="AY246" i="15"/>
  <c r="AV246" i="15"/>
  <c r="AU246" i="15" s="1"/>
  <c r="BB246" i="15" s="1"/>
  <c r="AQ246" i="15"/>
  <c r="AP246" i="15"/>
  <c r="AN246" i="15"/>
  <c r="AM246" i="15"/>
  <c r="AL246" i="15"/>
  <c r="AK246" i="15"/>
  <c r="AH246" i="15"/>
  <c r="AG246" i="15"/>
  <c r="AF246" i="15"/>
  <c r="AE246" i="15"/>
  <c r="CX245" i="15"/>
  <c r="CW245" i="15"/>
  <c r="CU245" i="15"/>
  <c r="CR245" i="15"/>
  <c r="CO245" i="15"/>
  <c r="CL245" i="15"/>
  <c r="BA245" i="15"/>
  <c r="AY245" i="15"/>
  <c r="AQ245" i="15"/>
  <c r="AP245" i="15"/>
  <c r="AN245" i="15"/>
  <c r="AM245" i="15"/>
  <c r="AL245" i="15"/>
  <c r="AK245" i="15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K244" i="15"/>
  <c r="CK245" i="15" s="1"/>
  <c r="CK246" i="15" s="1"/>
  <c r="CK247" i="15" s="1"/>
  <c r="CI244" i="15"/>
  <c r="CI245" i="15" s="1"/>
  <c r="CI246" i="15" s="1"/>
  <c r="CI247" i="15" s="1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Q243" i="15"/>
  <c r="BA243" i="15"/>
  <c r="AY243" i="15"/>
  <c r="AQ243" i="15"/>
  <c r="AP243" i="15"/>
  <c r="AN243" i="15"/>
  <c r="AM243" i="15"/>
  <c r="AL243" i="15"/>
  <c r="AK243" i="15"/>
  <c r="AH243" i="15"/>
  <c r="AG243" i="15"/>
  <c r="AF243" i="15"/>
  <c r="AE243" i="15"/>
  <c r="CW242" i="15"/>
  <c r="CQ242" i="15"/>
  <c r="CO242" i="15"/>
  <c r="BA242" i="15"/>
  <c r="AY242" i="15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3" i="15" s="1"/>
  <c r="CU241" i="15"/>
  <c r="CU242" i="15" s="1"/>
  <c r="CQ241" i="15"/>
  <c r="CO241" i="15"/>
  <c r="CO243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U240" i="15"/>
  <c r="CQ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W240" i="15" s="1"/>
  <c r="CU239" i="15"/>
  <c r="CQ239" i="15"/>
  <c r="CO239" i="15"/>
  <c r="CO240" i="15" s="1"/>
  <c r="CI239" i="15"/>
  <c r="BA239" i="15"/>
  <c r="AY239" i="15"/>
  <c r="AV239" i="15"/>
  <c r="AQ239" i="15"/>
  <c r="AP239" i="15"/>
  <c r="AN239" i="15"/>
  <c r="AM239" i="15"/>
  <c r="AL239" i="15"/>
  <c r="AK239" i="15"/>
  <c r="AH239" i="15"/>
  <c r="AG239" i="15"/>
  <c r="AF239" i="15"/>
  <c r="AE239" i="15"/>
  <c r="CW238" i="15"/>
  <c r="CU238" i="15"/>
  <c r="CQ238" i="15"/>
  <c r="CO238" i="15"/>
  <c r="CO236" i="15" s="1"/>
  <c r="CK238" i="15"/>
  <c r="CK242" i="15" s="1"/>
  <c r="CI238" i="15"/>
  <c r="CI242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U237" i="15"/>
  <c r="CQ237" i="15"/>
  <c r="CI237" i="15"/>
  <c r="CI236" i="15" s="1"/>
  <c r="BA237" i="15"/>
  <c r="AY237" i="15"/>
  <c r="AQ237" i="15"/>
  <c r="AP237" i="15"/>
  <c r="AN237" i="15"/>
  <c r="AM237" i="15"/>
  <c r="AL237" i="15"/>
  <c r="AK237" i="15"/>
  <c r="AV237" i="15" s="1"/>
  <c r="AU237" i="15" s="1"/>
  <c r="BB237" i="15" s="1"/>
  <c r="AH237" i="15"/>
  <c r="AG237" i="15"/>
  <c r="AF237" i="15"/>
  <c r="AE237" i="15"/>
  <c r="CW236" i="15"/>
  <c r="CU236" i="15"/>
  <c r="CQ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C232" i="15"/>
  <c r="BF232" i="15" s="1"/>
  <c r="BA232" i="15"/>
  <c r="AY232" i="15"/>
  <c r="AQ232" i="15"/>
  <c r="AP232" i="15"/>
  <c r="AN232" i="15"/>
  <c r="AM232" i="15"/>
  <c r="AL232" i="15"/>
  <c r="AK232" i="15"/>
  <c r="AV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U228" i="15" s="1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V222" i="15" s="1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F210" i="15"/>
  <c r="BE210" i="15"/>
  <c r="BD210" i="15"/>
  <c r="BB210" i="15"/>
  <c r="AZ210" i="15"/>
  <c r="AY210" i="15"/>
  <c r="AS210" i="15"/>
  <c r="AR210" i="15"/>
  <c r="AO210" i="15"/>
  <c r="AN210" i="15"/>
  <c r="AM210" i="15"/>
  <c r="BC210" i="15" s="1"/>
  <c r="AL210" i="15"/>
  <c r="AK210" i="15"/>
  <c r="AT210" i="15" s="1"/>
  <c r="AH210" i="15"/>
  <c r="AG210" i="15"/>
  <c r="AF210" i="15"/>
  <c r="AE210" i="15"/>
  <c r="BE209" i="15"/>
  <c r="BD209" i="15"/>
  <c r="BC209" i="15"/>
  <c r="BB209" i="15"/>
  <c r="AZ209" i="15"/>
  <c r="AY209" i="15"/>
  <c r="AS209" i="15"/>
  <c r="AR209" i="15"/>
  <c r="AP209" i="15"/>
  <c r="AO209" i="15"/>
  <c r="AN209" i="15"/>
  <c r="AM209" i="15"/>
  <c r="AL209" i="15"/>
  <c r="AK209" i="15"/>
  <c r="AT209" i="15" s="1"/>
  <c r="BF209" i="15" s="1"/>
  <c r="AH209" i="15"/>
  <c r="AG209" i="15"/>
  <c r="AF209" i="15"/>
  <c r="AE209" i="15"/>
  <c r="BE208" i="15"/>
  <c r="BD208" i="15"/>
  <c r="BC208" i="15"/>
  <c r="AZ208" i="15"/>
  <c r="AT208" i="15"/>
  <c r="AR208" i="15"/>
  <c r="AO208" i="15"/>
  <c r="AN208" i="15"/>
  <c r="AM208" i="15"/>
  <c r="BB208" i="15" s="1"/>
  <c r="AL208" i="15"/>
  <c r="AK208" i="15"/>
  <c r="AH208" i="15"/>
  <c r="AG208" i="15"/>
  <c r="AF208" i="15"/>
  <c r="AE208" i="15"/>
  <c r="BE207" i="15"/>
  <c r="BC207" i="15"/>
  <c r="BB207" i="15"/>
  <c r="AZ207" i="15"/>
  <c r="AS207" i="15"/>
  <c r="AR207" i="15"/>
  <c r="AP207" i="15"/>
  <c r="AO207" i="15"/>
  <c r="AN207" i="15"/>
  <c r="AM207" i="15"/>
  <c r="AL207" i="15"/>
  <c r="AK207" i="15"/>
  <c r="AT207" i="15" s="1"/>
  <c r="BF207" i="15" s="1"/>
  <c r="AH207" i="15"/>
  <c r="AG207" i="15"/>
  <c r="AF207" i="15"/>
  <c r="AE207" i="15"/>
  <c r="BE206" i="15"/>
  <c r="BB206" i="15"/>
  <c r="AZ206" i="15"/>
  <c r="AY206" i="15"/>
  <c r="AY207" i="15" s="1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C205" i="15"/>
  <c r="BB205" i="15"/>
  <c r="AZ205" i="15"/>
  <c r="AS205" i="15"/>
  <c r="AR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AZ204" i="15"/>
  <c r="AS204" i="15"/>
  <c r="AR204" i="15"/>
  <c r="AO204" i="15"/>
  <c r="AN204" i="15"/>
  <c r="AM204" i="15"/>
  <c r="BC204" i="15" s="1"/>
  <c r="AL204" i="15"/>
  <c r="AK204" i="15"/>
  <c r="AQ204" i="15" s="1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BF203" i="15" s="1"/>
  <c r="AS203" i="15"/>
  <c r="AR203" i="15"/>
  <c r="AQ203" i="15"/>
  <c r="AO203" i="15"/>
  <c r="AN203" i="15"/>
  <c r="AM203" i="15"/>
  <c r="AL203" i="15"/>
  <c r="AP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BF202" i="15" s="1"/>
  <c r="AS202" i="15"/>
  <c r="AR202" i="15"/>
  <c r="AQ202" i="15"/>
  <c r="AO202" i="15"/>
  <c r="AN202" i="15"/>
  <c r="AM202" i="15"/>
  <c r="AL202" i="15"/>
  <c r="AP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AS201" i="15"/>
  <c r="AR201" i="15"/>
  <c r="AP201" i="15"/>
  <c r="AO201" i="15"/>
  <c r="AN201" i="15"/>
  <c r="AM201" i="15"/>
  <c r="AL201" i="15"/>
  <c r="AK201" i="15"/>
  <c r="AQ201" i="15" s="1"/>
  <c r="AI201" i="15"/>
  <c r="AH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P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E199" i="15"/>
  <c r="BD199" i="15"/>
  <c r="BC199" i="15"/>
  <c r="BB199" i="15"/>
  <c r="BF199" i="15" s="1"/>
  <c r="AY199" i="15"/>
  <c r="AT199" i="15"/>
  <c r="AS199" i="15"/>
  <c r="AR199" i="15"/>
  <c r="AO199" i="15"/>
  <c r="AN199" i="15"/>
  <c r="AQ199" i="15" s="1"/>
  <c r="AM199" i="15"/>
  <c r="AL199" i="15"/>
  <c r="AP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AY198" i="15"/>
  <c r="AT198" i="15"/>
  <c r="BF198" i="15" s="1"/>
  <c r="AS198" i="15"/>
  <c r="AR198" i="15"/>
  <c r="AO198" i="15"/>
  <c r="AN198" i="15"/>
  <c r="AM198" i="15"/>
  <c r="AP198" i="15" s="1"/>
  <c r="AL198" i="15"/>
  <c r="AQ198" i="15" s="1"/>
  <c r="AK198" i="15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O197" i="15"/>
  <c r="AN197" i="15"/>
  <c r="AM197" i="15"/>
  <c r="AP197" i="15" s="1"/>
  <c r="AL197" i="15"/>
  <c r="AQ197" i="15" s="1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BF196" i="15" s="1"/>
  <c r="AS196" i="15"/>
  <c r="AR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F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Q194" i="15" s="1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Q193" i="15"/>
  <c r="AO193" i="15"/>
  <c r="AN193" i="15"/>
  <c r="AM193" i="15"/>
  <c r="AL193" i="15"/>
  <c r="AP193" i="15" s="1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P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F184" i="15"/>
  <c r="BC184" i="15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U181" i="15"/>
  <c r="AQ181" i="15"/>
  <c r="AP181" i="15"/>
  <c r="AO181" i="15"/>
  <c r="AN181" i="15"/>
  <c r="AM181" i="15"/>
  <c r="AL181" i="15"/>
  <c r="AK181" i="15"/>
  <c r="AV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V172" i="15"/>
  <c r="AQ172" i="15"/>
  <c r="AP172" i="15"/>
  <c r="AN172" i="15"/>
  <c r="AM172" i="15"/>
  <c r="AL172" i="15"/>
  <c r="AK172" i="15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U154" i="15" s="1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U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V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BF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BF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P133" i="15" s="1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P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Y130" i="15"/>
  <c r="AV130" i="15"/>
  <c r="AQ130" i="15"/>
  <c r="AP130" i="15"/>
  <c r="AN130" i="15"/>
  <c r="AM130" i="15"/>
  <c r="AL130" i="15"/>
  <c r="AK130" i="15"/>
  <c r="AH130" i="15"/>
  <c r="AG130" i="15"/>
  <c r="AF130" i="15"/>
  <c r="AE130" i="15"/>
  <c r="CW129" i="15"/>
  <c r="CQ129" i="15"/>
  <c r="CK129" i="15"/>
  <c r="BA129" i="15"/>
  <c r="AY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Y128" i="15"/>
  <c r="AV128" i="15"/>
  <c r="BB128" i="15" s="1"/>
  <c r="BC128" i="15" s="1"/>
  <c r="AQ128" i="15"/>
  <c r="AP128" i="15"/>
  <c r="AN128" i="15"/>
  <c r="AM128" i="15"/>
  <c r="AL128" i="15"/>
  <c r="AK128" i="15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V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V116" i="15"/>
  <c r="AQ116" i="15"/>
  <c r="AP116" i="15"/>
  <c r="AN116" i="15"/>
  <c r="AM116" i="15"/>
  <c r="AL116" i="15"/>
  <c r="AK116" i="15"/>
  <c r="AH116" i="15"/>
  <c r="AG116" i="15"/>
  <c r="AF116" i="15"/>
  <c r="AE116" i="15"/>
  <c r="BF115" i="15"/>
  <c r="BC115" i="15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AZ107" i="15"/>
  <c r="AT107" i="15"/>
  <c r="AR107" i="15"/>
  <c r="AO107" i="15"/>
  <c r="AN107" i="15"/>
  <c r="AM107" i="15"/>
  <c r="BC107" i="15" s="1"/>
  <c r="AL107" i="15"/>
  <c r="AS107" i="15" s="1"/>
  <c r="AK107" i="15"/>
  <c r="AP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BB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BF104" i="15" s="1"/>
  <c r="CW103" i="15"/>
  <c r="BE103" i="15"/>
  <c r="BD103" i="15"/>
  <c r="AZ103" i="15"/>
  <c r="AT103" i="15"/>
  <c r="AR103" i="15"/>
  <c r="AO103" i="15"/>
  <c r="AN103" i="15"/>
  <c r="AM103" i="15"/>
  <c r="BC103" i="15" s="1"/>
  <c r="AL103" i="15"/>
  <c r="AS103" i="15" s="1"/>
  <c r="AK103" i="15"/>
  <c r="AP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B100" i="15"/>
  <c r="AZ100" i="15"/>
  <c r="AR100" i="15"/>
  <c r="AO100" i="15"/>
  <c r="AN100" i="15"/>
  <c r="AM100" i="15"/>
  <c r="BC100" i="15" s="1"/>
  <c r="AL100" i="15"/>
  <c r="AK100" i="15"/>
  <c r="AT100" i="15" s="1"/>
  <c r="BF100" i="15" s="1"/>
  <c r="BE99" i="15"/>
  <c r="BD99" i="15"/>
  <c r="BB99" i="15"/>
  <c r="AZ99" i="15"/>
  <c r="AT99" i="15"/>
  <c r="AS99" i="15"/>
  <c r="AR99" i="15"/>
  <c r="AO99" i="15"/>
  <c r="AN99" i="15"/>
  <c r="AM99" i="15"/>
  <c r="BC99" i="15" s="1"/>
  <c r="BF99" i="15" s="1"/>
  <c r="AL99" i="15"/>
  <c r="AK99" i="15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BC97" i="15"/>
  <c r="AZ97" i="15"/>
  <c r="AS97" i="15"/>
  <c r="AR97" i="15"/>
  <c r="AO97" i="15"/>
  <c r="AN97" i="15"/>
  <c r="AM97" i="15"/>
  <c r="BB97" i="15" s="1"/>
  <c r="AL97" i="15"/>
  <c r="AP97" i="15" s="1"/>
  <c r="AK97" i="15"/>
  <c r="AT97" i="15" s="1"/>
  <c r="BF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B95" i="15"/>
  <c r="AZ95" i="15"/>
  <c r="AS95" i="15"/>
  <c r="AR95" i="15"/>
  <c r="AO95" i="15"/>
  <c r="AN95" i="15"/>
  <c r="AP95" i="15" s="1"/>
  <c r="AM95" i="15"/>
  <c r="BC95" i="15" s="1"/>
  <c r="BF95" i="15" s="1"/>
  <c r="AL95" i="15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AZ93" i="15"/>
  <c r="AT93" i="15"/>
  <c r="AS93" i="15"/>
  <c r="AR93" i="15"/>
  <c r="AO93" i="15"/>
  <c r="AN93" i="15"/>
  <c r="AM93" i="15"/>
  <c r="BC93" i="15" s="1"/>
  <c r="AL93" i="15"/>
  <c r="AK93" i="15"/>
  <c r="BE92" i="15"/>
  <c r="BC92" i="15"/>
  <c r="AZ92" i="15"/>
  <c r="AR92" i="15"/>
  <c r="AO92" i="15"/>
  <c r="AN92" i="15"/>
  <c r="AM92" i="15"/>
  <c r="BB92" i="15" s="1"/>
  <c r="AL92" i="15"/>
  <c r="AS92" i="15" s="1"/>
  <c r="AK92" i="15"/>
  <c r="AT92" i="15" s="1"/>
  <c r="BF92" i="15" s="1"/>
  <c r="BE91" i="15"/>
  <c r="BB91" i="15"/>
  <c r="AZ91" i="15"/>
  <c r="AS91" i="15"/>
  <c r="AR91" i="15"/>
  <c r="AO91" i="15"/>
  <c r="AN91" i="15"/>
  <c r="AP91" i="15" s="1"/>
  <c r="AM91" i="15"/>
  <c r="BC91" i="15" s="1"/>
  <c r="AL91" i="15"/>
  <c r="AK91" i="15"/>
  <c r="AT91" i="15" s="1"/>
  <c r="BF91" i="15" s="1"/>
  <c r="BE90" i="15"/>
  <c r="BB90" i="15"/>
  <c r="AZ90" i="15"/>
  <c r="AT90" i="15"/>
  <c r="BF90" i="15" s="1"/>
  <c r="AR90" i="15"/>
  <c r="AO90" i="15"/>
  <c r="AN90" i="15"/>
  <c r="AP90" i="15" s="1"/>
  <c r="AM90" i="15"/>
  <c r="BC90" i="15" s="1"/>
  <c r="AL90" i="15"/>
  <c r="AS90" i="15" s="1"/>
  <c r="AK90" i="15"/>
  <c r="BE89" i="15"/>
  <c r="BC89" i="15"/>
  <c r="AZ89" i="15"/>
  <c r="AR89" i="15"/>
  <c r="AO89" i="15"/>
  <c r="AN89" i="15"/>
  <c r="AM89" i="15"/>
  <c r="BB89" i="15" s="1"/>
  <c r="AL89" i="15"/>
  <c r="AS89" i="15" s="1"/>
  <c r="AK89" i="15"/>
  <c r="AT89" i="15" s="1"/>
  <c r="BF89" i="15" s="1"/>
  <c r="BE88" i="15"/>
  <c r="BC88" i="15"/>
  <c r="AZ88" i="15"/>
  <c r="AS88" i="15"/>
  <c r="AR88" i="15"/>
  <c r="AO88" i="15"/>
  <c r="AN88" i="15"/>
  <c r="AM88" i="15"/>
  <c r="BB88" i="15" s="1"/>
  <c r="AL88" i="15"/>
  <c r="AK88" i="15"/>
  <c r="AP88" i="15" s="1"/>
  <c r="BE87" i="15"/>
  <c r="AZ87" i="15"/>
  <c r="AS87" i="15"/>
  <c r="AR87" i="15"/>
  <c r="AP87" i="15"/>
  <c r="AO87" i="15"/>
  <c r="AN87" i="15"/>
  <c r="AM87" i="15"/>
  <c r="BC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H80" i="15"/>
  <c r="AG80" i="15"/>
  <c r="AF80" i="15"/>
  <c r="AE80" i="15"/>
  <c r="BF79" i="15"/>
  <c r="BA79" i="15"/>
  <c r="AQ79" i="15"/>
  <c r="AP79" i="15"/>
  <c r="AN79" i="15"/>
  <c r="AM79" i="15"/>
  <c r="AL79" i="15"/>
  <c r="AK79" i="15"/>
  <c r="AH79" i="15"/>
  <c r="AG79" i="15"/>
  <c r="AF79" i="15"/>
  <c r="AE79" i="15"/>
  <c r="BF78" i="15"/>
  <c r="BA78" i="15"/>
  <c r="AQ78" i="15"/>
  <c r="AP78" i="15"/>
  <c r="AN78" i="15"/>
  <c r="AM78" i="15"/>
  <c r="AL78" i="15"/>
  <c r="AK78" i="15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H77" i="15"/>
  <c r="AG77" i="15"/>
  <c r="AF77" i="15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U74" i="15"/>
  <c r="AQ74" i="15"/>
  <c r="AP74" i="15"/>
  <c r="AN74" i="15"/>
  <c r="AM74" i="15"/>
  <c r="AL74" i="15"/>
  <c r="AK74" i="15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U72" i="15"/>
  <c r="AQ72" i="15"/>
  <c r="AP72" i="15"/>
  <c r="AN72" i="15"/>
  <c r="AM72" i="15"/>
  <c r="AL72" i="15"/>
  <c r="AK72" i="15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H52" i="15"/>
  <c r="AG52" i="15"/>
  <c r="AF52" i="15"/>
  <c r="AE52" i="15"/>
  <c r="CW51" i="15"/>
  <c r="CQ51" i="15"/>
  <c r="CK51" i="15"/>
  <c r="CI51" i="15"/>
  <c r="BC51" i="15"/>
  <c r="BA51" i="15"/>
  <c r="AV51" i="15"/>
  <c r="AQ51" i="15"/>
  <c r="AP51" i="15"/>
  <c r="AN51" i="15"/>
  <c r="AM51" i="15"/>
  <c r="AL51" i="15"/>
  <c r="AK51" i="15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Q48" i="15"/>
  <c r="AP48" i="15"/>
  <c r="AN48" i="15"/>
  <c r="AM48" i="15"/>
  <c r="AL48" i="15"/>
  <c r="AK48" i="15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U42" i="15"/>
  <c r="AQ42" i="15"/>
  <c r="AP42" i="15"/>
  <c r="AN42" i="15"/>
  <c r="AM42" i="15"/>
  <c r="AL42" i="15"/>
  <c r="AK42" i="15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BF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BF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BF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BF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BF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V15" i="15" s="1"/>
  <c r="AH15" i="15"/>
  <c r="AG15" i="15"/>
  <c r="AF15" i="15"/>
  <c r="AE15" i="15"/>
  <c r="BE14" i="15"/>
  <c r="BC14" i="15"/>
  <c r="BB14" i="15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AT12" i="15"/>
  <c r="BF12" i="15" s="1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S11" i="15"/>
  <c r="AQ11" i="15"/>
  <c r="AP11" i="15"/>
  <c r="AN11" i="15"/>
  <c r="AM11" i="15"/>
  <c r="AL11" i="15"/>
  <c r="AK11" i="15"/>
  <c r="AV11" i="15" s="1"/>
  <c r="AH11" i="15"/>
  <c r="AG11" i="15"/>
  <c r="AF11" i="15"/>
  <c r="AE11" i="15"/>
  <c r="BE10" i="15"/>
  <c r="BC10" i="15"/>
  <c r="BB10" i="15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AV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AT8" i="15"/>
  <c r="BF8" i="15" s="1"/>
  <c r="AS8" i="15"/>
  <c r="AQ8" i="15"/>
  <c r="AP8" i="15"/>
  <c r="AN8" i="15"/>
  <c r="AM8" i="15"/>
  <c r="AL8" i="15"/>
  <c r="AK8" i="15"/>
  <c r="AH8" i="15"/>
  <c r="AG8" i="15"/>
  <c r="AF8" i="15"/>
  <c r="AE8" i="15"/>
  <c r="BE7" i="15"/>
  <c r="BB7" i="15"/>
  <c r="BC7" i="15" s="1"/>
  <c r="AT7" i="15"/>
  <c r="AU7" i="15" s="1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BE6" i="15"/>
  <c r="BC6" i="15"/>
  <c r="BB6" i="15"/>
  <c r="BF6" i="15" s="1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AU272" i="15" l="1"/>
  <c r="AU11" i="15"/>
  <c r="AU172" i="15"/>
  <c r="AU232" i="15"/>
  <c r="AU267" i="15"/>
  <c r="AU307" i="15"/>
  <c r="AU128" i="15"/>
  <c r="AU130" i="15"/>
  <c r="AU239" i="15"/>
  <c r="BB239" i="15" s="1"/>
  <c r="AU241" i="15"/>
  <c r="BB241" i="15" s="1"/>
  <c r="AU270" i="15"/>
  <c r="AU303" i="15"/>
  <c r="AU332" i="15"/>
  <c r="AQ354" i="15"/>
  <c r="BF128" i="15"/>
  <c r="AU223" i="15"/>
  <c r="AU248" i="15"/>
  <c r="BB248" i="15" s="1"/>
  <c r="BC248" i="15" s="1"/>
  <c r="AU15" i="15"/>
  <c r="AU52" i="15"/>
  <c r="AU115" i="15"/>
  <c r="AV146" i="15"/>
  <c r="AU149" i="15"/>
  <c r="AU152" i="15"/>
  <c r="AV154" i="15"/>
  <c r="AU231" i="15"/>
  <c r="AU238" i="15"/>
  <c r="BB238" i="15" s="1"/>
  <c r="AU268" i="15"/>
  <c r="AU323" i="15"/>
  <c r="BB323" i="15" s="1"/>
  <c r="BC323" i="15" s="1"/>
  <c r="AU347" i="15"/>
  <c r="AU51" i="15"/>
  <c r="AU118" i="15"/>
  <c r="AV153" i="15"/>
  <c r="AU155" i="15"/>
  <c r="AU211" i="15"/>
  <c r="AU271" i="15"/>
  <c r="AV298" i="15"/>
  <c r="AU298" i="15" s="1"/>
  <c r="AU322" i="15"/>
  <c r="AV13" i="15"/>
  <c r="AU13" i="15" s="1"/>
  <c r="AV242" i="15"/>
  <c r="AU242" i="15" s="1"/>
  <c r="BB242" i="15" s="1"/>
  <c r="BC242" i="15" s="1"/>
  <c r="BF242" i="15" s="1"/>
  <c r="AV247" i="15"/>
  <c r="AU247" i="15" s="1"/>
  <c r="BB247" i="15" s="1"/>
  <c r="AU250" i="15"/>
  <c r="BB250" i="15" s="1"/>
  <c r="AU266" i="15"/>
  <c r="AV272" i="15"/>
  <c r="BC237" i="15"/>
  <c r="BF237" i="15" s="1"/>
  <c r="BF16" i="15"/>
  <c r="BF20" i="15"/>
  <c r="BF24" i="15"/>
  <c r="BF28" i="15"/>
  <c r="BF98" i="15"/>
  <c r="BF19" i="15"/>
  <c r="BF23" i="15"/>
  <c r="BF27" i="15"/>
  <c r="BF105" i="15"/>
  <c r="AU10" i="15"/>
  <c r="BF9" i="15"/>
  <c r="AT88" i="15"/>
  <c r="BF88" i="15" s="1"/>
  <c r="AT96" i="15"/>
  <c r="BF96" i="15" s="1"/>
  <c r="BF103" i="15"/>
  <c r="BF107" i="15"/>
  <c r="AV151" i="15"/>
  <c r="AU151" i="15"/>
  <c r="AU6" i="15"/>
  <c r="AU8" i="15"/>
  <c r="AP92" i="15"/>
  <c r="AP98" i="15"/>
  <c r="AP100" i="15"/>
  <c r="AV129" i="15"/>
  <c r="BB129" i="15" s="1"/>
  <c r="AU129" i="15"/>
  <c r="AV173" i="15"/>
  <c r="AU173" i="15"/>
  <c r="BF205" i="15"/>
  <c r="AS208" i="15"/>
  <c r="AQ208" i="15"/>
  <c r="AP208" i="15"/>
  <c r="BB322" i="15"/>
  <c r="BC322" i="15" s="1"/>
  <c r="BB326" i="15"/>
  <c r="BC326" i="15" s="1"/>
  <c r="AU331" i="15"/>
  <c r="AP89" i="15"/>
  <c r="AP93" i="15"/>
  <c r="BB93" i="15"/>
  <c r="BF93" i="15" s="1"/>
  <c r="AP94" i="15"/>
  <c r="AP101" i="15"/>
  <c r="BB103" i="15"/>
  <c r="AP105" i="15"/>
  <c r="BB107" i="15"/>
  <c r="AU116" i="15"/>
  <c r="AS135" i="15"/>
  <c r="AP135" i="15"/>
  <c r="AS206" i="15"/>
  <c r="AQ206" i="15"/>
  <c r="AP206" i="15"/>
  <c r="AQ210" i="15"/>
  <c r="BC249" i="15"/>
  <c r="BF249" i="15" s="1"/>
  <c r="AU273" i="15"/>
  <c r="AV8" i="15"/>
  <c r="AU9" i="15"/>
  <c r="AU36" i="15"/>
  <c r="AU49" i="15"/>
  <c r="AP99" i="15"/>
  <c r="AV349" i="15"/>
  <c r="AU349" i="15"/>
  <c r="AU14" i="15"/>
  <c r="BF13" i="15"/>
  <c r="AV12" i="15"/>
  <c r="AU12" i="15" s="1"/>
  <c r="BF7" i="15"/>
  <c r="BF11" i="15"/>
  <c r="BF15" i="15"/>
  <c r="BB87" i="15"/>
  <c r="BF87" i="15" s="1"/>
  <c r="BB102" i="15"/>
  <c r="BF102" i="15" s="1"/>
  <c r="AP104" i="15"/>
  <c r="BB106" i="15"/>
  <c r="BF106" i="15" s="1"/>
  <c r="AP108" i="15"/>
  <c r="BF201" i="15"/>
  <c r="BC238" i="15"/>
  <c r="BF238" i="15" s="1"/>
  <c r="AV328" i="15"/>
  <c r="AU328" i="15"/>
  <c r="BB328" i="15" s="1"/>
  <c r="BC328" i="15" s="1"/>
  <c r="AV243" i="15"/>
  <c r="AU243" i="15" s="1"/>
  <c r="BB243" i="15" s="1"/>
  <c r="BC250" i="15"/>
  <c r="BF250" i="15" s="1"/>
  <c r="AV302" i="15"/>
  <c r="AU302" i="15" s="1"/>
  <c r="AV359" i="15"/>
  <c r="AU359" i="15"/>
  <c r="BB94" i="15"/>
  <c r="BF94" i="15" s="1"/>
  <c r="BB98" i="15"/>
  <c r="AS100" i="15"/>
  <c r="BB101" i="15"/>
  <c r="BF101" i="15" s="1"/>
  <c r="BB105" i="15"/>
  <c r="AU117" i="15"/>
  <c r="AS134" i="15"/>
  <c r="AP134" i="15"/>
  <c r="BF208" i="15"/>
  <c r="AV230" i="15"/>
  <c r="AU230" i="15" s="1"/>
  <c r="AV245" i="15"/>
  <c r="AU245" i="15"/>
  <c r="BB245" i="15" s="1"/>
  <c r="BC246" i="15"/>
  <c r="BF246" i="15" s="1"/>
  <c r="AU269" i="15"/>
  <c r="AQ196" i="15"/>
  <c r="AP196" i="15"/>
  <c r="BF206" i="15"/>
  <c r="BC241" i="15"/>
  <c r="BF241" i="15" s="1"/>
  <c r="AV346" i="15"/>
  <c r="AU346" i="15"/>
  <c r="AU170" i="15"/>
  <c r="AQ207" i="15"/>
  <c r="AQ209" i="15"/>
  <c r="AU229" i="15"/>
  <c r="AU240" i="15"/>
  <c r="BB240" i="15" s="1"/>
  <c r="CK240" i="15"/>
  <c r="CU243" i="15"/>
  <c r="AT204" i="15"/>
  <c r="BF204" i="15" s="1"/>
  <c r="AQ205" i="15"/>
  <c r="CK239" i="15"/>
  <c r="AU317" i="15"/>
  <c r="AU324" i="15"/>
  <c r="BB324" i="15" s="1"/>
  <c r="BC324" i="15" s="1"/>
  <c r="AU338" i="15"/>
  <c r="AU344" i="15"/>
  <c r="AU348" i="15"/>
  <c r="AU350" i="15"/>
  <c r="AU281" i="15"/>
  <c r="AU299" i="15"/>
  <c r="AU325" i="15"/>
  <c r="BB325" i="15" s="1"/>
  <c r="BC325" i="15" s="1"/>
  <c r="AU339" i="15"/>
  <c r="AU343" i="15"/>
  <c r="BB204" i="15"/>
  <c r="CK237" i="15"/>
  <c r="AP136" i="15"/>
  <c r="AU150" i="15"/>
  <c r="AU174" i="15"/>
  <c r="AU175" i="15"/>
  <c r="AU176" i="15"/>
  <c r="AU177" i="15"/>
  <c r="AU178" i="15"/>
  <c r="AU179" i="15"/>
  <c r="AP195" i="15"/>
  <c r="AP210" i="15"/>
  <c r="AU236" i="15"/>
  <c r="BB236" i="15" s="1"/>
  <c r="CK236" i="15"/>
  <c r="CO237" i="15"/>
  <c r="CI243" i="15"/>
  <c r="AU244" i="15"/>
  <c r="BB244" i="15" s="1"/>
  <c r="AU251" i="15"/>
  <c r="BB251" i="15" s="1"/>
  <c r="AU360" i="15"/>
  <c r="AP194" i="15"/>
  <c r="AP204" i="15"/>
  <c r="CK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47" i="15" l="1"/>
  <c r="BF247" i="15"/>
  <c r="BC239" i="15"/>
  <c r="BF239" i="15"/>
  <c r="BF248" i="15"/>
  <c r="BC251" i="15"/>
  <c r="BF251" i="15" s="1"/>
  <c r="BC244" i="15"/>
  <c r="BF244" i="15" s="1"/>
  <c r="BC245" i="15"/>
  <c r="BF245" i="15" s="1"/>
  <c r="BC240" i="15"/>
  <c r="BF240" i="15" s="1"/>
  <c r="BC243" i="15"/>
  <c r="BF243" i="15" s="1"/>
  <c r="BC236" i="15"/>
  <c r="BF236" i="15" s="1"/>
  <c r="BC129" i="15"/>
  <c r="BF129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<sst xmlns="http://schemas.openxmlformats.org/spreadsheetml/2006/main" count="27415" uniqueCount="6371">
  <si>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</si>
  <si>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</si>
  <si>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</si>
  <si>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</si>
  <si>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</si>
  <si>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</si>
  <si>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</si>
  <si>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</si>
  <si>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</si>
  <si>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</si>
  <si>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</si>
  <si>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</si>
  <si>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</si>
  <si>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</si>
  <si>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</si>
  <si>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</si>
  <si>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</si>
  <si>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</si>
  <si>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</si>
  <si>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</si>
  <si>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</si>
  <si>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</si>
  <si>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</si>
  <si>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</si>
  <si>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</si>
  <si>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</si>
  <si>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</si>
  <si>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</si>
  <si>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</si>
  <si>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</si>
  <si>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</si>
  <si>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</si>
  <si>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</si>
  <si>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</si>
  <si>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</si>
  <si>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</si>
  <si>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</si>
  <si>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</si>
  <si>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</si>
  <si>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</si>
  <si>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</si>
  <si>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</si>
  <si>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</si>
  <si>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</si>
  <si>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</si>
  <si>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</si>
  <si>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</si>
  <si>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</si>
  <si>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</si>
  <si>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</si>
  <si>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</si>
  <si>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</si>
  <si>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</si>
  <si>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</si>
  <si>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</si>
  <si>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</si>
  <si>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</si>
  <si>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</si>
  <si>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</si>
  <si>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</si>
  <si>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</si>
  <si>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</si>
  <si>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</si>
  <si>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</si>
  <si>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</si>
  <si>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</si>
  <si>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</si>
  <si>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</si>
  <si>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</si>
  <si>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</si>
  <si>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</si>
  <si>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</si>
  <si>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</si>
  <si>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</si>
  <si>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</si>
  <si>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</si>
  <si>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</si>
  <si>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</si>
  <si>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</si>
  <si>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</si>
  <si>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</si>
  <si>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</si>
  <si>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</si>
  <si>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</si>
  <si>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</si>
  <si>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</si>
  <si>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</si>
  <si>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</si>
  <si>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</si>
  <si>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</si>
  <si>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</si>
  <si>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</si>
  <si>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</si>
  <si>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</si>
  <si>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</si>
  <si>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</si>
  <si>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</si>
  <si>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</si>
  <si>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</si>
  <si>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</si>
  <si>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</si>
  <si>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</si>
  <si>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</si>
  <si>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</si>
  <si>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</si>
  <si>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</si>
  <si>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</si>
  <si>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</si>
  <si>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</si>
  <si>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</si>
  <si>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</si>
  <si>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</si>
  <si>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</si>
  <si>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</si>
  <si>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</si>
  <si>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</si>
  <si>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</si>
  <si>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</si>
  <si>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</si>
  <si>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</si>
  <si>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</si>
  <si>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</si>
  <si>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</si>
  <si>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</si>
  <si>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</si>
  <si>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</si>
  <si>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</si>
  <si>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</si>
  <si>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</si>
  <si>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</si>
  <si>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</si>
  <si>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</si>
  <si>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</si>
  <si>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</si>
  <si>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</si>
  <si>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</si>
  <si>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</si>
  <si>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</si>
  <si>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</si>
  <si>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</si>
  <si>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</si>
  <si>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</si>
  <si>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</si>
  <si>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</si>
  <si>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</si>
  <si>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</si>
  <si>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</si>
  <si>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</si>
  <si>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</si>
  <si>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</si>
  <si>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</si>
  <si>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</si>
  <si>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</si>
  <si>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</si>
  <si>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</si>
  <si>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</si>
  <si>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</si>
  <si>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</si>
  <si>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</si>
  <si>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</si>
  <si>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</si>
  <si>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</si>
  <si>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</si>
  <si>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</si>
  <si>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</si>
  <si>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</si>
  <si>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</si>
  <si>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</si>
  <si>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</si>
  <si>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</si>
  <si>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</si>
  <si>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</si>
  <si>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</si>
  <si>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</si>
  <si>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</si>
  <si>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</si>
  <si>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</si>
  <si>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</si>
  <si>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</si>
  <si>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</si>
  <si>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</si>
  <si>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</si>
  <si>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</si>
  <si>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</si>
  <si>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</si>
  <si>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</si>
  <si>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</si>
  <si>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</si>
  <si>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</si>
  <si>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</si>
  <si>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</si>
  <si>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</si>
  <si>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</si>
  <si>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</si>
  <si>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</si>
  <si>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</si>
  <si>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</si>
  <si>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</si>
  <si>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</si>
  <si>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</si>
  <si>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</si>
  <si>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</si>
  <si>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</si>
  <si>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</si>
  <si>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</si>
  <si>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</si>
  <si>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</si>
  <si>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</si>
  <si>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</si>
  <si>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</si>
  <si>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</si>
  <si>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</si>
  <si>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</si>
  <si>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</si>
  <si>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</si>
  <si>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</si>
  <si>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</si>
  <si>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</si>
  <si>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</si>
  <si>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</si>
  <si>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</si>
  <si>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</si>
  <si>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</si>
  <si>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</si>
  <si>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</si>
  <si>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</si>
  <si>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</si>
  <si>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</si>
  <si>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</si>
  <si>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</si>
  <si>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</si>
  <si>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</si>
  <si>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</si>
  <si>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</si>
  <si>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</si>
  <si>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</si>
  <si>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</si>
  <si>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</si>
  <si>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</si>
  <si>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</si>
  <si>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</si>
  <si>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</si>
  <si>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</si>
  <si>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</si>
  <si>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</si>
  <si>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</si>
  <si>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</si>
  <si>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</si>
  <si>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</si>
  <si>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</si>
  <si>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</si>
  <si>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</si>
  <si>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</si>
  <si>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</si>
  <si>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</si>
  <si>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</si>
  <si>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</si>
  <si>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</si>
  <si>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</si>
  <si>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</si>
  <si>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</si>
  <si>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</si>
  <si>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</si>
  <si>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</si>
  <si>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</si>
  <si>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</si>
  <si>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</si>
  <si>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</si>
  <si>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</si>
  <si>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</si>
  <si>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</si>
  <si>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</si>
  <si>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</si>
  <si>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</si>
  <si>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</si>
  <si>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</si>
  <si>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</si>
  <si>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</si>
  <si>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</si>
  <si>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</si>
  <si>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</si>
  <si>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</si>
  <si>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</si>
  <si>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</si>
  <si>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</si>
  <si>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</si>
  <si>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</si>
  <si>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</si>
  <si>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</si>
  <si>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</si>
  <si>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</si>
  <si>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</si>
  <si>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</si>
  <si>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</si>
  <si>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</si>
  <si>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</si>
  <si>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</si>
  <si>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</si>
  <si>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</si>
  <si>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</si>
  <si>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</si>
  <si>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</si>
  <si>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</si>
  <si>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</si>
  <si>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</si>
  <si>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</si>
  <si>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</si>
  <si>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</si>
  <si>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</si>
  <si>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</si>
  <si>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</si>
  <si>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</si>
  <si>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</si>
  <si>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</si>
  <si>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</si>
  <si>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</si>
  <si>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</si>
  <si>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</si>
  <si>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</si>
  <si>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</si>
  <si>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</si>
  <si>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</si>
  <si>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</si>
  <si>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</si>
  <si>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</si>
  <si>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</si>
  <si>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</si>
  <si>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</si>
  <si>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</si>
  <si>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</si>
  <si>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</si>
  <si>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</si>
  <si>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</si>
  <si>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</si>
  <si>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</si>
  <si>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</si>
  <si>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</si>
  <si>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</si>
  <si>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</si>
  <si>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</si>
  <si>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</si>
  <si>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</si>
  <si>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</si>
  <si>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</si>
  <si>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</si>
  <si>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</si>
  <si>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</si>
  <si>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</si>
  <si>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</si>
  <si>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</si>
  <si>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</si>
  <si>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</si>
  <si>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</si>
  <si>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</si>
  <si>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</si>
  <si>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</si>
  <si>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</si>
  <si>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</si>
  <si>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</si>
  <si>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</si>
  <si>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</si>
  <si>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</si>
  <si>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</si>
  <si>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</si>
  <si>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</si>
  <si>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</si>
  <si>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</si>
  <si>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</si>
  <si>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</si>
  <si>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</si>
  <si>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</si>
  <si>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</si>
  <si>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</si>
  <si>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</si>
  <si>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</si>
  <si>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</si>
  <si>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</si>
  <si>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</si>
  <si>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</si>
  <si>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</si>
  <si>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</si>
  <si>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</si>
  <si>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</si>
  <si>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</si>
  <si>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</si>
  <si>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</si>
  <si>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</si>
  <si>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</si>
  <si>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</si>
  <si>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</si>
  <si>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</si>
  <si>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</si>
  <si>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</si>
  <si>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</si>
  <si>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</si>
  <si>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</si>
  <si>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</si>
  <si>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</si>
  <si>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</si>
  <si>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</si>
  <si>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</si>
  <si>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</si>
  <si>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</si>
  <si>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</si>
  <si>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</si>
  <si>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</si>
  <si>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</si>
  <si>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</si>
  <si>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</si>
  <si>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</si>
  <si>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</si>
  <si>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</si>
  <si>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</si>
  <si>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</si>
  <si>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</si>
  <si>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</si>
  <si>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</si>
  <si>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</si>
  <si>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</si>
  <si>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</si>
  <si>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</si>
  <si>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</si>
  <si>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</si>
  <si>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</si>
  <si>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</si>
  <si>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</si>
  <si>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</si>
  <si>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</si>
  <si>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</si>
  <si>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</si>
  <si>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</si>
  <si>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</si>
  <si>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</si>
  <si>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</si>
  <si>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</si>
  <si>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</si>
  <si>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</si>
  <si>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</si>
  <si>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</si>
  <si>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</si>
  <si>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</si>
  <si>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</si>
  <si>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</si>
  <si>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</si>
  <si>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</si>
  <si>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</si>
  <si>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</si>
  <si>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</si>
  <si>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</si>
  <si>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</si>
  <si>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</si>
  <si>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</si>
  <si>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</si>
  <si>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</si>
  <si>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</si>
  <si>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</si>
  <si>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</si>
  <si>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</si>
  <si>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</si>
  <si>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</si>
  <si>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</si>
  <si>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</si>
  <si>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</si>
  <si>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</si>
  <si>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</si>
  <si>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</si>
  <si>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</si>
  <si>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</si>
  <si>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</si>
  <si>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</si>
  <si>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</si>
  <si>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</si>
  <si>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</si>
  <si>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</si>
  <si>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</si>
  <si>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</si>
  <si>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</si>
  <si>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</si>
  <si>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</si>
  <si>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</si>
  <si>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</si>
  <si>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</si>
  <si>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</si>
  <si>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</si>
  <si>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</si>
  <si>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</si>
  <si>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</si>
  <si>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</si>
  <si>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</si>
  <si>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</si>
  <si>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</si>
  <si>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</si>
  <si>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</si>
  <si>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</si>
  <si>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</si>
  <si>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</si>
  <si>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</si>
  <si>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</si>
  <si>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</si>
  <si>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</si>
  <si>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</si>
  <si>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</si>
  <si>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</si>
  <si>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</si>
  <si>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</si>
  <si>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</si>
  <si>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</si>
  <si>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</si>
  <si>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</si>
  <si>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</si>
  <si>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</si>
  <si>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</si>
  <si>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</si>
  <si>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</si>
  <si>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</si>
  <si>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</si>
  <si>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</si>
  <si>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</si>
  <si>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</si>
  <si>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</si>
  <si>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</si>
  <si>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</si>
  <si>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</si>
  <si>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</si>
  <si>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</si>
  <si>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</si>
  <si>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</si>
  <si>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</si>
  <si>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</si>
  <si>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</si>
  <si>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</si>
  <si>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</si>
  <si>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</si>
  <si>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</si>
  <si>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</si>
  <si>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</si>
  <si>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</si>
  <si>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</si>
  <si>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</si>
  <si>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</si>
  <si>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</si>
  <si>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</si>
  <si>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</si>
  <si>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</si>
  <si>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</si>
  <si>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</si>
  <si>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</si>
  <si>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</si>
  <si>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</si>
  <si>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</si>
  <si>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</si>
  <si>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</si>
  <si>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</si>
  <si>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</si>
  <si>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</si>
  <si>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</si>
  <si>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</si>
  <si>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</si>
  <si>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</si>
  <si>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</si>
  <si>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</si>
  <si>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</si>
  <si>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</si>
  <si>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</si>
  <si>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</si>
  <si>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</si>
  <si>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</si>
  <si>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</si>
  <si>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</si>
  <si>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</si>
  <si>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</si>
  <si>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</si>
  <si>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</si>
  <si>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</si>
  <si>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</si>
  <si>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</si>
  <si>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</si>
  <si>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</si>
  <si>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</si>
  <si>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</si>
  <si>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</si>
  <si>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</si>
  <si>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</si>
  <si>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</si>
  <si>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</si>
  <si>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</si>
  <si>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</si>
  <si>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</si>
  <si>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</si>
  <si>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</si>
  <si>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</si>
  <si>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</si>
  <si>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</si>
  <si>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</si>
  <si>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</si>
  <si>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</si>
  <si>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</si>
  <si>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</si>
  <si>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</si>
  <si>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</si>
  <si>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</si>
  <si>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</si>
  <si>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</si>
  <si>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</si>
  <si>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</si>
  <si>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</si>
  <si>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</si>
  <si>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</si>
  <si>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</si>
  <si>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</si>
  <si>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</si>
  <si>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</si>
  <si>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</si>
  <si>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</si>
  <si>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</si>
  <si>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</si>
  <si>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</si>
  <si>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</si>
  <si>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</si>
  <si>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</si>
  <si>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</si>
  <si>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</si>
  <si>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</si>
  <si>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</si>
  <si>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</si>
  <si>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</si>
  <si>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</si>
  <si>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</si>
  <si>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</si>
  <si>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</si>
  <si>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</si>
  <si>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</si>
  <si>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</si>
  <si>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</si>
  <si>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</si>
  <si>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</si>
  <si>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</si>
  <si>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</si>
  <si>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</si>
  <si>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</si>
  <si>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</si>
  <si>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</si>
  <si>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</si>
  <si>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</si>
  <si>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</si>
  <si>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</si>
  <si>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</si>
  <si>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</si>
  <si>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</si>
  <si>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</si>
  <si>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</si>
  <si>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</si>
  <si>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</si>
  <si>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</si>
  <si>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</si>
  <si>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</si>
  <si>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</si>
  <si>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</si>
  <si>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</si>
  <si>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</si>
  <si>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</si>
  <si>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</si>
  <si>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</si>
  <si>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</si>
  <si>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</si>
  <si>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</si>
  <si>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</si>
  <si>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</si>
  <si>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</si>
  <si>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</si>
  <si>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</si>
  <si>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</si>
  <si>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</si>
  <si>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</si>
  <si>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</si>
  <si>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</si>
  <si>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</si>
  <si>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</si>
  <si>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</si>
  <si>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</si>
  <si>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</si>
  <si>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</si>
  <si>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</si>
  <si>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</si>
  <si>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</si>
  <si>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</si>
  <si>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</si>
  <si>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</si>
  <si>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</si>
  <si>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</si>
  <si>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</si>
  <si>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</si>
  <si>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</si>
  <si>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</si>
  <si>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</si>
  <si>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</si>
  <si>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</si>
  <si>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</si>
  <si>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</si>
  <si>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</si>
  <si>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</si>
  <si>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</si>
  <si>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</si>
  <si>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</si>
  <si>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</si>
  <si>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</si>
  <si>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</si>
  <si>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</si>
  <si>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</si>
  <si>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</si>
  <si>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</si>
  <si>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</si>
  <si>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</si>
  <si>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</si>
  <si>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</si>
  <si>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</si>
  <si>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</si>
  <si>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</si>
  <si>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</si>
  <si>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</si>
  <si>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</si>
  <si>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</si>
  <si>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</si>
  <si>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</si>
  <si>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</si>
  <si>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</si>
  <si>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</si>
  <si>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</si>
  <si>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</si>
  <si>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</si>
  <si>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</si>
  <si>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</si>
  <si>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</si>
  <si>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</si>
  <si>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</si>
  <si>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</si>
  <si>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</si>
  <si>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</si>
  <si>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</si>
  <si>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</si>
  <si>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</si>
  <si>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</si>
  <si>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</si>
  <si>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</si>
  <si>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</si>
  <si>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</si>
  <si>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</si>
  <si>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</si>
  <si>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</si>
  <si>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</si>
  <si>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</si>
  <si>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</si>
  <si>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</si>
  <si>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</si>
  <si>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</si>
  <si>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</si>
  <si>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</si>
  <si>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</si>
  <si>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</si>
  <si>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</si>
  <si>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</si>
  <si>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</si>
  <si>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</si>
  <si>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</si>
  <si>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</si>
  <si>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</si>
  <si>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</si>
  <si>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</si>
  <si>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</si>
  <si>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</si>
  <si>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</si>
  <si>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</si>
  <si>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</si>
  <si>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</si>
  <si>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</si>
  <si>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</si>
  <si>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</si>
  <si>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</si>
  <si>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</si>
  <si>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</si>
  <si>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</si>
  <si>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</si>
  <si>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</si>
  <si>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</si>
  <si>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</si>
  <si>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</si>
  <si>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</si>
  <si>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</si>
  <si>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</si>
  <si>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</si>
  <si>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</si>
  <si>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</si>
  <si>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</si>
  <si>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</si>
  <si>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</si>
  <si>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</si>
  <si>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</si>
  <si>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</si>
  <si>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</si>
  <si>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</si>
  <si>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</si>
  <si>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</si>
  <si>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</si>
  <si>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</si>
  <si>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</si>
  <si>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</si>
  <si>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</si>
  <si>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</si>
  <si>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</si>
  <si>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</si>
  <si>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</si>
  <si>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</si>
  <si>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</si>
  <si>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</si>
  <si>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</si>
  <si>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</si>
  <si>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</si>
  <si>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</si>
  <si>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</si>
  <si>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</si>
  <si>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</si>
  <si>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</si>
  <si>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</si>
  <si>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</si>
  <si>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</si>
  <si>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</si>
  <si>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</si>
  <si>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</si>
  <si>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</si>
  <si>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</si>
  <si>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</si>
  <si>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</si>
  <si>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</si>
  <si>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</si>
  <si>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</si>
  <si>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</si>
  <si>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</si>
  <si>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</si>
  <si>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</si>
  <si>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</si>
  <si>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</si>
  <si>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</si>
  <si>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</si>
  <si>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</si>
  <si>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</si>
  <si>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</si>
  <si>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</si>
  <si>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</si>
  <si>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</si>
  <si>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</si>
  <si>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</si>
  <si>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</si>
  <si>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</si>
  <si>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</si>
  <si>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</si>
  <si>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</si>
  <si>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</si>
  <si>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</si>
  <si>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</si>
  <si>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</si>
  <si>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</si>
  <si>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</si>
  <si>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</si>
  <si>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</si>
  <si>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</si>
  <si>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</si>
  <si>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</si>
  <si>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</si>
  <si>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</si>
  <si>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</si>
  <si>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</si>
  <si>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</si>
  <si>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</si>
  <si>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</si>
  <si>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</si>
  <si>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</si>
  <si>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</si>
  <si>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</si>
  <si>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</si>
  <si>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</si>
  <si>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</si>
  <si>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</si>
  <si>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</si>
  <si>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</si>
  <si>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</si>
  <si>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</si>
  <si>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</si>
  <si>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</si>
  <si>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</si>
  <si>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</si>
  <si>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</si>
  <si>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</si>
  <si>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</si>
  <si>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</si>
  <si>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</si>
  <si>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</si>
  <si>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</si>
  <si>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</si>
  <si>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</si>
  <si>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</si>
  <si>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</si>
  <si>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</si>
  <si>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</si>
  <si>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</si>
  <si>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</si>
  <si>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</si>
  <si>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</si>
  <si>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</si>
  <si>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</si>
  <si>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</si>
  <si>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</si>
  <si>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</si>
  <si>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</si>
  <si>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</si>
  <si>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</si>
  <si>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</si>
  <si>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</si>
  <si>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</si>
  <si>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</si>
  <si>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</si>
  <si>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</si>
  <si>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</si>
  <si>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</si>
  <si>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</si>
  <si>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</si>
  <si>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</si>
  <si>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</si>
  <si>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</si>
  <si>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</si>
  <si>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</si>
  <si>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</si>
  <si>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</si>
  <si>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</si>
  <si>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</si>
  <si>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</si>
  <si>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</si>
  <si>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</si>
  <si>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</si>
  <si>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</si>
  <si>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</si>
  <si>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</si>
  <si>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</si>
  <si>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</si>
  <si>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</si>
  <si>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</si>
  <si>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</si>
  <si>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</si>
  <si>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</si>
  <si>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</si>
  <si>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</si>
  <si>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</si>
  <si>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</si>
  <si>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</si>
  <si>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</si>
  <si>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</si>
  <si>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</si>
  <si>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</si>
  <si>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</si>
  <si>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</si>
  <si>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</si>
  <si>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</si>
  <si>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</si>
  <si>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</si>
  <si>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</si>
  <si>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</si>
  <si>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</si>
  <si>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</si>
  <si>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</si>
  <si>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</si>
  <si>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</si>
  <si>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</si>
  <si>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</si>
  <si>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</si>
  <si>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</si>
  <si>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</si>
  <si>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</si>
  <si>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</si>
  <si>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</si>
  <si>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</si>
  <si>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</si>
  <si>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</si>
  <si>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</si>
  <si>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</si>
  <si>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</si>
  <si>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</si>
  <si>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</si>
  <si>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</si>
  <si>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</si>
  <si>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</si>
  <si>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</si>
  <si>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</si>
  <si>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</si>
  <si>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</si>
  <si>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</si>
  <si>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</si>
  <si>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</si>
  <si>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</si>
  <si>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</si>
  <si>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</si>
  <si>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</si>
  <si>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</si>
  <si>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</si>
  <si>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</si>
  <si>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</si>
  <si>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</si>
  <si>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</si>
  <si>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</si>
  <si>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</si>
  <si>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</si>
  <si>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</si>
  <si>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</si>
  <si>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</si>
  <si>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</si>
  <si>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</si>
  <si>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</si>
  <si>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</si>
  <si>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</si>
  <si>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</si>
  <si>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</si>
  <si>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</si>
  <si>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</si>
  <si>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</si>
  <si>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</si>
  <si>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</si>
  <si>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</si>
  <si>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</si>
  <si>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</si>
  <si>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</si>
  <si>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</si>
  <si>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</si>
  <si>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</si>
  <si>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</si>
  <si>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</si>
  <si>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</si>
  <si>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</si>
  <si>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</si>
  <si>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</si>
  <si>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</si>
  <si>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</si>
  <si>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</si>
  <si>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</si>
  <si>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</si>
  <si>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</si>
  <si>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</si>
  <si>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</si>
  <si>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</si>
  <si>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</si>
  <si>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</si>
  <si>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</si>
  <si>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</si>
  <si>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</si>
  <si>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</si>
  <si>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</si>
  <si>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</si>
  <si>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</si>
  <si>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</si>
  <si>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</si>
  <si>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</si>
  <si>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</si>
  <si>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</si>
  <si>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</si>
  <si>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</si>
  <si>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</si>
  <si>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</si>
  <si>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</si>
  <si>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</si>
  <si>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</si>
  <si>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</si>
  <si>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</si>
  <si>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</si>
  <si>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</si>
  <si>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</si>
  <si>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</si>
  <si>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</si>
  <si>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</si>
  <si>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</si>
  <si>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</si>
  <si>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</si>
  <si>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</si>
  <si>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</si>
  <si>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</si>
  <si>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</si>
  <si>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</si>
  <si>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</si>
  <si>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</si>
  <si>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</si>
  <si>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</si>
  <si>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</si>
  <si>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</si>
  <si>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</si>
  <si>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</si>
  <si>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</si>
  <si>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</si>
  <si>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</si>
  <si>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</si>
  <si>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</si>
  <si>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</si>
  <si>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</si>
  <si>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</si>
  <si>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</si>
  <si>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</si>
  <si>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</si>
  <si>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</si>
  <si>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</si>
  <si>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</si>
  <si>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</si>
  <si>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</si>
  <si>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</si>
  <si>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</si>
  <si>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</si>
  <si>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</si>
  <si>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</si>
  <si>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</si>
  <si>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</si>
  <si>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</si>
  <si>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</si>
  <si>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</si>
  <si>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</si>
  <si>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</si>
  <si>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</si>
  <si>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</si>
  <si>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</si>
  <si>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</si>
  <si>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</si>
  <si>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</si>
  <si>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</si>
  <si>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</si>
  <si>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</si>
  <si>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</si>
  <si>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</si>
  <si>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</si>
  <si>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</si>
  <si>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</si>
  <si>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</si>
  <si>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</si>
  <si>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</si>
  <si>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</si>
  <si>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</si>
  <si>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</si>
  <si>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</si>
  <si>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</si>
  <si>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</si>
  <si>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</si>
  <si>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</si>
  <si>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</si>
  <si>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</si>
  <si>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</si>
  <si>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</si>
  <si>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</si>
  <si>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</si>
  <si>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</si>
  <si>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</si>
  <si>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</si>
  <si>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</si>
  <si>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</si>
  <si>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</si>
  <si>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</si>
  <si>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</si>
  <si>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</si>
  <si>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</si>
  <si>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</si>
  <si>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</si>
  <si>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</si>
  <si>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</si>
  <si>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</si>
  <si>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</si>
  <si>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</si>
  <si>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</si>
  <si>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</si>
  <si>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</si>
  <si>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</si>
  <si>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</si>
  <si>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</si>
  <si>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</si>
  <si>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</si>
  <si>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</si>
  <si>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</si>
  <si>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</si>
  <si>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</si>
  <si>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</si>
  <si>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</si>
  <si>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</si>
  <si>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</si>
  <si>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</si>
  <si>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</si>
  <si>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</si>
  <si>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</si>
  <si>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</si>
  <si>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</si>
  <si>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</si>
  <si>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</si>
  <si>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</si>
  <si>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</si>
  <si>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</si>
  <si>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</si>
  <si>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</si>
  <si>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</si>
  <si>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</si>
  <si>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</si>
  <si>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</si>
  <si>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</si>
  <si>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</si>
  <si>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</si>
  <si>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</si>
  <si>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</si>
  <si>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</si>
  <si>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</si>
  <si>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</si>
  <si>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</si>
  <si>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</si>
  <si>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</si>
  <si>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</si>
  <si>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</si>
  <si>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</si>
  <si>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</si>
  <si>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</si>
  <si>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</si>
  <si>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</si>
  <si>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</si>
  <si>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</si>
  <si>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</si>
  <si>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</si>
  <si>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</si>
  <si>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</si>
  <si>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</si>
  <si>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</si>
  <si>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</si>
  <si>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</si>
  <si>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</si>
  <si>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</si>
  <si>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</si>
  <si>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</si>
  <si>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</si>
  <si>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</si>
  <si>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</si>
  <si>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</si>
  <si>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</si>
  <si>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</si>
  <si>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</si>
  <si>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</si>
  <si>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</si>
  <si>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</si>
  <si>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</si>
  <si>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</si>
  <si>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</si>
  <si>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</si>
  <si>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</si>
  <si>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</si>
  <si>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</si>
  <si>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</si>
  <si>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</si>
  <si>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</si>
  <si>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</si>
  <si>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</si>
  <si>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</si>
  <si>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</si>
  <si>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</si>
  <si>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</si>
  <si>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</si>
  <si>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</si>
  <si>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</si>
  <si>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</si>
  <si>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</si>
  <si>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</si>
  <si>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</si>
  <si>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</si>
  <si>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</si>
  <si>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</si>
  <si>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</si>
  <si>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</si>
  <si>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</si>
  <si>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</si>
  <si>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</si>
  <si>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</si>
  <si>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</si>
  <si>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</si>
  <si>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</si>
  <si>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</si>
  <si>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</si>
  <si>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</si>
  <si>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</si>
  <si>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</si>
  <si>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</si>
  <si>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</si>
  <si>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</si>
  <si>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</si>
  <si>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</si>
  <si>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</si>
  <si>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</si>
  <si>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</si>
  <si>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</si>
  <si>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</si>
  <si>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</si>
  <si>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</si>
  <si>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</si>
  <si>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</si>
  <si>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</si>
  <si>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</si>
  <si>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</si>
  <si>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</si>
  <si>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</si>
  <si>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</si>
  <si>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</si>
  <si>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</si>
  <si>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</si>
  <si>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</si>
  <si>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</si>
  <si>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</si>
  <si>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</si>
  <si>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</si>
  <si>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</si>
  <si>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</si>
  <si>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</si>
  <si>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</si>
  <si>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</si>
  <si>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</si>
  <si>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</si>
  <si>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</si>
  <si>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</si>
  <si>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</si>
  <si>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</si>
  <si>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</si>
  <si>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</si>
  <si>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</si>
  <si>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</si>
  <si>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</si>
  <si>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</si>
  <si>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</si>
  <si>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</si>
  <si>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</si>
  <si>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</si>
  <si>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</si>
  <si>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</si>
  <si>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</si>
  <si>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</si>
  <si>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</si>
  <si>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</si>
  <si>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</si>
  <si>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</si>
  <si>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</si>
  <si>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</si>
  <si>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</si>
  <si>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</si>
  <si>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</si>
  <si>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</si>
  <si>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</si>
  <si>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</si>
  <si>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</si>
  <si>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</si>
  <si>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</si>
  <si>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</si>
  <si>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</si>
  <si>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</si>
  <si>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</si>
  <si>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</si>
  <si>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</si>
  <si>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</si>
  <si>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</si>
  <si>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</si>
  <si>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</si>
  <si>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</si>
  <si>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</si>
  <si>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</si>
  <si>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</si>
  <si>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</si>
  <si>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</si>
  <si>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</si>
  <si>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</si>
  <si>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</si>
  <si>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</si>
  <si>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</si>
  <si>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</si>
  <si>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</si>
  <si>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</si>
  <si>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</si>
  <si>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</si>
  <si>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</si>
  <si>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</si>
  <si>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</si>
  <si>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</si>
  <si>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</si>
  <si>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</si>
  <si>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</si>
  <si>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</si>
  <si>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</si>
  <si>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</si>
  <si>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</si>
  <si>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</si>
  <si>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</si>
  <si>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</si>
  <si>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</si>
  <si>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</si>
  <si>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</si>
  <si>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</si>
  <si>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</si>
  <si>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</si>
  <si>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</si>
  <si>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</si>
  <si>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</si>
  <si>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</si>
  <si>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</si>
  <si>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</si>
  <si>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</si>
  <si>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</si>
  <si>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</si>
  <si>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</si>
  <si>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</si>
  <si>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</si>
  <si>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</si>
  <si>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</si>
  <si>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</si>
  <si>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</si>
  <si>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</si>
  <si>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</si>
  <si>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</si>
  <si>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</si>
  <si>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</si>
  <si>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</si>
  <si>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</si>
  <si>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</si>
  <si>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</si>
  <si>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</si>
  <si>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</si>
  <si>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</si>
  <si>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</si>
  <si>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</si>
  <si>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</si>
  <si>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</si>
  <si>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</si>
  <si>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</si>
  <si>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</si>
  <si>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</si>
  <si>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</si>
  <si>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</si>
  <si>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</si>
  <si>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</si>
  <si>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</si>
  <si>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</si>
  <si>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</si>
  <si>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</si>
  <si>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</si>
  <si>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</si>
  <si>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</si>
  <si>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</si>
  <si>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</si>
  <si>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</si>
  <si>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</si>
  <si>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</si>
  <si>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</si>
  <si>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</si>
  <si>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</si>
  <si>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</si>
  <si>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</si>
  <si>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</si>
  <si>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</si>
  <si>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</si>
  <si>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</si>
  <si>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</si>
  <si>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</si>
  <si>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</si>
  <si>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</si>
  <si>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</si>
  <si>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</si>
  <si>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</si>
  <si>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</si>
  <si>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</si>
  <si>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</si>
  <si>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</si>
  <si>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</si>
  <si>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</si>
  <si>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</si>
  <si>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</si>
  <si>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</si>
  <si>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</si>
  <si>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</si>
  <si>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</si>
  <si>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</si>
  <si>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</si>
  <si>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</si>
  <si>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</si>
  <si>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</si>
  <si>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</si>
  <si>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</si>
  <si>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</si>
  <si>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</si>
  <si>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</si>
  <si>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</si>
  <si>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</si>
  <si>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</si>
  <si>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</si>
  <si>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</si>
  <si>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</si>
  <si>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</si>
  <si>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</si>
  <si>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</si>
  <si>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</si>
  <si>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</si>
  <si>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</si>
  <si>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</si>
  <si>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</si>
  <si>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</si>
  <si>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</si>
  <si>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</si>
  <si>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</si>
  <si>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</si>
  <si>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</si>
  <si>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</si>
  <si>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</si>
  <si>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</si>
  <si>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</si>
  <si>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</si>
  <si>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</si>
  <si>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</si>
  <si>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</si>
  <si>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</si>
  <si>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</si>
  <si>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</si>
  <si>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</si>
  <si>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</si>
  <si>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</si>
  <si>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</si>
  <si>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</si>
  <si>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</si>
  <si>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</si>
  <si>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</si>
  <si>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</si>
  <si>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</si>
  <si>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</si>
  <si>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</si>
  <si>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</si>
  <si>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</si>
  <si>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</si>
  <si>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</si>
  <si>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</si>
  <si>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</si>
  <si>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</si>
  <si>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</si>
  <si>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</si>
  <si>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</si>
  <si>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</si>
  <si>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</si>
  <si>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</si>
  <si>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</si>
  <si>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</si>
  <si>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</si>
  <si>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</si>
  <si>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</si>
  <si>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</si>
  <si>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</si>
  <si>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</si>
  <si>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</si>
  <si>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</si>
  <si>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</si>
  <si>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</si>
  <si>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</si>
  <si>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</si>
  <si>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</si>
  <si>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</si>
  <si>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</si>
  <si>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</si>
  <si>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</si>
  <si>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</si>
  <si>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</si>
  <si>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</si>
  <si>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</si>
  <si>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</si>
  <si>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</si>
  <si>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</si>
  <si>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</si>
  <si>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</si>
  <si>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</si>
  <si>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</si>
  <si>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</si>
  <si>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</si>
  <si>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</si>
  <si>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</si>
  <si>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</si>
  <si>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</si>
  <si>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</si>
  <si>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</si>
  <si>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</si>
  <si>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</si>
  <si>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</si>
  <si>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</si>
  <si>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</si>
  <si>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</si>
  <si>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</si>
  <si>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</si>
  <si>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</si>
  <si>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</si>
  <si>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</si>
  <si>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</si>
  <si>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</si>
  <si>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</si>
  <si>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</si>
  <si>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</si>
  <si>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</si>
  <si>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</si>
  <si>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</si>
  <si>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</si>
  <si>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</si>
  <si>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</si>
  <si>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</si>
  <si>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</si>
  <si>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</si>
  <si>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</si>
  <si>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</si>
  <si>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</si>
  <si>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</si>
  <si>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</si>
  <si>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</si>
  <si>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</si>
  <si>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</si>
  <si>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</si>
  <si>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</si>
  <si>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</si>
  <si>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</si>
  <si>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</si>
  <si>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</si>
  <si>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</si>
  <si>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</si>
  <si>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</si>
  <si>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</si>
  <si>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</si>
  <si>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</si>
  <si>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</si>
  <si>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</si>
  <si>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</si>
  <si>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</si>
  <si>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</si>
  <si>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</si>
  <si>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</si>
  <si>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</si>
  <si>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</si>
  <si>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</si>
  <si>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</si>
  <si>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</si>
  <si>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</si>
  <si>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</si>
  <si>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</si>
  <si>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</si>
  <si>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</si>
  <si>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</si>
  <si>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</si>
  <si>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</si>
  <si>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</si>
  <si>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</si>
  <si>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</si>
  <si>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</si>
  <si>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</si>
  <si>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</si>
  <si>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</si>
  <si>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</si>
  <si>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</si>
  <si>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</si>
  <si>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</si>
  <si>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</si>
  <si>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</si>
  <si>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</si>
  <si>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</si>
  <si>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</si>
  <si>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</si>
  <si>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</si>
  <si>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</si>
  <si>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</si>
  <si>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</si>
  <si>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</si>
  <si>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</si>
  <si>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</si>
  <si>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</si>
  <si>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</si>
  <si>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</si>
  <si>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</si>
  <si>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</si>
  <si>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</si>
  <si>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</si>
  <si>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</si>
  <si>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</si>
  <si>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</si>
  <si>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</si>
  <si>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</si>
  <si>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</si>
  <si>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</si>
  <si>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</si>
  <si>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</si>
  <si>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</si>
  <si>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</si>
  <si>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</si>
  <si>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</si>
  <si>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</si>
  <si>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</si>
  <si>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</si>
  <si>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</si>
  <si>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</si>
  <si>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</si>
  <si>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</si>
  <si>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</si>
  <si>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</si>
  <si>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</si>
  <si>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</si>
  <si>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</si>
  <si>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</si>
  <si>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</si>
  <si>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</si>
  <si>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</si>
  <si>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</si>
  <si>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</si>
  <si>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</si>
  <si>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</si>
  <si>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</si>
  <si>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</si>
  <si>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</si>
  <si>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</si>
  <si>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</si>
  <si>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</si>
  <si>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</si>
  <si>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</si>
  <si>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</si>
  <si>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</si>
  <si>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</si>
  <si>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</si>
  <si>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</si>
  <si>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</si>
  <si>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</si>
  <si>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</si>
  <si>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</si>
  <si>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</si>
  <si>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</si>
  <si>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</si>
  <si>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</si>
  <si>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</si>
  <si>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</si>
  <si>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</si>
  <si>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</si>
  <si>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</si>
  <si>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</si>
  <si>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</si>
  <si>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</si>
  <si>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</si>
  <si>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</si>
  <si>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</si>
  <si>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</si>
  <si>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</si>
  <si>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</si>
  <si>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</si>
  <si>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</si>
  <si>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</si>
  <si>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</si>
  <si>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</si>
  <si>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</si>
  <si>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</si>
  <si>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</si>
  <si>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</si>
  <si>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</si>
  <si>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</si>
  <si>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</si>
  <si>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</si>
  <si>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</si>
  <si>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</si>
  <si>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</si>
  <si>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</si>
  <si>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</si>
  <si>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</si>
  <si>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</si>
  <si>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</si>
  <si>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</si>
  <si>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</si>
  <si>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</si>
  <si>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</si>
  <si>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</si>
  <si>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</si>
  <si>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</si>
  <si>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</si>
  <si>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</si>
  <si>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</si>
  <si>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</si>
  <si>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</si>
  <si>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</si>
  <si>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</si>
  <si>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</si>
  <si>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</si>
  <si>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</si>
  <si>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</si>
  <si>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</si>
  <si>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</si>
  <si>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</si>
  <si>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</si>
  <si>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</si>
  <si>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</si>
  <si>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</si>
  <si>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</si>
  <si>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</si>
  <si>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</si>
  <si>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</si>
  <si>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</si>
  <si>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</si>
  <si>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</si>
  <si>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</si>
  <si>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</si>
  <si>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</si>
  <si>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</si>
  <si>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</si>
  <si>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</si>
  <si>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</si>
  <si>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</si>
  <si>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</si>
  <si>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</si>
  <si>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</si>
  <si>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</si>
  <si>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</si>
  <si>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</si>
  <si>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</si>
  <si>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</si>
  <si>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</si>
  <si>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</si>
  <si>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</si>
  <si>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</si>
  <si>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</si>
  <si>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</si>
  <si>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</si>
  <si>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</si>
  <si>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</si>
  <si>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</si>
  <si>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</si>
  <si>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</si>
  <si>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</si>
  <si>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</si>
  <si>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</si>
  <si>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</si>
  <si>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</si>
  <si>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</si>
  <si>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</si>
  <si>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</si>
  <si>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</si>
  <si>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</si>
  <si>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</si>
  <si>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</si>
  <si>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</si>
  <si>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</si>
  <si>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</si>
  <si>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</si>
  <si>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</si>
  <si>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</si>
  <si>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</si>
  <si>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</si>
  <si>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</si>
  <si>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</si>
  <si>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</si>
  <si>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</si>
  <si>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</si>
  <si>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</si>
  <si>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</si>
  <si>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</si>
  <si>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</si>
  <si>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</si>
  <si>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</si>
  <si>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</si>
  <si>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</si>
  <si>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</si>
  <si>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</si>
  <si>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</si>
  <si>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</si>
  <si>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</si>
  <si>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</si>
  <si>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</si>
  <si>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</si>
  <si>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</si>
  <si>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</si>
  <si>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</si>
  <si>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</si>
  <si>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</si>
  <si>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</si>
  <si>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</si>
  <si>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</si>
  <si>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</si>
  <si>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</si>
  <si>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</si>
  <si>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</si>
  <si>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</si>
  <si>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</si>
  <si>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</si>
  <si>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</si>
  <si>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</si>
  <si>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</si>
  <si>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</si>
  <si>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</si>
  <si>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</si>
  <si>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</si>
  <si>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</si>
  <si>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</si>
  <si>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</si>
  <si>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</si>
  <si>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</si>
  <si>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</si>
  <si>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</si>
  <si>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</si>
  <si>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</si>
  <si>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</si>
  <si>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</si>
  <si>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</si>
  <si>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</si>
  <si>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</si>
  <si>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</si>
  <si>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</si>
  <si>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</si>
  <si>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</si>
  <si>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</si>
  <si>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</si>
  <si>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</si>
  <si>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</si>
  <si>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</si>
  <si>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</si>
  <si>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</si>
  <si>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</si>
  <si>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</si>
  <si>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</si>
  <si>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</si>
  <si>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</si>
  <si>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</si>
  <si>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</si>
  <si>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</si>
  <si>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</si>
  <si>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</si>
  <si>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</si>
  <si>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</si>
  <si>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</si>
  <si>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</si>
  <si>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</si>
  <si>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</si>
  <si>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</si>
  <si>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</si>
  <si>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</si>
  <si>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</si>
  <si>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</si>
  <si>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</si>
  <si>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</si>
  <si>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</si>
  <si>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</si>
  <si>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</si>
  <si>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</si>
  <si>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</si>
  <si>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</si>
  <si>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</si>
  <si>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</si>
  <si>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</si>
  <si>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</si>
  <si>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</si>
  <si>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</si>
  <si>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</si>
  <si>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</si>
  <si>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</si>
  <si>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</si>
  <si>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</si>
  <si>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</si>
  <si>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</si>
  <si>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</si>
  <si>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</si>
  <si>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</si>
  <si>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</si>
  <si>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</si>
  <si>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</si>
  <si>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</si>
  <si>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</si>
  <si>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</si>
  <si>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</si>
  <si>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</si>
  <si>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</si>
  <si>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</si>
  <si>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</si>
  <si>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</si>
  <si>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</si>
  <si>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</si>
  <si>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</si>
  <si>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</si>
  <si>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</si>
  <si>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</si>
  <si>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</si>
  <si>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</si>
  <si>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</si>
  <si>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</si>
  <si>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</si>
  <si>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</si>
  <si>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</si>
  <si>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</si>
  <si>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</si>
  <si>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</si>
  <si>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</si>
  <si>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</si>
  <si>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</si>
  <si>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</si>
  <si>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</si>
  <si>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</si>
  <si>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</si>
  <si>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</si>
  <si>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</si>
  <si>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</si>
  <si>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</si>
  <si>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</si>
  <si>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</si>
  <si>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</si>
  <si>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</si>
  <si>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</si>
  <si>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</si>
  <si>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</si>
  <si>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</si>
  <si>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</si>
  <si>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</si>
  <si>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</si>
  <si>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</si>
  <si>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</si>
  <si>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</si>
  <si>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</si>
  <si>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</si>
  <si>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</si>
  <si>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</si>
  <si>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</si>
  <si>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</si>
  <si>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</si>
  <si>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</si>
  <si>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</si>
  <si>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</si>
  <si>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</si>
  <si>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</si>
  <si>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</si>
  <si>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</si>
  <si>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</si>
  <si>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</si>
  <si>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</si>
  <si>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</si>
  <si>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</si>
  <si>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</si>
  <si>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</si>
  <si>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</si>
  <si>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</si>
  <si>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</si>
  <si>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</si>
  <si>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</si>
  <si>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</si>
  <si>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</si>
  <si>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</si>
  <si>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</si>
  <si>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</si>
  <si>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</si>
  <si>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</si>
  <si>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</si>
  <si>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</si>
  <si>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</si>
  <si>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</si>
  <si>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</si>
  <si>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</si>
  <si>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</si>
  <si>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</si>
  <si>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</si>
  <si>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</si>
  <si>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</si>
  <si>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</si>
  <si>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</si>
  <si>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</si>
  <si>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</si>
  <si>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</si>
  <si>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</si>
  <si>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</si>
  <si>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</si>
  <si>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</si>
  <si>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</si>
  <si>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</si>
  <si>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</si>
  <si>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</si>
  <si>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</si>
  <si>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</si>
  <si>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</si>
  <si>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</si>
  <si>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</si>
  <si>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</si>
  <si>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</si>
  <si>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</si>
  <si>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</si>
  <si>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</si>
  <si>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</si>
  <si>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</si>
  <si>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</si>
  <si>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</si>
  <si>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</si>
  <si>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</si>
  <si>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</si>
  <si>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</si>
  <si>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</si>
  <si>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</si>
  <si>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</si>
  <si>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</si>
  <si>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</si>
  <si>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</si>
  <si>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</si>
  <si>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</si>
  <si>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</si>
  <si>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</si>
  <si>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</si>
  <si>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</si>
  <si>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</si>
  <si>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</si>
  <si>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</si>
  <si>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</si>
  <si>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</si>
  <si>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</si>
  <si>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</si>
  <si>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</si>
  <si>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</si>
  <si>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</si>
  <si>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</si>
  <si>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</si>
  <si>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</si>
  <si>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</si>
  <si>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</si>
  <si>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</si>
  <si>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</si>
  <si>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</si>
  <si>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</si>
  <si>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</si>
  <si>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</si>
  <si>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</si>
  <si>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</si>
  <si>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</si>
  <si>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</si>
  <si>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</si>
  <si>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</si>
  <si>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</si>
  <si>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</si>
  <si>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</si>
  <si>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</si>
  <si>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</si>
  <si>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</si>
  <si>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</si>
  <si>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</si>
  <si>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</si>
  <si>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</si>
  <si>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</si>
  <si>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</si>
  <si>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</si>
  <si>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</si>
  <si>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</si>
  <si>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</si>
  <si>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</si>
  <si>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</si>
  <si>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</si>
  <si>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</si>
  <si>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</si>
  <si>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</si>
  <si>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</si>
  <si>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</si>
  <si>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</si>
  <si>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</si>
  <si>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</si>
  <si>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</si>
  <si>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</si>
  <si>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</si>
  <si>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</si>
  <si>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</si>
  <si>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</si>
  <si>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</si>
  <si>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</si>
  <si>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</si>
  <si>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</si>
  <si>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</si>
  <si>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</si>
  <si>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</si>
  <si>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</si>
  <si>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</si>
  <si>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</si>
  <si>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</si>
  <si>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</si>
  <si>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</si>
  <si>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</si>
  <si>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</si>
  <si>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</si>
  <si>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</si>
  <si>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</si>
  <si>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</si>
  <si>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</si>
  <si>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</si>
  <si>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</si>
  <si>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</si>
  <si>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</si>
  <si>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</si>
  <si>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</si>
  <si>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</si>
  <si>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</si>
  <si>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</si>
  <si>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</si>
  <si>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</si>
  <si>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</si>
  <si>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</si>
  <si>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</si>
  <si>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</si>
  <si>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</si>
  <si>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</si>
  <si>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</si>
  <si>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</si>
  <si>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</si>
  <si>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</si>
  <si>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</si>
  <si>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</si>
  <si>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</si>
  <si>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</si>
  <si>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</si>
  <si>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</si>
  <si>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</si>
  <si>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</si>
  <si>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</si>
  <si>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</si>
  <si>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</si>
  <si>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</si>
  <si>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</si>
  <si>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</si>
  <si>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</si>
  <si>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</si>
  <si>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</si>
  <si>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</si>
  <si>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</si>
  <si>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</si>
  <si>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</si>
  <si>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</si>
  <si>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</si>
  <si>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</si>
  <si>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</si>
  <si>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</si>
  <si>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</si>
  <si>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</si>
  <si>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</si>
  <si>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</si>
  <si>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</si>
  <si>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</si>
  <si>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</si>
  <si>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</si>
  <si>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</si>
  <si>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</si>
  <si>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</si>
  <si>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</si>
  <si>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</si>
  <si>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</si>
  <si>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</si>
  <si>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</si>
  <si>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</si>
  <si>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</si>
  <si>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</si>
  <si>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</si>
  <si>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</si>
  <si>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</si>
  <si>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</si>
  <si>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</si>
  <si>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</si>
  <si>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</si>
  <si>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</si>
  <si>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</si>
  <si>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</si>
  <si>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</si>
  <si>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</si>
  <si>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</si>
  <si>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</si>
  <si>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</si>
  <si>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</si>
  <si>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</si>
  <si>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</si>
  <si>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</si>
  <si>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</si>
  <si>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</si>
  <si>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</si>
  <si>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</si>
  <si>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</si>
  <si>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</si>
  <si>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</si>
  <si>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</si>
  <si>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</si>
  <si>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</si>
  <si>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</si>
  <si>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</si>
  <si>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</si>
  <si>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</si>
  <si>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</si>
  <si>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</si>
  <si>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</si>
  <si>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</si>
  <si>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</si>
  <si>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</si>
  <si>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</si>
  <si>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</si>
  <si>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</si>
  <si>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</si>
  <si>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</si>
  <si>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</si>
  <si>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</si>
  <si>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</si>
  <si>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</si>
  <si>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</si>
  <si>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</si>
  <si>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</si>
  <si>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</si>
  <si>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</si>
  <si>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</si>
  <si>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</si>
  <si>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</si>
  <si>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</si>
  <si>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</si>
  <si>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</si>
  <si>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</si>
  <si>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</si>
  <si>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</si>
  <si>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</si>
  <si>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</si>
  <si>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</si>
  <si>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</si>
  <si>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</si>
  <si>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</si>
  <si>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</si>
  <si>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</si>
  <si>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</si>
  <si>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</si>
  <si>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</si>
  <si>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</si>
  <si>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</si>
  <si>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</si>
  <si>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</si>
  <si>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</si>
  <si>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</si>
  <si>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</si>
  <si>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</si>
  <si>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</si>
  <si>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</si>
  <si>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</si>
  <si>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</si>
  <si>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</si>
  <si>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</si>
  <si>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</si>
  <si>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</si>
  <si>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</si>
  <si>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</si>
  <si>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</si>
  <si>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</si>
  <si>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</si>
  <si>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</si>
  <si>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</si>
  <si>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</si>
  <si>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</si>
  <si>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</si>
  <si>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</si>
  <si>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</si>
  <si>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</si>
  <si>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</si>
  <si>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</si>
  <si>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</si>
  <si>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</si>
  <si>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</si>
  <si>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</si>
  <si>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</si>
  <si>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</si>
  <si>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</si>
  <si>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</si>
  <si>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</si>
  <si>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</si>
  <si>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</si>
  <si>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</si>
  <si>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</si>
  <si>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</si>
  <si>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</si>
  <si>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</si>
  <si>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</si>
  <si>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</si>
  <si>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</si>
  <si>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</si>
  <si>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</si>
  <si>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</si>
  <si>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</si>
  <si>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</si>
  <si>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</si>
  <si>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</si>
  <si>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</si>
  <si>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</si>
  <si>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</si>
  <si>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</si>
  <si>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</si>
  <si>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</si>
  <si>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</si>
  <si>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</si>
  <si>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</si>
  <si>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</si>
  <si>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</si>
  <si>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</si>
  <si>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</si>
  <si>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</si>
  <si>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</si>
  <si>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</si>
  <si>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</si>
  <si>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</si>
  <si>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</si>
  <si>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</si>
  <si>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</si>
  <si>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</si>
  <si>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</si>
  <si>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</si>
  <si>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</si>
  <si>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</si>
  <si>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</si>
  <si>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</si>
  <si>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</si>
  <si>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</si>
  <si>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</si>
  <si>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</si>
  <si>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</si>
  <si>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</si>
  <si>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</si>
  <si>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</si>
  <si>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</si>
  <si>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</si>
  <si>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</si>
  <si>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</si>
  <si>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</si>
  <si>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</si>
  <si>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</si>
  <si>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</si>
  <si>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</si>
  <si>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</si>
  <si>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</si>
  <si>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</si>
  <si>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</si>
  <si>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</si>
  <si>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</si>
  <si>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</si>
  <si>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</si>
  <si>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</si>
  <si>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</si>
  <si>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</si>
  <si>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</si>
  <si>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</si>
  <si>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</si>
  <si>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</si>
  <si>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</si>
  <si>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</si>
  <si>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</si>
  <si>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</si>
  <si>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</si>
  <si>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</si>
  <si>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</si>
  <si>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</si>
  <si>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</si>
  <si>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</si>
  <si>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</si>
  <si>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</si>
  <si>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</si>
  <si>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</si>
  <si>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</si>
  <si>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</si>
  <si>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</si>
  <si>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</si>
  <si>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</si>
  <si>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</si>
  <si>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</si>
  <si>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</si>
  <si>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</si>
  <si>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</si>
  <si>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</si>
  <si>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</si>
  <si>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</si>
  <si>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</si>
  <si>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</si>
  <si>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</si>
  <si>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</si>
  <si>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</si>
  <si>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</si>
  <si>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</si>
  <si>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</si>
  <si>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</si>
  <si>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</si>
  <si>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</si>
  <si>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</si>
  <si>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</si>
  <si>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</si>
  <si>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</si>
  <si>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</si>
  <si>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</si>
  <si>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</si>
  <si>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</si>
  <si>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</si>
  <si>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</si>
  <si>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</si>
  <si>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</si>
  <si>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</si>
  <si>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</si>
  <si>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</si>
  <si>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</si>
  <si>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</si>
  <si>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</si>
  <si>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</si>
  <si>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</si>
  <si>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</si>
  <si>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</si>
  <si>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</si>
  <si>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</si>
  <si>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</si>
  <si>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</si>
  <si>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</si>
  <si>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</si>
  <si>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</si>
  <si>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</si>
  <si>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</si>
  <si>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</si>
  <si>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</si>
  <si>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</si>
  <si>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</si>
  <si>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</si>
  <si>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</si>
  <si>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</si>
  <si>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</si>
  <si>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</si>
  <si>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</si>
  <si>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</si>
  <si>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</si>
  <si>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</si>
  <si>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</si>
  <si>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</si>
  <si>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</si>
  <si>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</si>
  <si>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</si>
  <si>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</si>
  <si>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</si>
  <si>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</si>
  <si>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</si>
  <si>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</si>
  <si>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</si>
  <si>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</si>
  <si>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</si>
  <si>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</si>
  <si>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</si>
  <si>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</si>
  <si>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</si>
  <si>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</si>
  <si>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</si>
  <si>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</si>
  <si>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</si>
  <si>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</si>
  <si>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</si>
  <si>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</si>
  <si>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</si>
  <si>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</si>
  <si>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</si>
  <si>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</si>
  <si>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</si>
  <si>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</si>
  <si>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</si>
  <si>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</si>
  <si>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</si>
  <si>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</si>
  <si>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</si>
  <si>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</si>
  <si>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</si>
  <si>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</si>
  <si>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</si>
  <si>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</si>
  <si>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</si>
  <si>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</si>
  <si>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</si>
  <si>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</si>
  <si>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</si>
  <si>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</si>
  <si>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</si>
  <si>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</si>
  <si>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</si>
  <si>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</si>
  <si>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</si>
  <si>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</si>
  <si>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</si>
  <si>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</si>
  <si>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</si>
  <si>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</si>
  <si>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</si>
  <si>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</si>
  <si>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</si>
  <si>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</si>
  <si>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</si>
  <si>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</si>
  <si>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</si>
  <si>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</si>
  <si>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</si>
  <si>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</si>
  <si>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</si>
  <si>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</si>
  <si>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</si>
  <si>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</si>
  <si>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</si>
  <si>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</si>
  <si>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</si>
  <si>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</si>
  <si>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</si>
  <si>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</si>
  <si>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</si>
  <si>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</si>
  <si>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</si>
  <si>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</si>
  <si>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</si>
  <si>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</si>
  <si>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</si>
  <si>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</si>
  <si>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</si>
  <si>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</si>
  <si>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</si>
  <si>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</si>
  <si>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</si>
  <si>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</si>
  <si>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</si>
  <si>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</si>
  <si>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</si>
  <si>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</si>
  <si>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</si>
  <si>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</si>
  <si>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</si>
  <si>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</si>
  <si>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</si>
  <si>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</si>
  <si>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</si>
  <si>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</si>
  <si>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</si>
  <si>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</si>
  <si>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</si>
  <si>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</si>
  <si>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</si>
  <si>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</si>
  <si>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</si>
  <si>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</si>
  <si>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</si>
  <si>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</si>
  <si>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</si>
  <si>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</si>
  <si>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</si>
  <si>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</si>
  <si>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</si>
  <si>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</si>
  <si>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</si>
  <si>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</si>
  <si>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</si>
  <si>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</si>
  <si>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</si>
  <si>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</si>
  <si>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</si>
  <si>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</si>
  <si>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</si>
  <si>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</si>
  <si>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</si>
  <si>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</si>
  <si>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</si>
  <si>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</si>
  <si>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</si>
  <si>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</si>
  <si>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</si>
  <si>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</si>
  <si>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</si>
  <si>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</si>
  <si>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</si>
  <si>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</si>
  <si>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</si>
  <si>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</si>
  <si>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</si>
  <si>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</si>
  <si>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</si>
  <si>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</si>
  <si>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</si>
  <si>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</si>
  <si>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</si>
  <si>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</si>
  <si>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</si>
  <si>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</si>
  <si>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</si>
  <si>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</si>
  <si>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</si>
  <si>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</si>
  <si>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</si>
  <si>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</si>
  <si>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</si>
  <si>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</si>
  <si>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</si>
  <si>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</si>
  <si>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</si>
  <si>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</si>
  <si>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</si>
  <si>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</si>
  <si>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</si>
  <si>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</si>
  <si>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</si>
  <si>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</si>
  <si>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</si>
  <si>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</si>
  <si>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</si>
  <si>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</si>
  <si>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</si>
  <si>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</si>
  <si>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</si>
  <si>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</si>
  <si>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</si>
  <si>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</si>
  <si>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</si>
  <si>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</si>
  <si>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</si>
  <si>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</si>
  <si>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</si>
  <si>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</si>
  <si>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</si>
  <si>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</si>
  <si>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</si>
  <si>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</si>
  <si>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</si>
  <si>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</si>
  <si>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</si>
  <si>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</si>
  <si>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</si>
  <si>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</si>
  <si>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</si>
  <si>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</si>
  <si>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</si>
  <si>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</si>
  <si>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</si>
  <si>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</si>
  <si>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</si>
  <si>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</si>
  <si>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</si>
  <si>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</si>
  <si>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</si>
  <si>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</si>
  <si>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</si>
  <si>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</si>
  <si>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</si>
  <si>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</si>
  <si>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</si>
  <si>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</si>
  <si>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</si>
  <si>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</si>
  <si>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</si>
  <si>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</si>
  <si>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</si>
  <si>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</si>
  <si>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</si>
  <si>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</si>
  <si>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</si>
  <si>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</si>
  <si>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</si>
  <si>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</si>
  <si>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</si>
  <si>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</si>
  <si>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</si>
  <si>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</si>
  <si>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</si>
  <si>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</si>
  <si>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</si>
  <si>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</si>
  <si>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</si>
  <si>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</si>
  <si>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</si>
  <si>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</si>
  <si>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</si>
  <si>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</si>
  <si>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</si>
  <si>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</si>
  <si>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</si>
  <si>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</si>
  <si>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</si>
  <si>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</si>
  <si>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</si>
  <si>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</si>
  <si>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</si>
  <si>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</si>
  <si>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</si>
  <si>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</si>
  <si>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</si>
  <si>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</si>
  <si>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</si>
  <si>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</si>
  <si>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</si>
  <si>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</si>
  <si>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</si>
  <si>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</si>
  <si>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</si>
  <si>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</si>
  <si>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</si>
  <si>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</si>
  <si>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</si>
  <si>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</si>
  <si>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</si>
  <si>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</si>
  <si>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</si>
  <si>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</si>
  <si>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</si>
  <si>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</si>
  <si>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</si>
  <si>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</si>
  <si>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</si>
  <si>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</si>
  <si>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</si>
  <si>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</si>
  <si>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</si>
  <si>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</si>
  <si>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</si>
  <si>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</si>
  <si>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</si>
  <si>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</si>
  <si>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</si>
  <si>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</si>
  <si>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</si>
  <si>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</si>
  <si>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</si>
  <si>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</si>
  <si>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</si>
  <si>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</si>
  <si>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</si>
  <si>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</si>
  <si>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</si>
  <si>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</si>
  <si>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</si>
  <si>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</si>
  <si>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</si>
  <si>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</si>
  <si>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</si>
  <si>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</si>
  <si>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</si>
  <si>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</si>
  <si>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</si>
  <si>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</si>
  <si>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</si>
  <si>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</si>
  <si>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</si>
  <si>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</si>
  <si>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</si>
  <si>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</si>
  <si>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</si>
  <si>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</si>
  <si>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</si>
  <si>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</si>
  <si>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</si>
  <si>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</si>
  <si>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</si>
  <si>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</si>
  <si>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</si>
  <si>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</si>
  <si>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</si>
  <si>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</si>
  <si>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</si>
  <si>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</si>
  <si>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</si>
  <si>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</si>
  <si>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</si>
  <si>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</si>
  <si>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</si>
  <si>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</si>
  <si>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</si>
  <si>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</si>
  <si>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</si>
  <si>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</si>
  <si>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</si>
  <si>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</si>
  <si>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</si>
  <si>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</si>
  <si>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</si>
  <si>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</si>
  <si>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</si>
  <si>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</si>
  <si>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</si>
  <si>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</si>
  <si>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</si>
  <si>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</si>
  <si>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</si>
  <si>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</si>
  <si>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</si>
  <si>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</si>
  <si>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</si>
  <si>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</si>
  <si>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</si>
  <si>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</si>
  <si>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</si>
  <si>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</si>
  <si>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</si>
  <si>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</si>
  <si>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</si>
  <si>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</si>
  <si>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</si>
  <si>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</si>
  <si>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</si>
  <si>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</si>
  <si>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</si>
  <si>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</si>
  <si>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</si>
  <si>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</si>
  <si>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</si>
  <si>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</si>
  <si>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</si>
  <si>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</si>
  <si>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</si>
  <si>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</si>
  <si>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</si>
  <si>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</si>
  <si>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</si>
  <si>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</si>
  <si>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</si>
  <si>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</si>
  <si>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</si>
  <si>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</si>
  <si>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</si>
  <si>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</si>
  <si>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</si>
  <si>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</si>
  <si>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</si>
  <si>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</si>
  <si>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</si>
  <si>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</si>
  <si>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</si>
  <si>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</si>
  <si>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</si>
  <si>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</si>
  <si>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</si>
  <si>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</si>
  <si>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</si>
  <si>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</si>
  <si>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</si>
  <si>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</si>
  <si>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</si>
  <si>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</si>
  <si>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</si>
  <si>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</si>
  <si>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</si>
  <si>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</si>
  <si>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</si>
  <si>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</si>
  <si>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</si>
  <si>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</si>
  <si>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</si>
  <si>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</si>
  <si>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</si>
  <si>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</si>
  <si>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</si>
  <si>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</si>
  <si>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</si>
  <si>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</si>
  <si>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</si>
  <si>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</si>
  <si>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</si>
  <si>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</si>
  <si>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</si>
  <si>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</si>
  <si>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</si>
  <si>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</si>
  <si>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</si>
  <si>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</si>
  <si>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</si>
  <si>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</si>
  <si>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</si>
  <si>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</si>
  <si>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</si>
  <si>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</si>
  <si>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</si>
  <si>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</si>
  <si>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</si>
  <si>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</si>
  <si>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</si>
  <si>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</si>
  <si>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</si>
  <si>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</si>
  <si>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</si>
  <si>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</si>
  <si>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</si>
  <si>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</si>
  <si>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</si>
  <si>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</si>
  <si>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</si>
  <si>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</si>
  <si>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</si>
  <si>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</si>
  <si>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</si>
  <si>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</si>
  <si>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</si>
  <si>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</si>
  <si>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</si>
  <si>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</si>
  <si>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</si>
  <si>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</si>
  <si>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</si>
  <si>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</si>
  <si>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</si>
  <si>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</si>
  <si>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</si>
  <si>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</si>
  <si>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</si>
  <si>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</si>
  <si>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</si>
  <si>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</si>
  <si>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</si>
  <si>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</si>
  <si>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</si>
  <si>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</si>
  <si>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</si>
  <si>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</si>
  <si>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</si>
  <si>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</si>
  <si>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</si>
  <si>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</si>
  <si>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</si>
  <si>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</si>
  <si>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</si>
  <si>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</si>
  <si>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</si>
  <si>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</si>
  <si>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</si>
  <si>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</si>
  <si>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</si>
  <si>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</si>
  <si>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</si>
  <si>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</si>
  <si>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</si>
  <si>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</si>
  <si>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</si>
  <si>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</si>
  <si>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</si>
  <si>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</si>
  <si>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</si>
  <si>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</si>
  <si>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</si>
  <si>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</si>
  <si>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</si>
  <si>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</si>
  <si>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</si>
  <si>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</si>
  <si>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</si>
  <si>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</si>
  <si>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</si>
  <si>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</si>
  <si>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</si>
  <si>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</si>
  <si>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</si>
  <si>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</si>
  <si>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</si>
  <si>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</si>
  <si>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</si>
  <si>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</si>
  <si>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</si>
  <si>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</si>
  <si>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</si>
  <si>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</si>
  <si>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</si>
  <si>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</si>
  <si>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</si>
  <si>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</si>
  <si>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</si>
  <si>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</si>
  <si>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</si>
  <si>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</si>
  <si>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</si>
  <si>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</si>
  <si>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</si>
  <si>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</si>
  <si>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</si>
  <si>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</si>
  <si>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</si>
  <si>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</si>
  <si>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</si>
  <si>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</si>
  <si>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</si>
  <si>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</si>
  <si>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</si>
  <si>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</si>
  <si>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</si>
  <si>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</si>
  <si>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</si>
  <si>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</si>
  <si>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</si>
  <si>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</si>
  <si>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</si>
  <si>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</si>
  <si>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</si>
  <si>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</si>
  <si>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</si>
  <si>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</si>
  <si>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</si>
  <si>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</si>
  <si>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</si>
  <si>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</si>
  <si>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</si>
  <si>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</si>
  <si>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</si>
  <si>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</si>
  <si>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</si>
  <si>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</si>
  <si>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</si>
  <si>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</si>
  <si>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</si>
  <si>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</si>
  <si>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</si>
  <si>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</si>
  <si>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</si>
  <si>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</si>
  <si>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</si>
  <si>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</si>
  <si>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</si>
  <si>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</si>
  <si>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</si>
  <si>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</si>
  <si>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</si>
  <si>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</si>
  <si>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</si>
  <si>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</si>
  <si>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</si>
  <si>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</si>
  <si>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</si>
  <si>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</si>
  <si>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</si>
  <si>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</si>
  <si>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</si>
  <si>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</si>
  <si>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</si>
  <si>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</si>
  <si>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</si>
  <si>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</si>
  <si>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</si>
  <si>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</si>
  <si>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</si>
  <si>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</si>
  <si>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</si>
  <si>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</si>
  <si>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</si>
  <si>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</si>
  <si>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</si>
  <si>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</si>
  <si>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</si>
  <si>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</si>
  <si>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</si>
  <si>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</si>
  <si>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</si>
  <si>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</si>
  <si>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</si>
  <si>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</si>
  <si>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</si>
  <si>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</si>
  <si>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</si>
  <si>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</si>
  <si>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</si>
  <si>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</si>
  <si>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</si>
  <si>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</si>
  <si>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</si>
  <si>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</si>
  <si>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</si>
  <si>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</si>
  <si>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</si>
  <si>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</si>
  <si>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</si>
  <si>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</si>
  <si>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</si>
  <si>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</si>
  <si>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</si>
  <si>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</si>
  <si>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</si>
  <si>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</si>
  <si>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</si>
  <si>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</si>
  <si>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</si>
  <si>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</si>
  <si>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</si>
  <si>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</si>
  <si>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</si>
  <si>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</si>
  <si>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</si>
  <si>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</si>
  <si>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</si>
  <si>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</si>
  <si>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</si>
  <si>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</si>
  <si>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</si>
  <si>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</si>
  <si>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</si>
  <si>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</si>
  <si>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</si>
  <si>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</si>
  <si>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</si>
  <si>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</si>
  <si>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</si>
  <si>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</si>
  <si>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</si>
  <si>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</si>
  <si>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</si>
  <si>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</si>
  <si>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</si>
  <si>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</si>
  <si>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</si>
  <si>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</si>
  <si>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</si>
  <si>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</si>
  <si>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</si>
  <si>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</si>
  <si>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</si>
  <si>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</si>
  <si>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</si>
  <si>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</si>
  <si>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</si>
  <si>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</si>
  <si>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</si>
  <si>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</si>
  <si>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</si>
  <si>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</si>
  <si>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</si>
  <si>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</si>
  <si>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</si>
  <si>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</si>
  <si>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</si>
  <si>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</si>
  <si>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</si>
  <si>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</si>
  <si>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</si>
  <si>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</si>
  <si>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</si>
  <si>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</si>
  <si>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</si>
  <si>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</si>
  <si>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</si>
  <si>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</si>
  <si>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</si>
  <si>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</si>
  <si>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</si>
  <si>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</si>
  <si>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</si>
  <si>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</si>
  <si>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</si>
  <si>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</si>
  <si>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</si>
  <si>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</si>
  <si>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</si>
  <si>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</si>
  <si>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</si>
  <si>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</si>
  <si>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</si>
  <si>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</si>
  <si>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</si>
  <si>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</si>
  <si>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</si>
  <si>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</si>
  <si>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</si>
  <si>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</si>
  <si>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</si>
  <si>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</si>
  <si>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</si>
  <si>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</si>
  <si>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</si>
  <si>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</si>
  <si>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</si>
  <si>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</si>
  <si>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</si>
  <si>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</si>
  <si>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</si>
  <si>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</si>
  <si>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</si>
  <si>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</si>
  <si>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</si>
  <si>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</si>
  <si>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</si>
  <si>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</si>
  <si>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</si>
  <si>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</si>
  <si>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</si>
  <si>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</si>
  <si>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</si>
  <si>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</si>
  <si>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</si>
  <si>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</si>
  <si>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</si>
  <si>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</si>
  <si>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</si>
  <si>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</si>
  <si>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</si>
  <si>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</si>
  <si>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</si>
  <si>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</si>
  <si>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</si>
  <si>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</si>
  <si>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</si>
  <si>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</si>
  <si>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</si>
  <si>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</si>
  <si>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</si>
  <si>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</si>
  <si>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</si>
  <si>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</si>
  <si>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</si>
  <si>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</si>
  <si>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</si>
  <si>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</si>
  <si>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</si>
  <si>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</si>
  <si>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</si>
  <si>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</si>
  <si>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</si>
  <si>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</si>
  <si>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</si>
  <si>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</si>
  <si>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</si>
  <si>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</si>
  <si>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</si>
  <si>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</si>
  <si>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</si>
  <si>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</si>
  <si>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</si>
  <si>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</si>
  <si>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</si>
  <si>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</si>
  <si>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</si>
  <si>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</si>
  <si>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</si>
  <si>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</si>
  <si>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</si>
  <si>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</si>
  <si>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</si>
  <si>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</si>
  <si>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</si>
  <si>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</si>
  <si>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</si>
  <si>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</si>
  <si>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</si>
  <si>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</si>
  <si>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</si>
  <si>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</si>
  <si>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</si>
  <si>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</si>
  <si>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</si>
  <si>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</si>
  <si>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</si>
  <si>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</si>
  <si>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</si>
  <si>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</si>
  <si>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</si>
  <si>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</si>
  <si>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</si>
  <si>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</si>
  <si>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</si>
  <si>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</si>
  <si>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</si>
  <si>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</si>
  <si>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</si>
  <si>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</si>
  <si>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</si>
  <si>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</si>
  <si>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</si>
  <si>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</si>
  <si>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</si>
  <si>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</si>
  <si>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</si>
  <si>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</si>
  <si>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</si>
  <si>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</si>
  <si>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</si>
  <si>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</si>
  <si>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</si>
  <si>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</si>
  <si>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</si>
  <si>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</si>
  <si>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</si>
  <si>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</si>
  <si>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</si>
  <si>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</si>
  <si>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</si>
  <si>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</si>
  <si>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</si>
  <si>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</si>
  <si>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</si>
  <si>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</si>
  <si>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</si>
  <si>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</si>
  <si>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</si>
  <si>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</si>
  <si>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</si>
  <si>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</si>
  <si>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</si>
  <si>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</si>
  <si>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</si>
  <si>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</si>
  <si>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</si>
  <si>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</si>
  <si>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</si>
  <si>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</si>
  <si>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</si>
  <si>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</si>
  <si>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</si>
  <si>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</si>
  <si>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</si>
  <si>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</si>
  <si>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</si>
  <si>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</si>
  <si>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</si>
  <si>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</si>
  <si>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</si>
  <si>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</si>
  <si>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</si>
  <si>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</si>
  <si>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</si>
  <si>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</si>
  <si>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</si>
  <si>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</si>
  <si>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</si>
  <si>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</si>
  <si>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</si>
  <si>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</si>
  <si>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</si>
  <si>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</si>
  <si>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</si>
  <si>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</si>
  <si>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</si>
  <si>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</si>
  <si>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</si>
  <si>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</si>
  <si>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</si>
  <si>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</si>
  <si>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</si>
  <si>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</si>
  <si>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</si>
  <si>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</si>
  <si>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</si>
  <si>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</si>
  <si>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</si>
  <si>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</si>
  <si>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</si>
  <si>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</si>
  <si>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</si>
  <si>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</si>
  <si>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</si>
  <si>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</si>
  <si>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</si>
  <si>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</si>
  <si>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</si>
  <si>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</si>
  <si>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</si>
  <si>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</si>
  <si>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</si>
  <si>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</si>
  <si>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</si>
  <si>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</si>
  <si>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</si>
  <si>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</si>
  <si>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</si>
  <si>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</si>
  <si>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</si>
  <si>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</si>
  <si>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</si>
  <si>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</si>
  <si>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</si>
  <si>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</si>
  <si>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</si>
  <si>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</si>
  <si>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</si>
  <si>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</si>
  <si>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</si>
  <si>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</si>
  <si>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</si>
  <si>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</si>
  <si>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</si>
  <si>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</si>
  <si>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</si>
  <si>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</si>
  <si>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</si>
  <si>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</si>
  <si>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</si>
  <si>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</si>
  <si>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</si>
  <si>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</si>
  <si>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</si>
  <si>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</si>
  <si>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</si>
  <si>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</si>
  <si>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</si>
  <si>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</si>
  <si>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</si>
  <si>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</si>
  <si>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</si>
  <si>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</si>
  <si>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</si>
  <si>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</si>
  <si>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</si>
  <si>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</si>
  <si>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</si>
  <si>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</si>
  <si>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</si>
  <si>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</si>
  <si>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</si>
  <si>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</si>
  <si>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</si>
  <si>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</si>
  <si>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</si>
  <si>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</si>
  <si>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</si>
  <si>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</si>
  <si>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</si>
  <si>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</si>
  <si>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</si>
  <si>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</si>
  <si>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</si>
  <si>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</si>
  <si>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</si>
  <si>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</si>
  <si>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</si>
  <si>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</si>
  <si>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</si>
  <si>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</si>
  <si>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</si>
  <si>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</si>
  <si>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</si>
  <si>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</si>
  <si>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</si>
  <si>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</si>
  <si>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</si>
  <si>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</si>
  <si>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</si>
  <si>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</si>
  <si>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</si>
  <si>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</si>
  <si>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</si>
  <si>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</si>
  <si>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</si>
  <si>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</si>
  <si>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</si>
  <si>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</si>
  <si>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</si>
  <si>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</si>
  <si>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</si>
  <si>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</si>
  <si>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</si>
  <si>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</si>
  <si>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</si>
  <si>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</si>
  <si>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</si>
  <si>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</si>
  <si>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</si>
  <si>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</si>
  <si>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</si>
  <si>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</si>
  <si>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</si>
  <si>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</si>
  <si>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</si>
  <si>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</si>
  <si>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</si>
  <si>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</si>
  <si>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</si>
  <si>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</si>
  <si>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</si>
  <si>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</si>
  <si>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</si>
  <si>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</si>
  <si>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</si>
  <si>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</si>
  <si>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</si>
  <si>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</si>
  <si>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</si>
  <si>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</si>
  <si>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</si>
  <si>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</si>
  <si>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</si>
  <si>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</si>
  <si>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</si>
  <si>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</si>
  <si>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</si>
  <si>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</si>
  <si>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</si>
  <si>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</si>
  <si>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</si>
  <si>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</si>
  <si>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</si>
  <si>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</si>
  <si>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</si>
  <si>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</si>
  <si>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</si>
  <si>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</si>
  <si>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</si>
  <si>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</si>
  <si>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</si>
  <si>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</si>
  <si>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</si>
  <si>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</si>
  <si>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</si>
  <si>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</si>
  <si>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</si>
  <si>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</si>
  <si>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</si>
  <si>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</si>
  <si>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</si>
  <si>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</si>
  <si>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</si>
  <si>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</si>
  <si>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</si>
  <si>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</si>
  <si>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</si>
  <si>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</si>
  <si>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</si>
  <si>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</si>
  <si>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</si>
  <si>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</si>
  <si>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</si>
  <si>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</si>
  <si>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</si>
  <si>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</si>
  <si>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</si>
  <si>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</si>
  <si>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</si>
  <si>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</si>
  <si>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</si>
  <si>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</si>
  <si>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</si>
  <si>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</si>
  <si>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</si>
  <si>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</si>
  <si>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</si>
  <si>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</si>
  <si>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</si>
  <si>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</si>
  <si>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</si>
  <si>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</si>
  <si>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</si>
  <si>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</si>
  <si>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</si>
  <si>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</si>
  <si>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</si>
  <si>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</si>
  <si>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</si>
  <si>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</si>
  <si>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</si>
  <si>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</si>
  <si>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</si>
  <si>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</si>
  <si>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</si>
  <si>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</si>
  <si>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</si>
  <si>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</si>
  <si>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</si>
  <si>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</si>
  <si>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</si>
  <si>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</si>
  <si>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</si>
  <si>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</si>
  <si>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</si>
  <si>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</si>
  <si>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</si>
  <si>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</si>
  <si>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</si>
  <si>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</si>
  <si>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</si>
  <si>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</si>
  <si>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</si>
  <si>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</si>
  <si>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</si>
  <si>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</si>
  <si>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</si>
  <si>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</si>
  <si>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</si>
  <si>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</si>
  <si>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</si>
  <si>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</si>
  <si>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</si>
  <si>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</si>
  <si>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</si>
  <si>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</si>
  <si>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</si>
  <si>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</si>
  <si>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</si>
  <si>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</si>
  <si>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</si>
  <si>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</si>
  <si>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</si>
  <si>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</si>
  <si>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</si>
  <si>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</si>
  <si>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</si>
  <si>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</si>
  <si>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</si>
  <si>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</si>
  <si>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</si>
  <si>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</si>
  <si>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</si>
  <si>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</si>
  <si>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</si>
  <si>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</si>
  <si>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</si>
  <si>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</si>
  <si>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</si>
  <si>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</si>
  <si>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</si>
  <si>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</si>
  <si>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</si>
  <si>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</si>
  <si>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</si>
  <si>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</si>
  <si>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</si>
  <si>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</si>
  <si>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</si>
  <si>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</si>
  <si>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</si>
  <si>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</si>
  <si>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</si>
  <si>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</si>
  <si>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</si>
  <si>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</si>
  <si>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</si>
  <si>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</si>
  <si>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</si>
  <si>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</si>
  <si>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</si>
  <si>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</si>
  <si>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</si>
  <si>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</si>
  <si>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</si>
  <si>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</si>
  <si>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</si>
  <si>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</si>
  <si>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</si>
  <si>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</si>
  <si>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</si>
  <si>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</si>
  <si>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</si>
  <si>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</si>
  <si>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</si>
  <si>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</si>
  <si>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</si>
  <si>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</si>
  <si>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</si>
  <si>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</si>
  <si>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</si>
  <si>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</si>
  <si>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</si>
  <si>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</si>
  <si>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</si>
  <si>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</si>
  <si>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</si>
  <si>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</si>
  <si>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</si>
  <si>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</si>
  <si>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</si>
  <si>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</si>
  <si>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</si>
  <si>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</si>
  <si>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</si>
  <si>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</si>
  <si>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</si>
  <si>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</si>
  <si>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</si>
  <si>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</si>
  <si>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</si>
  <si>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</si>
  <si>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</si>
  <si>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</si>
  <si>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</si>
  <si>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</si>
  <si>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</si>
  <si>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</si>
  <si>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</si>
  <si>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</si>
  <si>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</si>
  <si>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</si>
  <si>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</si>
  <si>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</si>
  <si>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</si>
  <si>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</si>
  <si>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</si>
  <si>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</si>
  <si>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</si>
  <si>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</si>
  <si>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</si>
  <si>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</si>
  <si>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</si>
  <si>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</si>
  <si>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</si>
  <si>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</si>
  <si>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</si>
  <si>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</si>
  <si>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</si>
  <si>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</si>
  <si>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</si>
  <si>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</si>
  <si>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</si>
  <si>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</si>
  <si>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</si>
  <si>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</si>
  <si>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</si>
  <si>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</si>
  <si>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</si>
  <si>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</si>
  <si>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</si>
  <si>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</si>
  <si>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</si>
  <si>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</si>
  <si>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</si>
  <si>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</si>
  <si>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</si>
  <si>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</si>
  <si>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</si>
  <si>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</si>
  <si>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</si>
  <si>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</si>
  <si>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</si>
  <si>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</si>
  <si>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</si>
  <si>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</si>
  <si>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</si>
  <si>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</si>
  <si>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</si>
  <si>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</si>
  <si>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</si>
  <si>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</si>
  <si>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</si>
  <si>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</si>
  <si>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</si>
  <si>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</si>
  <si>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</si>
  <si>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</si>
  <si>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</si>
  <si>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</si>
  <si>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</si>
  <si>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</si>
  <si>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</si>
  <si>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</si>
  <si>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</si>
  <si>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</si>
  <si>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</si>
  <si>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</si>
  <si>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</si>
  <si>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</si>
  <si>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</si>
  <si>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</si>
  <si>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</si>
  <si>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</si>
  <si>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</si>
  <si>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</si>
  <si>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</si>
  <si>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</si>
  <si>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</si>
  <si>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</si>
  <si>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</si>
  <si>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</si>
  <si>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</si>
  <si>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</si>
  <si>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</si>
  <si>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</si>
  <si>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</si>
  <si>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</si>
  <si>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</si>
  <si>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</si>
  <si>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</si>
  <si>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</si>
  <si>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</si>
  <si>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</si>
  <si>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</si>
  <si>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</si>
  <si>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</si>
  <si>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</si>
  <si>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</si>
  <si>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</si>
  <si>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</si>
  <si>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</si>
  <si>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</si>
  <si>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</si>
  <si>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</si>
  <si>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</si>
  <si>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</si>
  <si>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</si>
  <si>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</si>
  <si>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</si>
  <si>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</si>
  <si>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</si>
  <si>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</si>
  <si>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</si>
  <si>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</si>
  <si>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</si>
  <si>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</si>
  <si>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</si>
  <si>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</si>
  <si>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</si>
  <si>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</si>
  <si>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</si>
  <si>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</si>
  <si>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</si>
  <si>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</si>
  <si>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</si>
  <si>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</si>
  <si>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</si>
  <si>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</si>
  <si>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</si>
  <si>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</si>
  <si>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</si>
  <si>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</si>
  <si>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</si>
  <si>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</si>
  <si>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</si>
  <si>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</si>
  <si>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</si>
  <si>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</si>
  <si>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</si>
  <si>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</si>
  <si>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</si>
  <si>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</si>
  <si>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</si>
  <si>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</si>
  <si>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</si>
  <si>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</si>
  <si>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</si>
  <si>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</si>
  <si>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</si>
  <si>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</si>
  <si>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</si>
  <si>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</si>
  <si>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</si>
  <si>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</si>
  <si>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</si>
  <si>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</si>
  <si>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</si>
  <si>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</si>
  <si>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</si>
  <si>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</si>
  <si>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</si>
  <si>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</si>
  <si>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</si>
  <si>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</si>
  <si>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</si>
  <si>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</si>
  <si>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</si>
  <si>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</si>
  <si>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</si>
  <si>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</si>
  <si>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</si>
  <si>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</si>
  <si>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</si>
  <si>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</si>
  <si>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</si>
  <si>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</si>
  <si>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</si>
  <si>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</si>
  <si>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</si>
  <si>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</si>
  <si>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</si>
  <si>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</si>
  <si>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</si>
  <si>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</si>
  <si>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</si>
  <si>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</si>
  <si>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</si>
  <si>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</si>
  <si>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</si>
  <si>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</si>
  <si>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</si>
  <si>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</si>
  <si>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</si>
  <si>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</si>
  <si>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</si>
  <si>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</si>
  <si>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</si>
  <si>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</si>
  <si>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</si>
  <si>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</si>
  <si>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</si>
  <si>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</si>
  <si>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</si>
  <si>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</si>
  <si>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</si>
  <si>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</si>
  <si>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</si>
  <si>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</si>
  <si>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</si>
  <si>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</si>
  <si>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</si>
  <si>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</si>
  <si>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</si>
  <si>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</si>
  <si>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</si>
  <si>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</si>
  <si>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</si>
  <si>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</si>
  <si>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</si>
  <si>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</si>
  <si>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</si>
  <si>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</si>
  <si>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</si>
  <si>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</si>
  <si>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</si>
  <si>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</si>
  <si>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</si>
  <si>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</si>
  <si>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</si>
  <si>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</si>
  <si>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</si>
  <si>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</si>
  <si>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</si>
  <si>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</si>
  <si>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</si>
  <si>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</si>
  <si>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</si>
  <si>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</si>
  <si>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</si>
  <si>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</si>
  <si>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</si>
  <si>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</si>
  <si>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</si>
  <si>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</si>
  <si>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</si>
  <si>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</si>
  <si>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</si>
  <si>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</si>
  <si>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</si>
  <si>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</si>
  <si>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</si>
  <si>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</si>
  <si>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</si>
  <si>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</si>
  <si>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</si>
  <si>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</si>
  <si>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</si>
  <si>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</si>
  <si>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</si>
  <si>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</si>
  <si>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</si>
  <si>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</si>
  <si>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</si>
  <si>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</si>
  <si>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</si>
  <si>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</si>
  <si>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</si>
  <si>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</si>
  <si>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</si>
  <si>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</si>
  <si>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</si>
  <si>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</si>
  <si>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</si>
  <si>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</si>
  <si>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</si>
  <si>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</si>
  <si>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</si>
  <si>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</si>
  <si>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</si>
  <si>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</si>
  <si>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</si>
  <si>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</si>
  <si>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</si>
  <si>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</si>
  <si>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</si>
  <si>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</si>
  <si>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</si>
  <si>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</si>
  <si>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</si>
  <si>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</si>
  <si>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</si>
  <si>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</si>
  <si>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</si>
  <si>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</si>
  <si>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</si>
  <si>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</si>
  <si>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</si>
  <si>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</si>
  <si>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</si>
  <si>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</si>
  <si>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</si>
  <si>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</si>
  <si>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</si>
  <si>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</si>
  <si>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</si>
  <si>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</si>
  <si>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</si>
  <si>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</si>
  <si>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</si>
  <si>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</si>
  <si>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</si>
  <si>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</si>
  <si>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</si>
  <si>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</si>
  <si>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</si>
  <si>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</si>
  <si>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</si>
  <si>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</si>
  <si>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</si>
  <si>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</si>
  <si>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</si>
  <si>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</si>
  <si>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</si>
  <si>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</si>
  <si>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</si>
  <si>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</si>
  <si>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</si>
  <si>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</si>
  <si>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</si>
  <si>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</si>
  <si>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</si>
  <si>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</si>
  <si>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</si>
  <si>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</si>
  <si>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</si>
  <si>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</si>
  <si>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</si>
  <si>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</si>
  <si>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</si>
  <si>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</si>
  <si>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</si>
  <si>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</si>
  <si>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</si>
  <si>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</si>
  <si>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</si>
  <si>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</si>
  <si>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</si>
  <si>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</si>
  <si>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</si>
  <si>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</si>
  <si>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</si>
  <si>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</si>
  <si>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</si>
  <si>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</si>
  <si>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</si>
  <si>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</si>
  <si>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</si>
  <si>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</si>
  <si>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</si>
  <si>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</si>
  <si>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</si>
  <si>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</si>
  <si>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</si>
  <si>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</si>
  <si>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</si>
  <si>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</si>
  <si>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</si>
  <si>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</si>
  <si>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</si>
  <si>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</si>
  <si>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</si>
  <si>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</si>
  <si>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</si>
  <si>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</si>
  <si>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</si>
  <si>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</si>
  <si>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</si>
  <si>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</si>
  <si>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</si>
  <si>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</si>
  <si>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</si>
  <si>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</si>
  <si>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</si>
  <si>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</si>
  <si>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</si>
  <si>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</si>
  <si>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</si>
  <si>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</si>
  <si>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</si>
  <si>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</si>
  <si>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</si>
  <si>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</si>
  <si>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</si>
  <si>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</si>
  <si>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</si>
  <si>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</si>
  <si>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</si>
  <si>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</si>
  <si>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</si>
  <si>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</si>
  <si>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</si>
  <si>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</si>
  <si>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</si>
  <si>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</si>
  <si>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</si>
  <si>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</si>
  <si>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</si>
  <si>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</si>
  <si>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</si>
  <si>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</si>
  <si>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</si>
  <si>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</si>
  <si>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</si>
  <si>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</si>
  <si>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</si>
  <si>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</si>
  <si>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</si>
  <si>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</si>
  <si>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</si>
  <si>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</si>
  <si>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</si>
  <si>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</si>
  <si>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</si>
  <si>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</si>
  <si>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</si>
  <si>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</si>
  <si>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</si>
  <si>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</si>
  <si>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</si>
  <si>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</si>
  <si>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</si>
  <si>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</si>
  <si>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</si>
  <si>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</si>
  <si>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</si>
  <si>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</si>
  <si>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</si>
  <si>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</si>
  <si>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</si>
  <si>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</si>
  <si>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</si>
  <si>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</si>
  <si>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</si>
  <si>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</si>
  <si>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</si>
  <si>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</si>
  <si>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</si>
  <si>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</si>
  <si>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</si>
  <si>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</si>
  <si>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</si>
  <si>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</si>
  <si>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</si>
  <si>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</si>
  <si>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</si>
  <si>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</si>
  <si>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</si>
  <si>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</si>
  <si>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</si>
  <si>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</si>
  <si>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</si>
  <si>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</si>
  <si>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</si>
  <si>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</si>
  <si>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</si>
  <si>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</si>
  <si>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</si>
  <si>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</si>
  <si>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</si>
  <si>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</si>
  <si>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</si>
  <si>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</si>
  <si>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</si>
  <si>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</si>
  <si>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</si>
  <si>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</si>
  <si>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</si>
  <si>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</si>
  <si>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</si>
  <si>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</si>
  <si>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</si>
  <si>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</si>
  <si>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</si>
  <si>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</si>
  <si>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</si>
  <si>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</si>
  <si>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</si>
  <si>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</si>
  <si>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</si>
  <si>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</si>
  <si>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</si>
  <si>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</si>
  <si>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</si>
  <si>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</si>
  <si>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</si>
  <si>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</si>
  <si>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</si>
  <si>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</si>
  <si>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</si>
  <si>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</si>
  <si>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</si>
  <si>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</si>
  <si>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</si>
  <si>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</si>
  <si>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</si>
  <si>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</si>
  <si>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</si>
  <si>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</si>
  <si>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</si>
  <si>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</si>
  <si>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</si>
  <si>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</si>
  <si>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</si>
  <si>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</si>
  <si>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</si>
  <si>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</si>
  <si>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</si>
  <si>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</si>
  <si>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</si>
  <si>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</si>
  <si>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</si>
  <si>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</si>
  <si>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</si>
  <si>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</si>
  <si>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</si>
  <si>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</si>
  <si>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</si>
  <si>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</si>
  <si>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</si>
  <si>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</si>
  <si>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</si>
  <si>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</si>
  <si>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</si>
  <si>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</si>
  <si>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</si>
  <si>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</si>
  <si>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</si>
  <si>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</si>
  <si>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</si>
  <si>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</si>
  <si>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</si>
  <si>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</si>
  <si>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</si>
  <si>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</si>
  <si>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</si>
  <si>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</si>
  <si>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</si>
  <si>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</si>
  <si>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</si>
  <si>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</si>
  <si>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</si>
  <si>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</si>
  <si>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</si>
  <si>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</si>
  <si>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</si>
  <si>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</si>
  <si>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</si>
  <si>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</si>
  <si>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</si>
  <si>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</si>
  <si>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</si>
  <si>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</si>
  <si>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</si>
  <si>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</si>
  <si>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</si>
  <si>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</si>
  <si>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</si>
  <si>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</si>
  <si>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</si>
  <si>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</si>
  <si>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</si>
  <si>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</si>
  <si>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</si>
  <si>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</si>
  <si>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</si>
  <si>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</si>
  <si>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</si>
  <si>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</si>
  <si>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</si>
  <si>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</si>
  <si>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</si>
  <si>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</si>
  <si>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</si>
  <si>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</si>
  <si>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</si>
  <si>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</si>
  <si>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</si>
  <si>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</si>
  <si>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</si>
  <si>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</si>
  <si>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</si>
  <si>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</si>
  <si>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</si>
  <si>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</si>
  <si>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</si>
  <si>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</si>
  <si>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</si>
  <si>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</si>
  <si>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</si>
  <si>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</si>
  <si>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</si>
  <si>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</si>
  <si>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</si>
  <si>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</si>
  <si>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</si>
  <si>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</si>
  <si>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</si>
  <si>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</si>
  <si>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</si>
  <si>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</si>
  <si>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</si>
  <si>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</si>
  <si>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</si>
  <si>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</si>
  <si>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</si>
  <si>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</si>
  <si>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</si>
  <si>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</si>
  <si>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</si>
  <si>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</si>
  <si>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</si>
  <si>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</si>
  <si>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</si>
  <si>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</si>
  <si>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</si>
  <si>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</si>
  <si>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</si>
  <si>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</si>
  <si>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</si>
  <si>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</si>
  <si>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</si>
  <si>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</si>
  <si>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</si>
  <si>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</si>
  <si>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</si>
  <si>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</si>
  <si>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</si>
  <si>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</si>
  <si>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</si>
  <si>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</si>
  <si>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</si>
  <si>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</si>
  <si>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</si>
  <si>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</si>
  <si>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</si>
  <si>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</si>
  <si>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</si>
  <si>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</si>
  <si>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</si>
  <si>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</si>
  <si>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</si>
  <si>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</si>
  <si>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</si>
  <si>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</si>
  <si>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</si>
  <si>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</si>
  <si>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</si>
  <si>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</si>
  <si>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</si>
  <si>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</si>
  <si>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</si>
  <si>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</si>
  <si>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</si>
  <si>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</si>
  <si>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</si>
  <si>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</si>
  <si>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</si>
  <si>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</si>
  <si>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</si>
  <si>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</si>
  <si>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</si>
  <si>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</si>
  <si>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</si>
  <si>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</si>
  <si>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</si>
  <si>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</si>
  <si>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</si>
  <si>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</si>
  <si>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</si>
  <si>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</si>
  <si>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</si>
  <si>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</si>
  <si>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</si>
  <si>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</si>
  <si>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</si>
  <si>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</si>
  <si>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</si>
  <si>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</si>
  <si>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</si>
  <si>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</si>
  <si>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</si>
  <si>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</si>
  <si>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</si>
  <si>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</si>
  <si>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</si>
  <si>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</si>
  <si>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</si>
  <si>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</si>
  <si>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</si>
  <si>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</si>
  <si>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</si>
  <si>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</si>
  <si>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</si>
  <si>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</si>
  <si>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</si>
  <si>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</si>
  <si>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</si>
  <si>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</si>
  <si>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</si>
  <si>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</si>
  <si>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</si>
  <si>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</si>
  <si>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</si>
  <si>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</si>
  <si>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</si>
  <si>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</si>
  <si>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</si>
  <si>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</si>
  <si>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</si>
  <si>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</si>
  <si>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</si>
  <si>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</si>
  <si>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</si>
  <si>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</si>
  <si>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</si>
  <si>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</si>
  <si>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</si>
  <si>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</si>
  <si>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</si>
  <si>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</si>
  <si>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</si>
  <si>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</si>
  <si>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</si>
  <si>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</si>
  <si>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</si>
  <si>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</si>
  <si>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</si>
  <si>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</si>
  <si>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</si>
  <si>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</si>
  <si>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</si>
  <si>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</si>
  <si>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</si>
  <si>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</si>
  <si>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</si>
  <si>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</si>
  <si>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</si>
  <si>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</si>
  <si>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</si>
  <si>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</si>
  <si>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</si>
  <si>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</si>
  <si>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</si>
  <si>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</si>
  <si>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</si>
  <si>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</si>
  <si>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</si>
  <si>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</si>
  <si>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</si>
  <si>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</si>
  <si>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</si>
  <si>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</si>
  <si>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</si>
  <si>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</si>
  <si>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</si>
  <si>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</si>
  <si>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</si>
  <si>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</si>
  <si>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</si>
  <si>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</si>
  <si>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</si>
  <si>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</si>
  <si>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</si>
  <si>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</si>
  <si>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</si>
  <si>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</si>
  <si>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</si>
  <si>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</si>
  <si>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</si>
  <si>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</si>
  <si>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</si>
  <si>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</si>
  <si>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</si>
  <si>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</si>
  <si>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</si>
  <si>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</si>
  <si>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</si>
  <si>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</si>
  <si>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</si>
  <si>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</si>
  <si>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</si>
  <si>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</si>
  <si>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</si>
  <si>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</si>
  <si>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</si>
  <si>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</si>
  <si>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</si>
  <si>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</si>
  <si>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</si>
  <si>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</si>
  <si>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</si>
  <si>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</si>
  <si>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</si>
  <si>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</si>
  <si>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</si>
  <si>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</si>
  <si>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</si>
  <si>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</si>
  <si>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</si>
  <si>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</si>
  <si>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</si>
  <si>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</si>
  <si>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</si>
  <si>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</si>
  <si>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</si>
  <si>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</si>
  <si>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</si>
  <si>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</si>
  <si>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</si>
  <si>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</si>
  <si>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</si>
  <si>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</si>
  <si>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</si>
  <si>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</si>
  <si>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</si>
  <si>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</si>
  <si>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</si>
  <si>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</si>
  <si>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</si>
  <si>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</si>
  <si>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</si>
  <si>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</si>
  <si>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</si>
  <si>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</si>
  <si>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</si>
  <si>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</si>
  <si>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</si>
  <si>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</si>
  <si>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</si>
  <si>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</si>
  <si>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</si>
  <si>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</si>
  <si>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</si>
  <si>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</si>
  <si>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</si>
  <si>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</si>
  <si>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</si>
  <si>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</si>
  <si>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</si>
  <si>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</si>
  <si>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</si>
  <si>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</si>
  <si>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</si>
  <si>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</si>
  <si>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</si>
  <si>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</si>
  <si>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</si>
  <si>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</si>
  <si>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</si>
  <si>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</si>
  <si>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</si>
  <si>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</si>
  <si>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</si>
  <si>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</si>
  <si>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</si>
  <si>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</si>
  <si>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</si>
  <si>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</si>
  <si>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</si>
  <si>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</si>
  <si>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</si>
  <si>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</si>
  <si>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</si>
  <si>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</si>
  <si>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</si>
  <si>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</si>
  <si>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</si>
  <si>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</si>
  <si>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</si>
  <si>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</si>
  <si>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</si>
  <si>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</si>
  <si>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</si>
  <si>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</si>
  <si>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</si>
  <si>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</si>
  <si>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</si>
  <si>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</si>
  <si>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</si>
  <si>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</si>
  <si>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</si>
  <si>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</si>
  <si>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</si>
  <si>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</si>
  <si>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</si>
  <si>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</si>
  <si>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</si>
  <si>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</si>
  <si>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</si>
  <si>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</si>
  <si>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</si>
  <si>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</si>
  <si>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</si>
  <si>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</si>
  <si>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</si>
  <si>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</si>
  <si>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</si>
  <si>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</si>
  <si>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</si>
  <si>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</si>
  <si>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</si>
  <si>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</si>
  <si>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</si>
  <si>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</si>
  <si>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</si>
  <si>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</si>
  <si>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</si>
  <si>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</si>
  <si>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</si>
  <si>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</si>
  <si>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</si>
  <si>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</si>
  <si>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</si>
  <si>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</si>
  <si>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</si>
  <si>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</si>
  <si>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</si>
  <si>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</si>
  <si>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</si>
  <si>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</si>
  <si>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</si>
  <si>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</si>
  <si>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</si>
  <si>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</si>
  <si>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</si>
  <si>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</si>
  <si>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</si>
  <si>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</si>
  <si>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</si>
  <si>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</si>
  <si>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</si>
  <si>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</si>
  <si>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</si>
  <si>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</si>
  <si>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</si>
  <si>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</si>
  <si>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</si>
  <si>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</si>
  <si>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</si>
  <si>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</si>
  <si>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</si>
  <si>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</si>
  <si>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</si>
  <si>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</si>
  <si>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</si>
  <si>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</si>
  <si>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</si>
  <si>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</si>
  <si>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</si>
  <si>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</si>
  <si>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</si>
  <si>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</si>
  <si>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</si>
  <si>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</si>
  <si>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</si>
  <si>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</si>
  <si>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</si>
  <si>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</si>
  <si>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</si>
  <si>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</si>
  <si>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</si>
  <si>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</si>
  <si>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</si>
  <si>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</si>
  <si>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</si>
  <si>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</si>
  <si>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</si>
  <si>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</si>
  <si>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</si>
  <si>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</si>
  <si>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</si>
  <si>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</si>
  <si>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</si>
  <si>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</si>
  <si>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</si>
  <si>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</si>
  <si>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</si>
  <si>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</si>
  <si>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</si>
  <si>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</si>
  <si>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</si>
  <si>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</si>
  <si>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</si>
  <si>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</si>
  <si>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</si>
  <si>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</si>
  <si>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</si>
  <si>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</si>
  <si>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</si>
  <si>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</si>
  <si>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</si>
  <si>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</si>
  <si>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</si>
  <si>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</si>
  <si>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</si>
  <si>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</si>
  <si>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</si>
  <si>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</si>
  <si>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</si>
  <si>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</si>
  <si>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</si>
  <si>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</si>
  <si>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</si>
  <si>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</si>
  <si>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</si>
  <si>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</si>
  <si>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</si>
  <si>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</si>
  <si>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</si>
  <si>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</si>
  <si>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</si>
  <si>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</si>
  <si>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</si>
  <si>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</si>
  <si>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</si>
  <si>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</si>
  <si>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</si>
  <si>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</si>
  <si>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</si>
  <si>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</si>
  <si>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</si>
  <si>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</si>
  <si>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</si>
  <si>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</si>
  <si>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</si>
  <si>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</si>
  <si>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</si>
  <si>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</si>
  <si>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</si>
  <si>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</si>
  <si>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</si>
  <si>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</si>
  <si>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</si>
  <si>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</si>
  <si>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</si>
  <si>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</si>
  <si>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</si>
  <si>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</si>
  <si>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</si>
  <si>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</si>
  <si>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</si>
  <si>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</si>
  <si>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</si>
  <si>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</si>
  <si>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</si>
  <si>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</si>
  <si>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</si>
  <si>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</si>
  <si>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</si>
  <si>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</si>
  <si>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</si>
  <si>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</si>
  <si>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</si>
  <si>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</si>
  <si>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</si>
  <si>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</si>
  <si>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</si>
  <si>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</si>
  <si>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</si>
  <si>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</si>
  <si>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</si>
  <si>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</si>
  <si>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</si>
  <si>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</si>
  <si>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</si>
  <si>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</si>
  <si>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</si>
  <si>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</si>
  <si>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</si>
  <si>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</si>
  <si>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</si>
  <si>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</si>
  <si>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</si>
  <si>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</si>
  <si>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</si>
  <si>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</si>
  <si>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</si>
  <si>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</si>
  <si>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</si>
  <si>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</si>
  <si>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</si>
  <si>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</si>
  <si>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</si>
  <si>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</si>
  <si>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</si>
  <si>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</si>
  <si>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</si>
  <si>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</si>
  <si>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</si>
  <si>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</si>
  <si>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</si>
  <si>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</si>
  <si>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</si>
  <si>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</si>
  <si>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</si>
  <si>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</si>
  <si>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</si>
  <si>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</si>
  <si>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</si>
  <si>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</si>
  <si>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</si>
  <si>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</si>
  <si>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</si>
  <si>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</si>
  <si>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</si>
  <si>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</si>
  <si>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</si>
  <si>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</si>
  <si>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</si>
  <si>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</si>
  <si>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</si>
  <si>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</si>
  <si>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</si>
  <si>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</si>
  <si>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</si>
  <si>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</si>
  <si>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</si>
  <si>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</si>
  <si>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</si>
  <si>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</si>
  <si>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</si>
  <si>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</si>
  <si>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</si>
  <si>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</si>
  <si>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</si>
  <si>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</si>
  <si>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</si>
  <si>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</si>
  <si>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</si>
  <si>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</si>
  <si>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</si>
  <si>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</si>
  <si>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</si>
  <si>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</si>
  <si>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</si>
  <si>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</si>
  <si>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</si>
  <si>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</si>
  <si>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</si>
  <si>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</si>
  <si>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</si>
  <si>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</si>
  <si>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</si>
  <si>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</si>
  <si>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</si>
  <si>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</si>
  <si>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</si>
  <si>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</si>
  <si>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</si>
  <si>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</si>
  <si>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</si>
  <si>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</si>
  <si>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</si>
  <si>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</si>
  <si>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</si>
  <si>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</si>
  <si>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</si>
  <si>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</si>
  <si>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</si>
  <si>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</si>
  <si>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</si>
  <si>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</si>
  <si>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</si>
  <si>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</si>
  <si>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</si>
  <si>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</si>
  <si>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</si>
  <si>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</si>
  <si>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</si>
  <si>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</si>
  <si>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</si>
  <si>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</si>
  <si>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</si>
  <si>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</si>
  <si>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</si>
  <si>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</si>
  <si>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</si>
  <si>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</si>
  <si>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</si>
  <si>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</si>
  <si>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</si>
  <si>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</si>
  <si>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</si>
  <si>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</si>
  <si>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</si>
  <si>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</si>
  <si>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</si>
  <si>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</si>
  <si>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</si>
  <si>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</si>
  <si>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</si>
  <si>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</si>
  <si>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</si>
  <si>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</si>
  <si>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</si>
  <si>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</si>
  <si>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</si>
  <si>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</si>
  <si>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</si>
  <si>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</si>
  <si>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</si>
  <si>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</si>
  <si>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</si>
  <si>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</si>
  <si>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</si>
  <si>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</si>
  <si>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</si>
  <si>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</si>
  <si>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</si>
  <si>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</si>
  <si>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</si>
  <si>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</si>
  <si>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</si>
  <si>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</si>
  <si>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</si>
  <si>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</si>
  <si>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</si>
  <si>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</si>
  <si>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</si>
  <si>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</si>
  <si>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</si>
  <si>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</si>
  <si>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</si>
  <si>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</si>
  <si>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</si>
  <si>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</si>
  <si>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</si>
  <si>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</si>
  <si>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</si>
  <si>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</si>
  <si>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</si>
  <si>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</si>
  <si>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</si>
  <si>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</si>
  <si>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</si>
  <si>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</si>
  <si>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</si>
  <si>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</si>
  <si>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</si>
  <si>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</si>
  <si>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</si>
  <si>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</si>
  <si>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</si>
  <si>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</si>
  <si>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</si>
  <si>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</si>
  <si>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</si>
  <si>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</si>
  <si>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</si>
  <si>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</si>
  <si>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</si>
  <si>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</si>
  <si>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</si>
  <si>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</si>
  <si>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</si>
  <si>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</si>
  <si>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</si>
  <si>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</si>
  <si>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</si>
  <si>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</si>
  <si>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</si>
  <si>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</si>
  <si>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</si>
  <si>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</si>
  <si>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</si>
  <si>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</si>
  <si>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</si>
  <si>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</si>
  <si>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</si>
  <si>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</si>
  <si>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</si>
  <si>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</si>
  <si>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</si>
  <si>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</si>
  <si>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</si>
  <si>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</si>
  <si>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</si>
  <si>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</si>
  <si>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</si>
  <si>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</si>
  <si>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</si>
  <si>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</si>
  <si>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</si>
  <si>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</si>
  <si>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</si>
  <si>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</si>
  <si>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</si>
  <si>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</si>
  <si>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</si>
  <si>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</si>
  <si>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</si>
  <si>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</si>
  <si>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</si>
  <si>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</si>
  <si>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</si>
  <si>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</si>
  <si>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</si>
  <si>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</si>
  <si>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</si>
  <si>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</si>
  <si>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</si>
  <si>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</si>
  <si>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</si>
  <si>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</si>
  <si>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</si>
  <si>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</si>
  <si>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</si>
  <si>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</si>
  <si>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</si>
  <si>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</si>
  <si>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</si>
  <si>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</si>
  <si>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</si>
  <si>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</si>
  <si>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</si>
  <si>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</si>
  <si>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</si>
  <si>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</si>
  <si>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</si>
  <si>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</si>
  <si>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</si>
  <si>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</si>
  <si>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</si>
  <si>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</si>
  <si>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</si>
  <si>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</si>
  <si>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</si>
  <si>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</si>
  <si>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</si>
  <si>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</si>
  <si>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</si>
  <si>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</si>
  <si>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</si>
  <si>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</si>
  <si>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</si>
  <si>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</si>
  <si>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</si>
  <si>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</si>
  <si>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</si>
  <si>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</si>
  <si>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</si>
  <si>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</si>
  <si>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</si>
  <si>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</si>
  <si>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</si>
  <si>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</si>
  <si>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</si>
  <si>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</si>
  <si>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</si>
  <si>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</si>
  <si>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</si>
  <si>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</si>
  <si>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</si>
  <si>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</si>
  <si>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</si>
  <si>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</si>
  <si>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</si>
  <si>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</si>
  <si>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</si>
  <si>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</si>
  <si>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</si>
  <si>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</si>
  <si>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</si>
  <si>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</si>
  <si>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</si>
  <si>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</si>
  <si>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</si>
  <si>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</si>
  <si>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</si>
  <si>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</si>
  <si>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</si>
  <si>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</si>
  <si>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</si>
  <si>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</si>
  <si>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</si>
  <si>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</si>
  <si>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</si>
  <si>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</si>
  <si>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</si>
  <si>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</si>
  <si>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</si>
  <si>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</si>
  <si>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</si>
  <si>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</si>
  <si>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</si>
  <si>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</si>
  <si>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</si>
  <si>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</si>
  <si>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</si>
  <si>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</si>
  <si>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</si>
  <si>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</si>
  <si>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</si>
  <si>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</si>
  <si>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</si>
  <si>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</si>
  <si>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</si>
  <si>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</si>
  <si>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</si>
  <si>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</si>
  <si>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</si>
  <si>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</si>
  <si>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</si>
  <si>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</si>
  <si>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</si>
  <si>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</si>
  <si>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</si>
  <si>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</si>
  <si>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</si>
  <si>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</si>
  <si>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</si>
  <si>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</si>
  <si>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</si>
  <si>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</si>
  <si>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</si>
  <si>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</si>
  <si>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</si>
  <si>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</si>
  <si>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</si>
  <si>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</si>
  <si>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</si>
  <si>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</si>
  <si>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</si>
  <si>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</si>
  <si>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</si>
  <si>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</si>
  <si>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</si>
  <si>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</si>
  <si>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</si>
  <si>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</si>
  <si>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</si>
  <si>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</si>
  <si>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</si>
  <si>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</si>
  <si>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</si>
  <si>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</si>
  <si>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</si>
  <si>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</si>
  <si>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</si>
  <si>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</si>
  <si>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</si>
  <si>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</si>
  <si>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</si>
  <si>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</si>
  <si>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</si>
  <si>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</si>
  <si>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</si>
  <si>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</si>
  <si>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</si>
  <si>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</si>
  <si>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</si>
  <si>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</si>
  <si>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</si>
  <si>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</si>
  <si>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</si>
  <si>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</si>
  <si>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</si>
  <si>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</si>
  <si>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</si>
  <si>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</si>
  <si>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</si>
  <si>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</si>
  <si>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</si>
  <si>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</si>
  <si>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</si>
  <si>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</si>
  <si>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</si>
  <si>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</si>
  <si>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</si>
  <si>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</si>
  <si>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</si>
  <si>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</si>
  <si>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</si>
  <si>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</si>
  <si>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</si>
  <si>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</si>
  <si>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</si>
  <si>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</si>
  <si>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</si>
  <si>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</si>
  <si>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</si>
  <si>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</si>
  <si>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</si>
  <si>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</si>
  <si>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</si>
  <si>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</si>
  <si>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</si>
  <si>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</si>
  <si>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</si>
  <si>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</si>
  <si>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</si>
  <si>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</si>
  <si>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</si>
  <si>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</si>
  <si>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</si>
  <si>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</si>
  <si>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</si>
  <si>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</si>
  <si>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</si>
  <si>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</si>
  <si>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</si>
  <si>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</si>
  <si>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</si>
  <si>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</si>
  <si>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</si>
  <si>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</si>
  <si>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</si>
  <si>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</si>
  <si>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</si>
  <si>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</si>
  <si>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</si>
  <si>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</si>
  <si>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</si>
  <si>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</si>
  <si>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</si>
  <si>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</si>
  <si>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</si>
  <si>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</si>
  <si>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</si>
  <si>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</si>
  <si>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</si>
  <si>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</si>
  <si>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</si>
  <si>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</si>
  <si>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</si>
  <si>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</si>
  <si>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</si>
  <si>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</si>
  <si>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</si>
  <si>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</si>
  <si>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</si>
  <si>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</si>
  <si>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</si>
  <si>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</si>
  <si>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</si>
  <si>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</si>
  <si>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</si>
  <si>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</si>
  <si>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</si>
  <si>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</si>
  <si>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</si>
  <si>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</si>
  <si>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</si>
  <si>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</si>
  <si>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</si>
  <si>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</si>
  <si>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</si>
  <si>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</si>
  <si>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</si>
  <si>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</si>
  <si>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</si>
  <si>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</si>
  <si>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</si>
  <si>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</si>
  <si>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</si>
  <si>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</si>
  <si>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</si>
  <si>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</si>
  <si>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</si>
  <si>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</si>
  <si>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</si>
  <si>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</si>
  <si>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</si>
  <si>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</si>
  <si>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</si>
  <si>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</si>
  <si>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</si>
  <si>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</si>
  <si>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</si>
  <si>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</si>
  <si>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</si>
  <si>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</si>
  <si>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</si>
  <si>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</si>
  <si>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</si>
  <si>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</si>
  <si>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</si>
  <si>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</si>
  <si>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</si>
  <si>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</si>
  <si>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</si>
  <si>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</si>
  <si>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</si>
  <si>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</si>
  <si>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</si>
  <si>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</si>
  <si>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</si>
  <si>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</si>
  <si>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</si>
  <si>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</si>
  <si>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</si>
  <si>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</si>
  <si>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</si>
  <si>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</si>
  <si>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</si>
  <si>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</si>
  <si>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</si>
  <si>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</si>
  <si>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</si>
  <si>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</si>
  <si>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</si>
  <si>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</si>
  <si>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</si>
  <si>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</si>
  <si>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</si>
  <si>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</si>
  <si>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</si>
  <si>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</si>
  <si>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</si>
  <si>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</si>
  <si>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</si>
  <si>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</si>
  <si>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</si>
  <si>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</si>
  <si>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</si>
  <si>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</si>
  <si>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</si>
  <si>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</si>
  <si>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</si>
  <si>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</si>
  <si>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</si>
  <si>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</si>
  <si>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</si>
  <si>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</si>
  <si>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</si>
  <si>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</si>
  <si>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</si>
  <si>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</si>
  <si>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</si>
  <si>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</si>
  <si>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</si>
  <si>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</si>
  <si>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</si>
  <si>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</si>
  <si>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</si>
  <si>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</si>
  <si>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</si>
  <si>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</si>
  <si>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</si>
  <si>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</si>
  <si>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</si>
  <si>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</si>
  <si>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</si>
  <si>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</si>
  <si>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</si>
  <si>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</si>
  <si>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</si>
  <si>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</si>
  <si>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</si>
  <si>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</si>
  <si>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</si>
  <si>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</si>
  <si>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</si>
  <si>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</si>
  <si>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</si>
  <si>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</si>
  <si>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</si>
  <si>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</si>
  <si>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</si>
  <si>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</si>
  <si>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</si>
  <si>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</si>
  <si>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</si>
  <si>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</si>
  <si>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</si>
  <si>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</si>
  <si>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</si>
  <si>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</si>
  <si>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</si>
  <si>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</si>
  <si>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</si>
  <si>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</si>
  <si>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</si>
  <si>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</si>
  <si>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</si>
  <si>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</si>
  <si>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</si>
  <si>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</si>
  <si>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</si>
  <si>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</si>
  <si>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</si>
  <si>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</si>
  <si>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</si>
  <si>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</si>
  <si>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</si>
  <si>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</si>
  <si>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</si>
  <si>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</si>
  <si>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</si>
  <si>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</si>
  <si>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</si>
  <si>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</si>
  <si>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</si>
  <si>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</si>
  <si>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</si>
  <si>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</si>
  <si>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</si>
  <si>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</si>
  <si>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</si>
  <si>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</si>
  <si>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</si>
  <si>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</si>
  <si>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</si>
  <si>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</si>
  <si>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</si>
  <si>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</si>
  <si>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</si>
  <si>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</si>
  <si>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</si>
  <si>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</si>
  <si>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</si>
  <si>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</si>
  <si>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</si>
  <si>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</si>
  <si>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</si>
  <si>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</si>
  <si>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</si>
  <si>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</si>
  <si>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</si>
  <si>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</si>
  <si>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</si>
  <si>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</si>
  <si>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</si>
  <si>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</si>
  <si>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</si>
  <si>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</si>
  <si>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</si>
  <si>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</si>
  <si>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</si>
  <si>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</si>
  <si>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</si>
  <si>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</si>
  <si>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</si>
  <si>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</si>
  <si>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</si>
  <si>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</si>
  <si>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</si>
  <si>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</si>
  <si>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</si>
  <si>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</si>
  <si>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</si>
  <si>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</si>
  <si>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</si>
  <si>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</si>
  <si>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</si>
  <si>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</si>
  <si>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</si>
  <si>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</si>
  <si>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</si>
  <si>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</si>
  <si>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</si>
  <si>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</si>
  <si>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</si>
  <si>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</si>
  <si>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</si>
  <si>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</si>
  <si>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</si>
  <si>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</si>
  <si>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</si>
  <si>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</si>
  <si>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</si>
  <si>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</si>
  <si>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</si>
  <si>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</si>
  <si>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</si>
  <si>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</si>
  <si>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</si>
  <si>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</si>
  <si>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</si>
  <si>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</si>
  <si>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</si>
  <si>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</si>
  <si>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</si>
  <si>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</si>
  <si>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</si>
  <si>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</si>
  <si>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</si>
  <si>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</si>
  <si>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</si>
  <si>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</si>
  <si>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</si>
  <si>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</si>
  <si>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</si>
  <si>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</si>
  <si>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</si>
  <si>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</si>
  <si>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</si>
  <si>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</si>
  <si>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</si>
  <si>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</si>
  <si>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</si>
  <si>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</si>
  <si>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</si>
  <si>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</si>
  <si>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</si>
  <si>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</si>
  <si>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</si>
  <si>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</si>
  <si>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</si>
  <si>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</si>
  <si>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</si>
  <si>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</si>
  <si>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</si>
  <si>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</si>
  <si>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</si>
  <si>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</si>
  <si>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</si>
  <si>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</si>
  <si>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</si>
  <si>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</si>
  <si>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</si>
  <si>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</si>
  <si>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</si>
  <si>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</si>
  <si>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</si>
  <si>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</si>
  <si>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</si>
  <si>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</si>
  <si>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</si>
  <si>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</si>
  <si>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</si>
  <si>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</si>
  <si>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</si>
  <si>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</si>
  <si>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</si>
  <si>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</si>
  <si>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</si>
  <si>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</si>
  <si>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</si>
  <si>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</si>
  <si>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</si>
  <si>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</si>
  <si>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</si>
  <si>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</si>
  <si>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</si>
  <si>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</si>
  <si>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</si>
  <si>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</si>
  <si>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</si>
  <si>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</si>
  <si>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</si>
  <si>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</si>
  <si>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</si>
  <si>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</si>
  <si>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</si>
  <si>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</si>
  <si>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</si>
  <si>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</si>
  <si>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</si>
  <si>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</si>
  <si>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</si>
  <si>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</si>
  <si>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</si>
  <si>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</si>
  <si>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</si>
  <si>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</si>
  <si>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</si>
  <si>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</si>
  <si>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</si>
  <si>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</si>
  <si>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</si>
  <si>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</si>
  <si>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</si>
  <si>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</si>
  <si>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</si>
  <si>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</si>
  <si>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</si>
  <si>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</si>
  <si>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</si>
  <si>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</si>
  <si>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</si>
  <si>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</si>
  <si>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</si>
  <si>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</si>
  <si>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</si>
  <si>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</si>
  <si>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</si>
  <si>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</si>
  <si>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</si>
  <si>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</si>
  <si>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</si>
  <si>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</si>
  <si>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</si>
  <si>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</si>
  <si>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</si>
  <si>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</si>
  <si>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</si>
  <si>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</si>
  <si>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</si>
  <si>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</si>
  <si>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</si>
  <si>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</si>
  <si>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</si>
  <si>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</si>
  <si>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</si>
  <si>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</si>
  <si>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</si>
  <si>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</si>
  <si>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</si>
  <si>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</si>
  <si>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</si>
  <si>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</si>
  <si>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</si>
  <si>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</si>
  <si>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</si>
  <si>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</si>
  <si>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</si>
  <si>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</si>
  <si>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</si>
  <si>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</si>
  <si>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</si>
  <si>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</si>
  <si>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</si>
  <si>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</si>
  <si>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</si>
  <si>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</si>
  <si>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</si>
  <si>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</si>
  <si>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</si>
  <si>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</si>
  <si>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</si>
  <si>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</si>
  <si>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</si>
  <si>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</si>
  <si>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</si>
  <si>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</si>
  <si>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</si>
  <si>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</si>
  <si>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</si>
  <si>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</si>
  <si>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</si>
  <si>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</si>
  <si>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</si>
  <si>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</si>
  <si>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</si>
  <si>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</si>
  <si>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</si>
  <si>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</si>
  <si>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</si>
  <si>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</si>
  <si>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</si>
  <si>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</si>
  <si>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</si>
  <si>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</si>
  <si>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</si>
  <si>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</si>
  <si>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</si>
  <si>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</si>
  <si>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</si>
  <si>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</si>
  <si>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</si>
  <si>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</si>
  <si>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</si>
  <si>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</si>
  <si>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</si>
  <si>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</si>
  <si>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</si>
  <si>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</si>
  <si>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</si>
  <si>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</si>
  <si>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</si>
  <si>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</si>
  <si>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</si>
  <si>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</si>
  <si>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</si>
  <si>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</si>
  <si>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</si>
  <si>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</si>
  <si>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</si>
  <si>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</si>
  <si>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</si>
  <si>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</si>
  <si>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</si>
  <si>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</si>
  <si>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</si>
  <si>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</si>
  <si>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</si>
  <si>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</si>
  <si>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</si>
  <si>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</si>
  <si>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</si>
  <si>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</si>
  <si>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</si>
  <si>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</si>
  <si>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</si>
  <si>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</si>
  <si>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</si>
  <si>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</si>
  <si>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</si>
  <si>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</si>
  <si>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</si>
  <si>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</si>
  <si>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</si>
  <si>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</si>
  <si>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</si>
  <si>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</si>
  <si>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</si>
  <si>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</si>
  <si>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</si>
  <si>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</si>
  <si>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</si>
  <si>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</si>
  <si>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</si>
  <si>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</si>
  <si>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</si>
  <si>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</si>
  <si>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</si>
  <si>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</si>
  <si>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</si>
  <si>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</si>
  <si>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</si>
  <si>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</si>
  <si>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</si>
  <si>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</si>
  <si>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</si>
  <si>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</si>
  <si>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</si>
  <si>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</si>
  <si>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</si>
  <si>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</si>
  <si>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</si>
  <si>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</si>
  <si>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</si>
  <si>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</si>
  <si>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</si>
  <si>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</si>
  <si>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</si>
  <si>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</si>
  <si>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</si>
  <si>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</si>
  <si>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</si>
  <si>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</si>
  <si>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</si>
  <si>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</si>
  <si>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</si>
  <si>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</si>
  <si>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</si>
  <si>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</si>
  <si>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</si>
  <si>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</si>
  <si>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</si>
  <si>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</si>
  <si>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</si>
  <si>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</si>
  <si>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</si>
  <si>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</si>
  <si>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</si>
  <si>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</si>
  <si>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</si>
  <si>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</si>
  <si>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</si>
  <si>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</si>
  <si>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</si>
  <si>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</si>
  <si>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</si>
  <si>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</si>
  <si>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</si>
  <si>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</si>
  <si>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</si>
  <si>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</si>
  <si>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</si>
  <si>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</si>
  <si>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</si>
  <si>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</si>
  <si>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</si>
  <si>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</si>
  <si>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</si>
  <si>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</si>
  <si>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</si>
  <si>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</si>
  <si>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</si>
  <si>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</si>
  <si>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</si>
  <si>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</si>
  <si>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</si>
  <si>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</si>
  <si>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</si>
  <si>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</si>
  <si>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</si>
  <si>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</si>
  <si>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</si>
  <si>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</si>
  <si>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</si>
  <si>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</si>
  <si>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</si>
  <si>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</si>
  <si>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</si>
  <si>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</si>
  <si>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</si>
  <si>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</si>
  <si>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</si>
  <si>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</si>
  <si>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</si>
  <si>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</si>
  <si>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</si>
  <si>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</si>
  <si>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</si>
  <si>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</si>
  <si>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</si>
  <si>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</si>
  <si>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</si>
  <si>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</si>
  <si>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</si>
  <si>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</si>
  <si>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</si>
  <si>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</si>
  <si>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</si>
  <si>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</si>
  <si>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</si>
  <si>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</si>
  <si>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</si>
  <si>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</si>
  <si>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</si>
  <si>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</si>
  <si>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</si>
  <si>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</si>
  <si>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</si>
  <si>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</si>
  <si>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</si>
  <si>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</si>
  <si>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</si>
  <si>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</si>
  <si>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</si>
  <si>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</si>
  <si>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</si>
  <si>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</si>
  <si>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</si>
  <si>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</si>
  <si>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</si>
  <si>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</si>
  <si>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</si>
  <si>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</si>
  <si>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</si>
  <si>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</si>
  <si>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</si>
  <si>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</si>
  <si>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</si>
  <si>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</si>
  <si>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</si>
  <si>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</si>
  <si>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</si>
  <si>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</si>
  <si>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</si>
  <si>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</si>
  <si>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</si>
  <si>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</si>
  <si>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</si>
  <si>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</si>
  <si>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</si>
  <si>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</si>
  <si>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</si>
  <si>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</si>
  <si>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</si>
  <si>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</si>
  <si>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</si>
  <si>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</si>
  <si>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</si>
  <si>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</si>
  <si>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</si>
  <si>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</si>
  <si>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</si>
  <si>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</si>
  <si>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</si>
  <si>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</si>
  <si>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</si>
  <si>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</si>
  <si>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</si>
  <si>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</si>
  <si>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</si>
  <si>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</si>
  <si>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</si>
  <si>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</si>
  <si>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</si>
  <si>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</si>
  <si>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</si>
  <si>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</si>
  <si>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</si>
  <si>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</si>
  <si>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</si>
  <si>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</si>
  <si>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</si>
  <si>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</si>
  <si>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</si>
  <si>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</si>
  <si>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</si>
  <si>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</si>
  <si>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</si>
  <si>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</si>
  <si>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</si>
  <si>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</si>
  <si>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</si>
  <si>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</si>
  <si>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</si>
  <si>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</si>
  <si>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</si>
  <si>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</si>
  <si>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</si>
  <si>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</si>
  <si>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</si>
  <si>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</si>
  <si>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</si>
  <si>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</si>
  <si>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</si>
  <si>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</si>
  <si>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</si>
  <si>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</si>
  <si>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</si>
  <si>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</si>
  <si>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</si>
  <si>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</si>
  <si>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</si>
  <si>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</si>
  <si>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</si>
  <si>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</si>
  <si>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</si>
  <si>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</si>
  <si>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</si>
  <si>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</si>
  <si>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</si>
  <si>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</si>
  <si>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</si>
  <si>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</si>
  <si>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</si>
  <si>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</si>
  <si>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</si>
  <si>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</si>
  <si>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</si>
  <si>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</si>
  <si>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</si>
  <si>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</si>
  <si>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</si>
  <si>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</si>
  <si>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</si>
  <si>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</si>
  <si>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</si>
  <si>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</si>
  <si>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</si>
  <si>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</si>
  <si>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</si>
  <si>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</si>
  <si>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</si>
  <si>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</si>
  <si>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</si>
  <si>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</si>
  <si>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</si>
  <si>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</si>
  <si>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</si>
  <si>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</si>
  <si>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</si>
  <si>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</si>
  <si>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</si>
  <si>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</si>
  <si>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</si>
  <si>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</si>
  <si>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</si>
  <si>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</si>
  <si>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</si>
  <si>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</si>
  <si>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</si>
  <si>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</si>
  <si>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</si>
  <si>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</si>
  <si>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</si>
  <si>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</si>
  <si>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</si>
  <si>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</si>
  <si>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</si>
  <si>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</si>
  <si>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</si>
  <si>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</si>
  <si>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</si>
  <si>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</si>
  <si>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</si>
  <si>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</si>
  <si>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</si>
  <si>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</si>
  <si>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</si>
  <si>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</si>
  <si>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</si>
  <si>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</si>
  <si>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</si>
  <si>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</si>
  <si>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</si>
  <si>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</si>
  <si>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</si>
  <si>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</si>
  <si>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</si>
  <si>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</si>
  <si>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</si>
  <si>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</si>
  <si>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</si>
  <si>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</si>
  <si>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</si>
  <si>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</si>
  <si>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</si>
  <si>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</si>
  <si>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</si>
  <si>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</si>
  <si>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</si>
  <si>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</si>
  <si>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</si>
  <si>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</si>
  <si>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</si>
  <si>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</si>
  <si>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</si>
  <si>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</si>
  <si>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</si>
  <si>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</si>
  <si>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</si>
  <si>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</si>
  <si>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</si>
  <si>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</si>
  <si>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</si>
  <si>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</si>
  <si>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</si>
  <si>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</si>
  <si>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</si>
  <si>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</si>
  <si>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</si>
  <si>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</si>
  <si>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</si>
  <si>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</si>
  <si>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</si>
  <si>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</si>
  <si>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</si>
  <si>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</si>
  <si>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</si>
  <si>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</si>
  <si>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</si>
  <si>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</si>
  <si>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</si>
  <si>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</si>
  <si>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</si>
  <si>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</si>
  <si>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</si>
  <si>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</si>
  <si>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</si>
  <si>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</si>
  <si>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</si>
  <si>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</si>
  <si>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</si>
  <si>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</si>
  <si>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</si>
  <si>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</si>
  <si>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</si>
  <si>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</si>
  <si>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</si>
  <si>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</si>
  <si>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</si>
  <si>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</si>
  <si>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</si>
  <si>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</si>
  <si>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</si>
  <si>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</si>
  <si>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</si>
  <si>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</si>
  <si>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</si>
  <si>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</si>
  <si>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</si>
  <si>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</si>
  <si>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</si>
  <si>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</si>
  <si>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</si>
  <si>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</si>
  <si>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</si>
  <si>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</si>
  <si>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</si>
  <si>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</si>
  <si>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</si>
  <si>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</si>
  <si>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</si>
  <si>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</si>
  <si>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</si>
  <si>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</si>
  <si>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</si>
  <si>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</si>
  <si>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</si>
  <si>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</si>
  <si>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</si>
  <si>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</si>
  <si>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</si>
  <si>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</si>
  <si>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</si>
  <si>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</si>
  <si>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</si>
  <si>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</si>
  <si>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</si>
  <si>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</si>
  <si>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</si>
  <si>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</si>
  <si>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</si>
  <si>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</si>
  <si>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</si>
  <si>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</si>
  <si>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</si>
  <si>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</si>
  <si>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</si>
  <si>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</si>
  <si>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</si>
  <si>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</si>
  <si>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</si>
  <si>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</si>
  <si>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</si>
  <si>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</si>
  <si>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</si>
  <si>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</si>
  <si>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</si>
  <si>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</si>
  <si>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</si>
  <si>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</si>
  <si>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</si>
  <si>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</si>
  <si>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</si>
  <si>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</si>
  <si>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</si>
  <si>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</si>
  <si>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</si>
  <si>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</si>
  <si>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</si>
  <si>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</si>
  <si>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</si>
  <si>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</si>
  <si>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</si>
  <si>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</si>
  <si>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</si>
  <si>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</si>
  <si>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</si>
  <si>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</si>
  <si>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</si>
  <si>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</si>
  <si>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</si>
  <si>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</si>
  <si>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</si>
  <si>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</si>
  <si>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</si>
  <si>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</si>
  <si>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</si>
  <si>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</si>
  <si>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</si>
  <si>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</si>
  <si>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</si>
  <si>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</si>
  <si>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</si>
  <si>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</si>
  <si>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</si>
  <si>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</si>
  <si>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</si>
  <si>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</si>
  <si>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</si>
  <si>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</si>
  <si>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</si>
  <si>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</si>
  <si>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</si>
  <si>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</si>
  <si>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</si>
  <si>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</si>
  <si>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</si>
  <si>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</si>
  <si>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</si>
  <si>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</si>
  <si>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</si>
  <si>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</si>
  <si>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</si>
  <si>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</si>
  <si>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</si>
  <si>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</si>
  <si>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</si>
  <si>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</si>
  <si>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</si>
  <si>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</si>
  <si>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</si>
  <si>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</si>
  <si>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</si>
  <si>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</si>
  <si>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</si>
  <si>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</si>
  <si>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</si>
  <si>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</si>
  <si>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</si>
  <si>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</si>
  <si>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</si>
  <si>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</si>
  <si>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</si>
  <si>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</si>
  <si>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</si>
  <si>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</si>
  <si>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</si>
  <si>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</si>
  <si>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</si>
  <si>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</si>
  <si>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</si>
  <si>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</si>
  <si>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</si>
  <si>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</si>
  <si>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</si>
  <si>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</si>
  <si>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</si>
  <si>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</si>
  <si>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</si>
  <si>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</si>
  <si>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</si>
  <si>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</si>
  <si>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</si>
  <si>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</si>
  <si>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</si>
  <si>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</si>
  <si>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</si>
  <si>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</si>
  <si>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</si>
  <si>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</si>
  <si>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</si>
  <si>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</si>
  <si>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</si>
  <si>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</si>
  <si>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</si>
  <si>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</si>
  <si>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</si>
  <si>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</si>
  <si>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</si>
  <si>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</si>
  <si>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</si>
  <si>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</si>
  <si>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</si>
  <si>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</si>
  <si>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</si>
  <si>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</si>
  <si>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</si>
  <si>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</si>
  <si>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</si>
  <si>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</si>
  <si>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</si>
  <si>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</si>
  <si>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</si>
  <si>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</si>
  <si>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</si>
  <si>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</si>
  <si>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</si>
  <si>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</si>
  <si>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</si>
  <si>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</si>
  <si>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</si>
  <si>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</si>
  <si>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</si>
  <si>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</si>
  <si>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</si>
  <si>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</si>
  <si>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</si>
  <si>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</si>
  <si>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</si>
  <si>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</si>
  <si>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</si>
  <si>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</si>
  <si>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</si>
  <si>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</si>
  <si>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</si>
  <si>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</si>
  <si>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</si>
  <si>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</si>
  <si>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</si>
  <si>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</si>
  <si>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</si>
  <si>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</si>
  <si>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</si>
  <si>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</si>
  <si>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</si>
  <si>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</si>
  <si>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</si>
  <si>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</si>
  <si>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</si>
  <si>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</si>
  <si>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</si>
  <si>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PY+WF</t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</si>
  <si>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</si>
  <si>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</si>
  <si>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</si>
  <si>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</si>
  <si>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</si>
  <si>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</si>
  <si>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</si>
  <si>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</si>
  <si>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</si>
  <si>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</si>
  <si>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</si>
  <si>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</si>
  <si>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</si>
  <si>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</si>
  <si>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</si>
  <si>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</si>
  <si>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</si>
  <si>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</si>
  <si>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</si>
  <si>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</si>
  <si>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</si>
  <si>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</si>
  <si>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</si>
  <si>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</si>
  <si>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</si>
  <si>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</si>
  <si>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</si>
  <si>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</si>
  <si>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</si>
  <si>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</si>
  <si>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</si>
  <si>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</si>
  <si>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</si>
  <si>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</si>
  <si>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</si>
  <si>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</si>
  <si>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</si>
  <si>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11-04-2021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</si>
</sst>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6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6370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54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28" t="s">
        <v>6032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9"/>
      <c r="AD1" s="432" t="s">
        <v>4435</v>
      </c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R1" s="433"/>
      <c r="AS1" s="433"/>
      <c r="AT1" s="433"/>
      <c r="AU1" s="433"/>
      <c r="AV1" s="433"/>
      <c r="AW1" s="433"/>
      <c r="AX1" s="433"/>
      <c r="AY1" s="433"/>
      <c r="AZ1" s="433"/>
      <c r="BA1" s="433"/>
      <c r="BB1" s="433"/>
      <c r="BC1" s="433"/>
      <c r="BD1" s="433"/>
      <c r="BE1" s="433"/>
      <c r="BF1" s="433"/>
      <c r="BG1" s="433"/>
      <c r="BH1" s="433"/>
      <c r="BI1" s="433"/>
      <c r="BJ1" s="433"/>
      <c r="BK1" s="433"/>
      <c r="BL1" s="433"/>
      <c r="BM1" s="433"/>
      <c r="BN1" s="433"/>
      <c r="BO1" s="433"/>
      <c r="BP1" s="433"/>
      <c r="BQ1" s="433"/>
      <c r="BR1" s="433"/>
      <c r="BS1" s="433"/>
      <c r="BT1" s="433"/>
      <c r="BU1" s="433"/>
      <c r="BV1" s="433"/>
      <c r="BW1" s="433"/>
      <c r="BX1" s="433"/>
      <c r="BY1" s="433"/>
      <c r="BZ1" s="433"/>
      <c r="CA1" s="433"/>
      <c r="CB1" s="433"/>
      <c r="CC1" s="433"/>
      <c r="CD1" s="433"/>
      <c r="CE1" s="433"/>
      <c r="CF1" s="434"/>
      <c r="CG1" s="438" t="s">
        <v>4445</v>
      </c>
      <c r="CH1" s="439"/>
      <c r="CI1" s="439"/>
      <c r="CJ1" s="439"/>
      <c r="CK1" s="439"/>
      <c r="CL1" s="439"/>
      <c r="CM1" s="439"/>
      <c r="CN1" s="439"/>
      <c r="CO1" s="439"/>
      <c r="CP1" s="439"/>
      <c r="CQ1" s="439"/>
      <c r="CR1" s="439"/>
      <c r="CS1" s="439"/>
      <c r="CT1" s="439"/>
      <c r="CU1" s="439"/>
      <c r="CV1" s="439"/>
      <c r="CW1" s="439"/>
      <c r="CX1" s="439"/>
      <c r="CY1" s="439"/>
      <c r="CZ1" s="439"/>
      <c r="DA1" s="439"/>
      <c r="DB1" s="439"/>
      <c r="DC1" s="439"/>
      <c r="DD1" s="439"/>
      <c r="DE1" s="439"/>
      <c r="DF1" s="439"/>
      <c r="DG1" s="439"/>
      <c r="DH1" s="439"/>
      <c r="DI1" s="439"/>
      <c r="DJ1" s="439"/>
      <c r="DK1" s="439"/>
      <c r="DL1" s="440"/>
      <c r="DM1" s="444" t="s">
        <v>5969</v>
      </c>
      <c r="DN1" s="447" t="s">
        <v>4558</v>
      </c>
      <c r="DO1" s="444" t="s">
        <v>6003</v>
      </c>
    </row>
    <row r="2" spans="1:119" ht="18" customHeight="1" thickBot="1">
      <c r="A2" s="428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9"/>
      <c r="AD2" s="435"/>
      <c r="AE2" s="436"/>
      <c r="AF2" s="436"/>
      <c r="AG2" s="436"/>
      <c r="AH2" s="436"/>
      <c r="AI2" s="436"/>
      <c r="AJ2" s="436"/>
      <c r="AK2" s="436"/>
      <c r="AL2" s="436"/>
      <c r="AM2" s="436"/>
      <c r="AN2" s="436"/>
      <c r="AO2" s="436"/>
      <c r="AP2" s="436"/>
      <c r="AQ2" s="436"/>
      <c r="AR2" s="436"/>
      <c r="AS2" s="436"/>
      <c r="AT2" s="436"/>
      <c r="AU2" s="436"/>
      <c r="AV2" s="436"/>
      <c r="AW2" s="436"/>
      <c r="AX2" s="436"/>
      <c r="AY2" s="436"/>
      <c r="AZ2" s="436"/>
      <c r="BA2" s="436"/>
      <c r="BB2" s="436"/>
      <c r="BC2" s="436"/>
      <c r="BD2" s="436"/>
      <c r="BE2" s="436"/>
      <c r="BF2" s="436"/>
      <c r="BG2" s="436"/>
      <c r="BH2" s="436"/>
      <c r="BI2" s="436"/>
      <c r="BJ2" s="436"/>
      <c r="BK2" s="436"/>
      <c r="BL2" s="436"/>
      <c r="BM2" s="436"/>
      <c r="BN2" s="436"/>
      <c r="BO2" s="436"/>
      <c r="BP2" s="436"/>
      <c r="BQ2" s="436"/>
      <c r="BR2" s="436"/>
      <c r="BS2" s="436"/>
      <c r="BT2" s="436"/>
      <c r="BU2" s="436"/>
      <c r="BV2" s="436"/>
      <c r="BW2" s="436"/>
      <c r="BX2" s="436"/>
      <c r="BY2" s="436"/>
      <c r="BZ2" s="436"/>
      <c r="CA2" s="436"/>
      <c r="CB2" s="436"/>
      <c r="CC2" s="436"/>
      <c r="CD2" s="436"/>
      <c r="CE2" s="436"/>
      <c r="CF2" s="437"/>
      <c r="CG2" s="441"/>
      <c r="CH2" s="442"/>
      <c r="CI2" s="442"/>
      <c r="CJ2" s="442"/>
      <c r="CK2" s="442"/>
      <c r="CL2" s="442"/>
      <c r="CM2" s="442"/>
      <c r="CN2" s="442"/>
      <c r="CO2" s="442"/>
      <c r="CP2" s="442"/>
      <c r="CQ2" s="442"/>
      <c r="CR2" s="442"/>
      <c r="CS2" s="442"/>
      <c r="CT2" s="442"/>
      <c r="CU2" s="442"/>
      <c r="CV2" s="442"/>
      <c r="CW2" s="442"/>
      <c r="CX2" s="442"/>
      <c r="CY2" s="442"/>
      <c r="CZ2" s="442"/>
      <c r="DA2" s="442"/>
      <c r="DB2" s="442"/>
      <c r="DC2" s="442"/>
      <c r="DD2" s="442"/>
      <c r="DE2" s="442"/>
      <c r="DF2" s="442"/>
      <c r="DG2" s="442"/>
      <c r="DH2" s="442"/>
      <c r="DI2" s="442"/>
      <c r="DJ2" s="442"/>
      <c r="DK2" s="442"/>
      <c r="DL2" s="443"/>
      <c r="DM2" s="445"/>
      <c r="DN2" s="448"/>
      <c r="DO2" s="445"/>
    </row>
    <row r="3" spans="1:119" ht="18" customHeight="1" thickBot="1">
      <c r="A3" s="430"/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1"/>
      <c r="AD3" s="450" t="s">
        <v>6316</v>
      </c>
      <c r="AE3" s="451"/>
      <c r="AF3" s="451"/>
      <c r="AG3" s="451"/>
      <c r="AH3" s="451"/>
      <c r="AI3" s="452"/>
      <c r="AJ3" s="450" t="s">
        <v>6317</v>
      </c>
      <c r="AK3" s="451"/>
      <c r="AL3" s="451"/>
      <c r="AM3" s="451"/>
      <c r="AN3" s="451"/>
      <c r="AO3" s="451"/>
      <c r="AP3" s="451"/>
      <c r="AQ3" s="452"/>
      <c r="AR3" s="450" t="s">
        <v>6318</v>
      </c>
      <c r="AS3" s="451"/>
      <c r="AT3" s="451"/>
      <c r="AU3" s="451"/>
      <c r="AV3" s="452"/>
      <c r="AW3" s="453" t="s">
        <v>6319</v>
      </c>
      <c r="AX3" s="454"/>
      <c r="AY3" s="454"/>
      <c r="AZ3" s="454"/>
      <c r="BA3" s="454"/>
      <c r="BB3" s="454"/>
      <c r="BC3" s="454"/>
      <c r="BD3" s="454"/>
      <c r="BE3" s="454"/>
      <c r="BF3" s="454"/>
      <c r="BG3" s="454"/>
      <c r="BH3" s="454"/>
      <c r="BI3" s="454"/>
      <c r="BJ3" s="454"/>
      <c r="BK3" s="454"/>
      <c r="BL3" s="450" t="s">
        <v>4567</v>
      </c>
      <c r="BM3" s="451"/>
      <c r="BN3" s="451"/>
      <c r="BO3" s="451"/>
      <c r="BP3" s="451"/>
      <c r="BQ3" s="451"/>
      <c r="BR3" s="451"/>
      <c r="BS3" s="451"/>
      <c r="BT3" s="450" t="s">
        <v>5875</v>
      </c>
      <c r="BU3" s="451"/>
      <c r="BV3" s="451"/>
      <c r="BW3" s="451"/>
      <c r="BX3" s="451"/>
      <c r="BY3" s="451"/>
      <c r="BZ3" s="452"/>
      <c r="CA3" s="451" t="s">
        <v>4642</v>
      </c>
      <c r="CB3" s="451"/>
      <c r="CC3" s="451"/>
      <c r="CD3" s="451"/>
      <c r="CE3" s="451"/>
      <c r="CF3" s="452"/>
      <c r="CG3" s="455" t="s">
        <v>6316</v>
      </c>
      <c r="CH3" s="455"/>
      <c r="CI3" s="455"/>
      <c r="CJ3" s="455"/>
      <c r="CK3" s="455"/>
      <c r="CL3" s="456"/>
      <c r="CM3" s="455" t="s">
        <v>6317</v>
      </c>
      <c r="CN3" s="455"/>
      <c r="CO3" s="455"/>
      <c r="CP3" s="455"/>
      <c r="CQ3" s="455"/>
      <c r="CR3" s="456"/>
      <c r="CS3" s="457" t="s">
        <v>6320</v>
      </c>
      <c r="CT3" s="455"/>
      <c r="CU3" s="455"/>
      <c r="CV3" s="455"/>
      <c r="CW3" s="455"/>
      <c r="CX3" s="455"/>
      <c r="CY3" s="457" t="s">
        <v>4571</v>
      </c>
      <c r="CZ3" s="455"/>
      <c r="DA3" s="455"/>
      <c r="DB3" s="456"/>
      <c r="DC3" s="457" t="s">
        <v>4572</v>
      </c>
      <c r="DD3" s="455"/>
      <c r="DE3" s="456"/>
      <c r="DF3" s="271" t="s">
        <v>4568</v>
      </c>
      <c r="DG3" s="455" t="s">
        <v>4561</v>
      </c>
      <c r="DH3" s="455"/>
      <c r="DI3" s="455"/>
      <c r="DJ3" s="455"/>
      <c r="DK3" s="455"/>
      <c r="DL3" s="456"/>
      <c r="DM3" s="445"/>
      <c r="DN3" s="448"/>
      <c r="DO3" s="445"/>
    </row>
    <row r="4" spans="1:119" ht="18" customHeight="1">
      <c r="A4" s="338" t="s">
        <v>6125</v>
      </c>
      <c r="B4" s="338" t="s">
        <v>6124</v>
      </c>
      <c r="C4" s="338" t="s">
        <v>6321</v>
      </c>
      <c r="D4" s="385" t="s">
        <v>1</v>
      </c>
      <c r="E4" s="385" t="s">
        <v>4828</v>
      </c>
      <c r="F4" s="338" t="s">
        <v>4500</v>
      </c>
      <c r="G4" s="340" t="s">
        <v>5888</v>
      </c>
      <c r="H4" s="340" t="s">
        <v>5921</v>
      </c>
      <c r="I4" s="340" t="s">
        <v>6207</v>
      </c>
      <c r="J4" s="338" t="s">
        <v>13</v>
      </c>
      <c r="K4" s="338" t="s">
        <v>5861</v>
      </c>
      <c r="L4" s="340" t="s">
        <v>4421</v>
      </c>
      <c r="M4" s="340" t="s">
        <v>4432</v>
      </c>
      <c r="N4" s="338" t="s">
        <v>4701</v>
      </c>
      <c r="O4" s="338" t="s">
        <v>4501</v>
      </c>
      <c r="P4" s="336" t="s">
        <v>6322</v>
      </c>
      <c r="Q4" s="336" t="s">
        <v>4898</v>
      </c>
      <c r="R4" s="340" t="s">
        <v>6279</v>
      </c>
      <c r="S4" s="338" t="s">
        <v>6296</v>
      </c>
      <c r="T4" s="340" t="s">
        <v>6283</v>
      </c>
      <c r="U4" s="338" t="s">
        <v>6297</v>
      </c>
      <c r="V4" s="340" t="s">
        <v>5034</v>
      </c>
      <c r="W4" s="338" t="s">
        <v>6298</v>
      </c>
      <c r="X4" s="340" t="s">
        <v>4648</v>
      </c>
      <c r="Y4" s="338" t="s">
        <v>4871</v>
      </c>
      <c r="Z4" s="338" t="s">
        <v>4492</v>
      </c>
      <c r="AA4" s="338" t="s">
        <v>4560</v>
      </c>
      <c r="AB4" s="405" t="s">
        <v>4899</v>
      </c>
      <c r="AC4" s="407" t="s">
        <v>4900</v>
      </c>
      <c r="AD4" s="409" t="s">
        <v>6323</v>
      </c>
      <c r="AE4" s="357" t="s">
        <v>5529</v>
      </c>
      <c r="AF4" s="357" t="s">
        <v>4436</v>
      </c>
      <c r="AG4" s="411" t="s">
        <v>5534</v>
      </c>
      <c r="AH4" s="411" t="s">
        <v>5533</v>
      </c>
      <c r="AI4" s="373" t="s">
        <v>5550</v>
      </c>
      <c r="AJ4" s="361" t="s">
        <v>6323</v>
      </c>
      <c r="AK4" s="357" t="s">
        <v>5530</v>
      </c>
      <c r="AL4" s="357" t="s">
        <v>4433</v>
      </c>
      <c r="AM4" s="355" t="s">
        <v>5531</v>
      </c>
      <c r="AN4" s="355" t="s">
        <v>5532</v>
      </c>
      <c r="AO4" s="378" t="s">
        <v>5551</v>
      </c>
      <c r="AP4" s="344" t="s">
        <v>4458</v>
      </c>
      <c r="AQ4" s="348" t="s">
        <v>4471</v>
      </c>
      <c r="AR4" s="350" t="s">
        <v>5537</v>
      </c>
      <c r="AS4" s="357" t="s">
        <v>5535</v>
      </c>
      <c r="AT4" s="357" t="s">
        <v>5536</v>
      </c>
      <c r="AU4" s="359" t="s">
        <v>4470</v>
      </c>
      <c r="AV4" s="359" t="s">
        <v>4811</v>
      </c>
      <c r="AW4" s="361" t="s">
        <v>5800</v>
      </c>
      <c r="AX4" s="352" t="s">
        <v>4493</v>
      </c>
      <c r="AY4" s="352" t="s">
        <v>4589</v>
      </c>
      <c r="AZ4" s="376" t="s">
        <v>4438</v>
      </c>
      <c r="BA4" s="376" t="s">
        <v>4437</v>
      </c>
      <c r="BB4" s="346" t="s">
        <v>4469</v>
      </c>
      <c r="BC4" s="346" t="s">
        <v>4468</v>
      </c>
      <c r="BD4" s="354" t="s">
        <v>6269</v>
      </c>
      <c r="BE4" s="354" t="s">
        <v>6271</v>
      </c>
      <c r="BF4" s="346" t="s">
        <v>4809</v>
      </c>
      <c r="BG4" s="397" t="s">
        <v>4460</v>
      </c>
      <c r="BH4" s="352" t="s">
        <v>6194</v>
      </c>
      <c r="BI4" s="352" t="s">
        <v>6195</v>
      </c>
      <c r="BJ4" s="376" t="s">
        <v>4439</v>
      </c>
      <c r="BK4" s="399" t="s">
        <v>6199</v>
      </c>
      <c r="BL4" s="401" t="s">
        <v>6021</v>
      </c>
      <c r="BM4" s="334" t="s">
        <v>4812</v>
      </c>
      <c r="BN4" s="334" t="s">
        <v>4568</v>
      </c>
      <c r="BO4" s="334" t="s">
        <v>6162</v>
      </c>
      <c r="BP4" s="334" t="s">
        <v>6176</v>
      </c>
      <c r="BQ4" s="334" t="s">
        <v>6177</v>
      </c>
      <c r="BR4" s="334" t="s">
        <v>6020</v>
      </c>
      <c r="BS4" s="365" t="s">
        <v>4588</v>
      </c>
      <c r="BT4" s="401" t="s">
        <v>5800</v>
      </c>
      <c r="BU4" s="334" t="s">
        <v>5876</v>
      </c>
      <c r="BV4" s="334" t="s">
        <v>6163</v>
      </c>
      <c r="BW4" s="334" t="s">
        <v>5877</v>
      </c>
      <c r="BX4" s="334" t="s">
        <v>5878</v>
      </c>
      <c r="BY4" s="334" t="s">
        <v>6101</v>
      </c>
      <c r="BZ4" s="403" t="s">
        <v>5879</v>
      </c>
      <c r="CA4" s="365" t="s">
        <v>4575</v>
      </c>
      <c r="CB4" s="365" t="s">
        <v>4574</v>
      </c>
      <c r="CC4" s="334" t="s">
        <v>6152</v>
      </c>
      <c r="CD4" s="334" t="s">
        <v>6143</v>
      </c>
      <c r="CE4" s="334" t="s">
        <v>5853</v>
      </c>
      <c r="CF4" s="367" t="s">
        <v>4573</v>
      </c>
      <c r="CG4" s="369" t="s">
        <v>4444</v>
      </c>
      <c r="CH4" s="371" t="s">
        <v>4440</v>
      </c>
      <c r="CI4" s="371" t="s">
        <v>4441</v>
      </c>
      <c r="CJ4" s="371" t="s">
        <v>4442</v>
      </c>
      <c r="CK4" s="371" t="s">
        <v>4443</v>
      </c>
      <c r="CL4" s="387" t="s">
        <v>4874</v>
      </c>
      <c r="CM4" s="391" t="s">
        <v>4444</v>
      </c>
      <c r="CN4" s="371" t="s">
        <v>4440</v>
      </c>
      <c r="CO4" s="371" t="s">
        <v>4441</v>
      </c>
      <c r="CP4" s="371" t="s">
        <v>4442</v>
      </c>
      <c r="CQ4" s="371" t="s">
        <v>4443</v>
      </c>
      <c r="CR4" s="387" t="s">
        <v>4874</v>
      </c>
      <c r="CS4" s="369" t="s">
        <v>4444</v>
      </c>
      <c r="CT4" s="332" t="s">
        <v>4440</v>
      </c>
      <c r="CU4" s="332" t="s">
        <v>4441</v>
      </c>
      <c r="CV4" s="332" t="s">
        <v>4442</v>
      </c>
      <c r="CW4" s="371" t="s">
        <v>4443</v>
      </c>
      <c r="CX4" s="387" t="s">
        <v>4874</v>
      </c>
      <c r="CY4" s="395" t="s">
        <v>4444</v>
      </c>
      <c r="CZ4" s="332" t="s">
        <v>4590</v>
      </c>
      <c r="DA4" s="332" t="s">
        <v>4591</v>
      </c>
      <c r="DB4" s="387" t="s">
        <v>4874</v>
      </c>
      <c r="DC4" s="363" t="s">
        <v>4441</v>
      </c>
      <c r="DD4" s="371" t="s">
        <v>4443</v>
      </c>
      <c r="DE4" s="387" t="s">
        <v>4874</v>
      </c>
      <c r="DF4" s="389" t="s">
        <v>4440</v>
      </c>
      <c r="DG4" s="393" t="s">
        <v>4444</v>
      </c>
      <c r="DH4" s="332" t="s">
        <v>4440</v>
      </c>
      <c r="DI4" s="332" t="s">
        <v>4441</v>
      </c>
      <c r="DJ4" s="332" t="s">
        <v>4442</v>
      </c>
      <c r="DK4" s="371" t="s">
        <v>4443</v>
      </c>
      <c r="DL4" s="458" t="s">
        <v>4874</v>
      </c>
      <c r="DM4" s="445"/>
      <c r="DN4" s="448"/>
      <c r="DO4" s="445"/>
    </row>
    <row r="5" spans="1:119" ht="16.2" customHeight="1" thickBot="1">
      <c r="A5" s="339"/>
      <c r="B5" s="339"/>
      <c r="C5" s="339"/>
      <c r="D5" s="386"/>
      <c r="E5" s="386"/>
      <c r="F5" s="339"/>
      <c r="G5" s="343"/>
      <c r="H5" s="343"/>
      <c r="I5" s="343"/>
      <c r="J5" s="342"/>
      <c r="K5" s="339"/>
      <c r="L5" s="343"/>
      <c r="M5" s="343"/>
      <c r="N5" s="339"/>
      <c r="O5" s="339"/>
      <c r="P5" s="337"/>
      <c r="Q5" s="337"/>
      <c r="R5" s="343"/>
      <c r="S5" s="339"/>
      <c r="T5" s="341"/>
      <c r="U5" s="342"/>
      <c r="V5" s="341"/>
      <c r="W5" s="342"/>
      <c r="X5" s="343"/>
      <c r="Y5" s="339"/>
      <c r="Z5" s="339"/>
      <c r="AA5" s="339"/>
      <c r="AB5" s="406"/>
      <c r="AC5" s="408"/>
      <c r="AD5" s="410"/>
      <c r="AE5" s="375"/>
      <c r="AF5" s="375"/>
      <c r="AG5" s="379"/>
      <c r="AH5" s="379"/>
      <c r="AI5" s="374"/>
      <c r="AJ5" s="362"/>
      <c r="AK5" s="375"/>
      <c r="AL5" s="375"/>
      <c r="AM5" s="356"/>
      <c r="AN5" s="356"/>
      <c r="AO5" s="379"/>
      <c r="AP5" s="345"/>
      <c r="AQ5" s="349"/>
      <c r="AR5" s="351"/>
      <c r="AS5" s="358"/>
      <c r="AT5" s="358"/>
      <c r="AU5" s="360"/>
      <c r="AV5" s="360"/>
      <c r="AW5" s="362"/>
      <c r="AX5" s="353"/>
      <c r="AY5" s="353"/>
      <c r="AZ5" s="377"/>
      <c r="BA5" s="377"/>
      <c r="BB5" s="347"/>
      <c r="BC5" s="347"/>
      <c r="BD5" s="347"/>
      <c r="BE5" s="347"/>
      <c r="BF5" s="347"/>
      <c r="BG5" s="398"/>
      <c r="BH5" s="353"/>
      <c r="BI5" s="353"/>
      <c r="BJ5" s="377"/>
      <c r="BK5" s="400"/>
      <c r="BL5" s="402"/>
      <c r="BM5" s="335"/>
      <c r="BN5" s="335"/>
      <c r="BO5" s="335"/>
      <c r="BP5" s="335"/>
      <c r="BQ5" s="335"/>
      <c r="BR5" s="335"/>
      <c r="BS5" s="366"/>
      <c r="BT5" s="402"/>
      <c r="BU5" s="335"/>
      <c r="BV5" s="335"/>
      <c r="BW5" s="335"/>
      <c r="BX5" s="335"/>
      <c r="BY5" s="335"/>
      <c r="BZ5" s="404"/>
      <c r="CA5" s="366"/>
      <c r="CB5" s="366"/>
      <c r="CC5" s="335"/>
      <c r="CD5" s="335"/>
      <c r="CE5" s="335"/>
      <c r="CF5" s="368"/>
      <c r="CG5" s="370"/>
      <c r="CH5" s="372"/>
      <c r="CI5" s="372"/>
      <c r="CJ5" s="372"/>
      <c r="CK5" s="372"/>
      <c r="CL5" s="388"/>
      <c r="CM5" s="392"/>
      <c r="CN5" s="372"/>
      <c r="CO5" s="372"/>
      <c r="CP5" s="372"/>
      <c r="CQ5" s="372"/>
      <c r="CR5" s="388"/>
      <c r="CS5" s="370"/>
      <c r="CT5" s="333"/>
      <c r="CU5" s="333"/>
      <c r="CV5" s="333"/>
      <c r="CW5" s="372"/>
      <c r="CX5" s="388"/>
      <c r="CY5" s="396"/>
      <c r="CZ5" s="333"/>
      <c r="DA5" s="333"/>
      <c r="DB5" s="388"/>
      <c r="DC5" s="364"/>
      <c r="DD5" s="372"/>
      <c r="DE5" s="388"/>
      <c r="DF5" s="390"/>
      <c r="DG5" s="394"/>
      <c r="DH5" s="333"/>
      <c r="DI5" s="333"/>
      <c r="DJ5" s="333"/>
      <c r="DK5" s="372"/>
      <c r="DL5" s="459"/>
      <c r="DM5" s="446"/>
      <c r="DN5" s="449"/>
      <c r="DO5" s="446"/>
    </row>
    <row r="6" spans="1:119" ht="15.6" customHeight="1">
      <c r="A6" s="18">
        <v>1</v>
      </c>
      <c r="B6" s="317">
        <v>1</v>
      </c>
      <c r="C6" s="317">
        <v>1970</v>
      </c>
      <c r="D6" s="382" t="s">
        <v>4661</v>
      </c>
      <c r="E6" s="323" t="s">
        <v>4829</v>
      </c>
      <c r="F6" s="317">
        <v>24</v>
      </c>
      <c r="G6" s="326" t="s">
        <v>5890</v>
      </c>
      <c r="H6" s="326" t="s">
        <v>5889</v>
      </c>
      <c r="I6" s="326" t="s">
        <v>6208</v>
      </c>
      <c r="J6" s="283" t="s">
        <v>6324</v>
      </c>
      <c r="K6" s="309" t="s">
        <v>4380</v>
      </c>
      <c r="L6" s="312" t="s">
        <v>5786</v>
      </c>
      <c r="M6" s="314" t="s">
        <v>4504</v>
      </c>
      <c r="N6" s="312" t="s">
        <v>4697</v>
      </c>
      <c r="O6" s="18" t="s">
        <v>4503</v>
      </c>
      <c r="P6" s="312" t="s">
        <v>6325</v>
      </c>
      <c r="Q6" s="312" t="s">
        <v>4417</v>
      </c>
      <c r="R6" s="312" t="s">
        <v>6325</v>
      </c>
      <c r="S6" s="312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12" t="s">
        <v>4417</v>
      </c>
      <c r="Y6" s="312" t="s">
        <v>5786</v>
      </c>
      <c r="Z6" s="312" t="s">
        <v>6040</v>
      </c>
      <c r="AA6" s="18">
        <v>6</v>
      </c>
      <c r="AB6" s="222">
        <v>0</v>
      </c>
      <c r="AC6" s="18">
        <v>0</v>
      </c>
      <c r="AD6" s="30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0">
        <f t="shared" ref="AV6:AV15" si="0">(AT6-AK6)/2</f>
        <v>10.159999999999997</v>
      </c>
      <c r="AW6" s="314" t="s">
        <v>5801</v>
      </c>
      <c r="AX6" s="312" t="s">
        <v>6121</v>
      </c>
      <c r="AY6" s="21" t="s">
        <v>6121</v>
      </c>
      <c r="AZ6" s="21">
        <v>19.05</v>
      </c>
      <c r="BA6" s="312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6326</v>
      </c>
      <c r="BH6" s="312" t="s">
        <v>6196</v>
      </c>
      <c r="BI6" s="312" t="s">
        <v>6196</v>
      </c>
      <c r="BJ6" s="312">
        <v>2</v>
      </c>
      <c r="BK6" s="312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6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303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303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311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12" t="s">
        <v>4432</v>
      </c>
      <c r="DO6" s="301" t="s">
        <v>4562</v>
      </c>
    </row>
    <row r="7" spans="1:119">
      <c r="A7" s="18">
        <v>2</v>
      </c>
      <c r="B7" s="318"/>
      <c r="C7" s="318"/>
      <c r="D7" s="383"/>
      <c r="E7" s="324"/>
      <c r="F7" s="318"/>
      <c r="G7" s="327"/>
      <c r="H7" s="327"/>
      <c r="I7" s="327"/>
      <c r="J7" s="285" t="s">
        <v>4394</v>
      </c>
      <c r="K7" s="314" t="s">
        <v>4380</v>
      </c>
      <c r="L7" s="312" t="s">
        <v>5786</v>
      </c>
      <c r="M7" s="314" t="s">
        <v>4504</v>
      </c>
      <c r="N7" s="312" t="s">
        <v>4697</v>
      </c>
      <c r="O7" s="18" t="s">
        <v>4503</v>
      </c>
      <c r="P7" s="312" t="s">
        <v>6325</v>
      </c>
      <c r="Q7" s="312" t="s">
        <v>4417</v>
      </c>
      <c r="R7" s="312" t="s">
        <v>6156</v>
      </c>
      <c r="S7" s="312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12" t="s">
        <v>4417</v>
      </c>
      <c r="Y7" s="312" t="s">
        <v>5786</v>
      </c>
      <c r="Z7" s="312" t="s">
        <v>6040</v>
      </c>
      <c r="AA7" s="18">
        <v>6</v>
      </c>
      <c r="AB7" s="223">
        <v>0</v>
      </c>
      <c r="AC7" s="18">
        <v>0</v>
      </c>
      <c r="AD7" s="314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14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14" t="s">
        <v>5801</v>
      </c>
      <c r="AX7" s="312" t="s">
        <v>6121</v>
      </c>
      <c r="AY7" s="21" t="s">
        <v>6121</v>
      </c>
      <c r="AZ7" s="21">
        <v>19.05</v>
      </c>
      <c r="BA7" s="312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6326</v>
      </c>
      <c r="BH7" s="312" t="s">
        <v>6196</v>
      </c>
      <c r="BI7" s="312" t="s">
        <v>6196</v>
      </c>
      <c r="BJ7" s="312">
        <v>2</v>
      </c>
      <c r="BK7" s="312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7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304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304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12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12" t="s">
        <v>4432</v>
      </c>
      <c r="DO7" s="301" t="s">
        <v>4562</v>
      </c>
    </row>
    <row r="8" spans="1:119">
      <c r="A8" s="18">
        <v>3</v>
      </c>
      <c r="B8" s="318"/>
      <c r="C8" s="318"/>
      <c r="D8" s="383"/>
      <c r="E8" s="324"/>
      <c r="F8" s="318"/>
      <c r="G8" s="327"/>
      <c r="H8" s="327"/>
      <c r="I8" s="327"/>
      <c r="J8" s="285" t="s">
        <v>4395</v>
      </c>
      <c r="K8" s="314" t="s">
        <v>4380</v>
      </c>
      <c r="L8" s="312" t="s">
        <v>5786</v>
      </c>
      <c r="M8" s="314" t="s">
        <v>4504</v>
      </c>
      <c r="N8" s="312" t="s">
        <v>4697</v>
      </c>
      <c r="O8" s="18" t="s">
        <v>4503</v>
      </c>
      <c r="P8" s="312" t="s">
        <v>6325</v>
      </c>
      <c r="Q8" s="312" t="s">
        <v>4417</v>
      </c>
      <c r="R8" s="312" t="s">
        <v>6325</v>
      </c>
      <c r="S8" s="312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12" t="s">
        <v>4417</v>
      </c>
      <c r="Y8" s="312" t="s">
        <v>5786</v>
      </c>
      <c r="Z8" s="312" t="s">
        <v>6040</v>
      </c>
      <c r="AA8" s="18">
        <v>6</v>
      </c>
      <c r="AB8" s="223">
        <v>0</v>
      </c>
      <c r="AC8" s="18">
        <v>0</v>
      </c>
      <c r="AD8" s="314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14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14" t="s">
        <v>5801</v>
      </c>
      <c r="AX8" s="312" t="s">
        <v>6121</v>
      </c>
      <c r="AY8" s="21" t="s">
        <v>6121</v>
      </c>
      <c r="AZ8" s="21">
        <v>19.05</v>
      </c>
      <c r="BA8" s="312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6326</v>
      </c>
      <c r="BH8" s="312" t="s">
        <v>6196</v>
      </c>
      <c r="BI8" s="312" t="s">
        <v>6196</v>
      </c>
      <c r="BJ8" s="312">
        <v>2</v>
      </c>
      <c r="BK8" s="312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7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304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304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12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12" t="s">
        <v>4432</v>
      </c>
      <c r="DO8" s="301" t="s">
        <v>4562</v>
      </c>
    </row>
    <row r="9" spans="1:119">
      <c r="A9" s="18">
        <v>4</v>
      </c>
      <c r="B9" s="318"/>
      <c r="C9" s="318"/>
      <c r="D9" s="383"/>
      <c r="E9" s="324"/>
      <c r="F9" s="318"/>
      <c r="G9" s="327"/>
      <c r="H9" s="327"/>
      <c r="I9" s="327"/>
      <c r="J9" s="285" t="s">
        <v>4396</v>
      </c>
      <c r="K9" s="314" t="s">
        <v>4380</v>
      </c>
      <c r="L9" s="312" t="s">
        <v>5786</v>
      </c>
      <c r="M9" s="314" t="s">
        <v>4504</v>
      </c>
      <c r="N9" s="312" t="s">
        <v>4697</v>
      </c>
      <c r="O9" s="18" t="s">
        <v>4503</v>
      </c>
      <c r="P9" s="312" t="s">
        <v>6325</v>
      </c>
      <c r="Q9" s="312" t="s">
        <v>4417</v>
      </c>
      <c r="R9" s="312" t="s">
        <v>6325</v>
      </c>
      <c r="S9" s="312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12" t="s">
        <v>4417</v>
      </c>
      <c r="Y9" s="312" t="s">
        <v>5786</v>
      </c>
      <c r="Z9" s="312" t="s">
        <v>6040</v>
      </c>
      <c r="AA9" s="18">
        <v>6</v>
      </c>
      <c r="AB9" s="223">
        <v>0</v>
      </c>
      <c r="AC9" s="18">
        <v>0</v>
      </c>
      <c r="AD9" s="314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14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14" t="s">
        <v>5801</v>
      </c>
      <c r="AX9" s="312" t="s">
        <v>6121</v>
      </c>
      <c r="AY9" s="21" t="s">
        <v>6121</v>
      </c>
      <c r="AZ9" s="21">
        <v>19.05</v>
      </c>
      <c r="BA9" s="312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6326</v>
      </c>
      <c r="BH9" s="312" t="s">
        <v>6196</v>
      </c>
      <c r="BI9" s="312" t="s">
        <v>6196</v>
      </c>
      <c r="BJ9" s="312">
        <v>2</v>
      </c>
      <c r="BK9" s="312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7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304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304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12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12" t="s">
        <v>4432</v>
      </c>
      <c r="DO9" s="301" t="s">
        <v>4562</v>
      </c>
    </row>
    <row r="10" spans="1:119">
      <c r="A10" s="18">
        <v>5</v>
      </c>
      <c r="B10" s="318"/>
      <c r="C10" s="318"/>
      <c r="D10" s="383"/>
      <c r="E10" s="324"/>
      <c r="F10" s="318"/>
      <c r="G10" s="327"/>
      <c r="H10" s="327"/>
      <c r="I10" s="327"/>
      <c r="J10" s="285" t="s">
        <v>4397</v>
      </c>
      <c r="K10" s="314" t="s">
        <v>4380</v>
      </c>
      <c r="L10" s="312" t="s">
        <v>5786</v>
      </c>
      <c r="M10" s="314" t="s">
        <v>4504</v>
      </c>
      <c r="N10" s="312" t="s">
        <v>4697</v>
      </c>
      <c r="O10" s="18" t="s">
        <v>4503</v>
      </c>
      <c r="P10" s="312" t="s">
        <v>6325</v>
      </c>
      <c r="Q10" s="312" t="s">
        <v>4417</v>
      </c>
      <c r="R10" s="312" t="s">
        <v>6156</v>
      </c>
      <c r="S10" s="312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12" t="s">
        <v>4417</v>
      </c>
      <c r="Y10" s="312" t="s">
        <v>5786</v>
      </c>
      <c r="Z10" s="312" t="s">
        <v>6040</v>
      </c>
      <c r="AA10" s="18">
        <v>6</v>
      </c>
      <c r="AB10" s="223">
        <v>0</v>
      </c>
      <c r="AC10" s="18">
        <v>0</v>
      </c>
      <c r="AD10" s="314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14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14" t="s">
        <v>5801</v>
      </c>
      <c r="AX10" s="312" t="s">
        <v>6121</v>
      </c>
      <c r="AY10" s="21" t="s">
        <v>6121</v>
      </c>
      <c r="AZ10" s="21">
        <v>19.05</v>
      </c>
      <c r="BA10" s="312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6326</v>
      </c>
      <c r="BH10" s="312" t="s">
        <v>6196</v>
      </c>
      <c r="BI10" s="312" t="s">
        <v>6196</v>
      </c>
      <c r="BJ10" s="312">
        <v>2</v>
      </c>
      <c r="BK10" s="312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7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304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304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12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12" t="s">
        <v>4432</v>
      </c>
      <c r="DO10" s="301" t="s">
        <v>4562</v>
      </c>
    </row>
    <row r="11" spans="1:119">
      <c r="A11" s="18">
        <v>6</v>
      </c>
      <c r="B11" s="318"/>
      <c r="C11" s="318"/>
      <c r="D11" s="383"/>
      <c r="E11" s="324"/>
      <c r="F11" s="318"/>
      <c r="G11" s="327"/>
      <c r="H11" s="327"/>
      <c r="I11" s="327"/>
      <c r="J11" s="285" t="s">
        <v>4398</v>
      </c>
      <c r="K11" s="314" t="s">
        <v>4380</v>
      </c>
      <c r="L11" s="312" t="s">
        <v>5786</v>
      </c>
      <c r="M11" s="314" t="s">
        <v>4504</v>
      </c>
      <c r="N11" s="312" t="s">
        <v>4697</v>
      </c>
      <c r="O11" s="18" t="s">
        <v>4503</v>
      </c>
      <c r="P11" s="312" t="s">
        <v>6325</v>
      </c>
      <c r="Q11" s="312" t="s">
        <v>4417</v>
      </c>
      <c r="R11" s="312" t="s">
        <v>6156</v>
      </c>
      <c r="S11" s="312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12" t="s">
        <v>4417</v>
      </c>
      <c r="Y11" s="312" t="s">
        <v>5786</v>
      </c>
      <c r="Z11" s="312" t="s">
        <v>6040</v>
      </c>
      <c r="AA11" s="18">
        <v>6</v>
      </c>
      <c r="AB11" s="223">
        <v>0</v>
      </c>
      <c r="AC11" s="18">
        <v>0</v>
      </c>
      <c r="AD11" s="314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14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14" t="s">
        <v>5801</v>
      </c>
      <c r="AX11" s="312" t="s">
        <v>6121</v>
      </c>
      <c r="AY11" s="21" t="s">
        <v>6121</v>
      </c>
      <c r="AZ11" s="21">
        <v>19.05</v>
      </c>
      <c r="BA11" s="312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6326</v>
      </c>
      <c r="BH11" s="312" t="s">
        <v>6196</v>
      </c>
      <c r="BI11" s="312" t="s">
        <v>6196</v>
      </c>
      <c r="BJ11" s="312">
        <v>2</v>
      </c>
      <c r="BK11" s="312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7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304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304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12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12" t="s">
        <v>4432</v>
      </c>
      <c r="DO11" s="301" t="s">
        <v>4562</v>
      </c>
    </row>
    <row r="12" spans="1:119">
      <c r="A12" s="18">
        <v>7</v>
      </c>
      <c r="B12" s="318"/>
      <c r="C12" s="318"/>
      <c r="D12" s="383"/>
      <c r="E12" s="324"/>
      <c r="F12" s="318"/>
      <c r="G12" s="327"/>
      <c r="H12" s="327"/>
      <c r="I12" s="327"/>
      <c r="J12" s="285" t="s">
        <v>4399</v>
      </c>
      <c r="K12" s="314" t="s">
        <v>4380</v>
      </c>
      <c r="L12" s="312" t="s">
        <v>5786</v>
      </c>
      <c r="M12" s="314" t="s">
        <v>4504</v>
      </c>
      <c r="N12" s="312" t="s">
        <v>4697</v>
      </c>
      <c r="O12" s="18" t="s">
        <v>4503</v>
      </c>
      <c r="P12" s="312" t="s">
        <v>6325</v>
      </c>
      <c r="Q12" s="312" t="s">
        <v>4417</v>
      </c>
      <c r="R12" s="312" t="s">
        <v>6156</v>
      </c>
      <c r="S12" s="312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12" t="s">
        <v>4417</v>
      </c>
      <c r="Y12" s="312" t="s">
        <v>5786</v>
      </c>
      <c r="Z12" s="312" t="s">
        <v>6040</v>
      </c>
      <c r="AA12" s="18">
        <v>6</v>
      </c>
      <c r="AB12" s="223">
        <v>0</v>
      </c>
      <c r="AC12" s="18">
        <v>0</v>
      </c>
      <c r="AD12" s="314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14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14" t="s">
        <v>5801</v>
      </c>
      <c r="AX12" s="312" t="s">
        <v>6121</v>
      </c>
      <c r="AY12" s="21" t="s">
        <v>6121</v>
      </c>
      <c r="AZ12" s="21">
        <v>19.05</v>
      </c>
      <c r="BA12" s="312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6326</v>
      </c>
      <c r="BH12" s="312" t="s">
        <v>6196</v>
      </c>
      <c r="BI12" s="312" t="s">
        <v>6196</v>
      </c>
      <c r="BJ12" s="312">
        <v>2</v>
      </c>
      <c r="BK12" s="312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7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304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304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12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12" t="s">
        <v>4432</v>
      </c>
      <c r="DO12" s="301" t="s">
        <v>4562</v>
      </c>
    </row>
    <row r="13" spans="1:119">
      <c r="A13" s="18">
        <v>8</v>
      </c>
      <c r="B13" s="318"/>
      <c r="C13" s="318"/>
      <c r="D13" s="383"/>
      <c r="E13" s="324"/>
      <c r="F13" s="318"/>
      <c r="G13" s="327"/>
      <c r="H13" s="327"/>
      <c r="I13" s="327"/>
      <c r="J13" s="285" t="s">
        <v>4400</v>
      </c>
      <c r="K13" s="314" t="s">
        <v>4380</v>
      </c>
      <c r="L13" s="312" t="s">
        <v>5786</v>
      </c>
      <c r="M13" s="314" t="s">
        <v>4504</v>
      </c>
      <c r="N13" s="312" t="s">
        <v>4697</v>
      </c>
      <c r="O13" s="18" t="s">
        <v>4503</v>
      </c>
      <c r="P13" s="312" t="s">
        <v>6325</v>
      </c>
      <c r="Q13" s="312" t="s">
        <v>4417</v>
      </c>
      <c r="R13" s="312" t="s">
        <v>6156</v>
      </c>
      <c r="S13" s="312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12" t="s">
        <v>4417</v>
      </c>
      <c r="Y13" s="312" t="s">
        <v>5786</v>
      </c>
      <c r="Z13" s="312" t="s">
        <v>6040</v>
      </c>
      <c r="AA13" s="18">
        <v>6</v>
      </c>
      <c r="AB13" s="223">
        <v>0</v>
      </c>
      <c r="AC13" s="18">
        <v>0</v>
      </c>
      <c r="AD13" s="314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14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14" t="s">
        <v>5801</v>
      </c>
      <c r="AX13" s="312" t="s">
        <v>6121</v>
      </c>
      <c r="AY13" s="21" t="s">
        <v>6121</v>
      </c>
      <c r="AZ13" s="21">
        <v>19.05</v>
      </c>
      <c r="BA13" s="312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6326</v>
      </c>
      <c r="BH13" s="312" t="s">
        <v>6196</v>
      </c>
      <c r="BI13" s="312" t="s">
        <v>6196</v>
      </c>
      <c r="BJ13" s="312">
        <v>2</v>
      </c>
      <c r="BK13" s="312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7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304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304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12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12" t="s">
        <v>4432</v>
      </c>
      <c r="DO13" s="301" t="s">
        <v>4562</v>
      </c>
    </row>
    <row r="14" spans="1:119">
      <c r="A14" s="18">
        <v>9</v>
      </c>
      <c r="B14" s="318"/>
      <c r="C14" s="318"/>
      <c r="D14" s="383"/>
      <c r="E14" s="324"/>
      <c r="F14" s="318"/>
      <c r="G14" s="327"/>
      <c r="H14" s="327"/>
      <c r="I14" s="327"/>
      <c r="J14" s="285" t="s">
        <v>4401</v>
      </c>
      <c r="K14" s="314" t="s">
        <v>4380</v>
      </c>
      <c r="L14" s="312" t="s">
        <v>5786</v>
      </c>
      <c r="M14" s="314" t="s">
        <v>4504</v>
      </c>
      <c r="N14" s="312" t="s">
        <v>4697</v>
      </c>
      <c r="O14" s="18" t="s">
        <v>4503</v>
      </c>
      <c r="P14" s="312" t="s">
        <v>6325</v>
      </c>
      <c r="Q14" s="312" t="s">
        <v>4417</v>
      </c>
      <c r="R14" s="312" t="s">
        <v>6325</v>
      </c>
      <c r="S14" s="312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12" t="s">
        <v>4417</v>
      </c>
      <c r="Y14" s="312" t="s">
        <v>5786</v>
      </c>
      <c r="Z14" s="312" t="s">
        <v>6040</v>
      </c>
      <c r="AA14" s="18">
        <v>6</v>
      </c>
      <c r="AB14" s="223">
        <v>0</v>
      </c>
      <c r="AC14" s="18">
        <v>0</v>
      </c>
      <c r="AD14" s="314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14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14" t="s">
        <v>5801</v>
      </c>
      <c r="AX14" s="312" t="s">
        <v>6121</v>
      </c>
      <c r="AY14" s="21" t="s">
        <v>6121</v>
      </c>
      <c r="AZ14" s="21">
        <v>19.05</v>
      </c>
      <c r="BA14" s="312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6326</v>
      </c>
      <c r="BH14" s="312" t="s">
        <v>6196</v>
      </c>
      <c r="BI14" s="312" t="s">
        <v>6196</v>
      </c>
      <c r="BJ14" s="312">
        <v>2</v>
      </c>
      <c r="BK14" s="312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7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304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304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12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12" t="s">
        <v>4432</v>
      </c>
      <c r="DO14" s="301" t="s">
        <v>4562</v>
      </c>
    </row>
    <row r="15" spans="1:119">
      <c r="A15" s="18">
        <v>10</v>
      </c>
      <c r="B15" s="318"/>
      <c r="C15" s="318"/>
      <c r="D15" s="383"/>
      <c r="E15" s="324"/>
      <c r="F15" s="318"/>
      <c r="G15" s="327"/>
      <c r="H15" s="327"/>
      <c r="I15" s="327"/>
      <c r="J15" s="285" t="s">
        <v>4402</v>
      </c>
      <c r="K15" s="314" t="s">
        <v>4380</v>
      </c>
      <c r="L15" s="312" t="s">
        <v>5786</v>
      </c>
      <c r="M15" s="314" t="s">
        <v>4504</v>
      </c>
      <c r="N15" s="312" t="s">
        <v>4697</v>
      </c>
      <c r="O15" s="18" t="s">
        <v>4503</v>
      </c>
      <c r="P15" s="312" t="s">
        <v>6325</v>
      </c>
      <c r="Q15" s="312" t="s">
        <v>4417</v>
      </c>
      <c r="R15" s="312" t="s">
        <v>6156</v>
      </c>
      <c r="S15" s="312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12" t="s">
        <v>4417</v>
      </c>
      <c r="Y15" s="312" t="s">
        <v>5786</v>
      </c>
      <c r="Z15" s="312" t="s">
        <v>6040</v>
      </c>
      <c r="AA15" s="18">
        <v>6</v>
      </c>
      <c r="AB15" s="223">
        <v>0</v>
      </c>
      <c r="AC15" s="18">
        <v>0</v>
      </c>
      <c r="AD15" s="314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14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14" t="s">
        <v>5801</v>
      </c>
      <c r="AX15" s="312" t="s">
        <v>6121</v>
      </c>
      <c r="AY15" s="21" t="s">
        <v>6121</v>
      </c>
      <c r="AZ15" s="21">
        <v>19.05</v>
      </c>
      <c r="BA15" s="312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6326</v>
      </c>
      <c r="BH15" s="312" t="s">
        <v>6196</v>
      </c>
      <c r="BI15" s="312" t="s">
        <v>6196</v>
      </c>
      <c r="BJ15" s="312">
        <v>2</v>
      </c>
      <c r="BK15" s="312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7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304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304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12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12" t="s">
        <v>4432</v>
      </c>
      <c r="DO15" s="301" t="s">
        <v>4562</v>
      </c>
    </row>
    <row r="16" spans="1:119">
      <c r="A16" s="18">
        <v>11</v>
      </c>
      <c r="B16" s="318"/>
      <c r="C16" s="318"/>
      <c r="D16" s="383"/>
      <c r="E16" s="324"/>
      <c r="F16" s="318"/>
      <c r="G16" s="327"/>
      <c r="H16" s="327"/>
      <c r="I16" s="327"/>
      <c r="J16" s="285" t="s">
        <v>4403</v>
      </c>
      <c r="K16" s="314" t="s">
        <v>4380</v>
      </c>
      <c r="L16" s="312" t="s">
        <v>5786</v>
      </c>
      <c r="M16" s="314" t="s">
        <v>4504</v>
      </c>
      <c r="N16" s="312" t="s">
        <v>4697</v>
      </c>
      <c r="O16" s="18" t="s">
        <v>4503</v>
      </c>
      <c r="P16" s="312" t="s">
        <v>6325</v>
      </c>
      <c r="Q16" s="312" t="s">
        <v>4417</v>
      </c>
      <c r="R16" s="312" t="s">
        <v>6325</v>
      </c>
      <c r="S16" s="312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12" t="s">
        <v>4417</v>
      </c>
      <c r="Y16" s="312" t="s">
        <v>5786</v>
      </c>
      <c r="Z16" s="312" t="s">
        <v>6040</v>
      </c>
      <c r="AA16" s="18">
        <v>6</v>
      </c>
      <c r="AB16" s="223">
        <v>0</v>
      </c>
      <c r="AC16" s="18">
        <v>0</v>
      </c>
      <c r="AD16" s="314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14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14" t="s">
        <v>5801</v>
      </c>
      <c r="AX16" s="312" t="s">
        <v>6121</v>
      </c>
      <c r="AY16" s="21" t="s">
        <v>6121</v>
      </c>
      <c r="AZ16" s="21">
        <v>19.05</v>
      </c>
      <c r="BA16" s="312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6326</v>
      </c>
      <c r="BH16" s="312" t="s">
        <v>6196</v>
      </c>
      <c r="BI16" s="312" t="s">
        <v>6196</v>
      </c>
      <c r="BJ16" s="312">
        <v>2</v>
      </c>
      <c r="BK16" s="312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7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304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304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12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12" t="s">
        <v>4432</v>
      </c>
      <c r="DO16" s="301" t="s">
        <v>4562</v>
      </c>
    </row>
    <row r="17" spans="1:119">
      <c r="A17" s="18">
        <v>12</v>
      </c>
      <c r="B17" s="318"/>
      <c r="C17" s="318"/>
      <c r="D17" s="383"/>
      <c r="E17" s="324"/>
      <c r="F17" s="318"/>
      <c r="G17" s="327"/>
      <c r="H17" s="327"/>
      <c r="I17" s="327"/>
      <c r="J17" s="285" t="s">
        <v>4404</v>
      </c>
      <c r="K17" s="314" t="s">
        <v>4380</v>
      </c>
      <c r="L17" s="312" t="s">
        <v>5786</v>
      </c>
      <c r="M17" s="314" t="s">
        <v>4504</v>
      </c>
      <c r="N17" s="312" t="s">
        <v>4697</v>
      </c>
      <c r="O17" s="18" t="s">
        <v>4503</v>
      </c>
      <c r="P17" s="312" t="s">
        <v>6325</v>
      </c>
      <c r="Q17" s="312" t="s">
        <v>4417</v>
      </c>
      <c r="R17" s="312" t="s">
        <v>6325</v>
      </c>
      <c r="S17" s="312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12" t="s">
        <v>4417</v>
      </c>
      <c r="Y17" s="312" t="s">
        <v>5786</v>
      </c>
      <c r="Z17" s="312" t="s">
        <v>6040</v>
      </c>
      <c r="AA17" s="18">
        <v>6</v>
      </c>
      <c r="AB17" s="223">
        <v>0</v>
      </c>
      <c r="AC17" s="18">
        <v>0</v>
      </c>
      <c r="AD17" s="314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14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14" t="s">
        <v>5801</v>
      </c>
      <c r="AX17" s="312" t="s">
        <v>6121</v>
      </c>
      <c r="AY17" s="21" t="s">
        <v>6121</v>
      </c>
      <c r="AZ17" s="21">
        <v>19.05</v>
      </c>
      <c r="BA17" s="312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6326</v>
      </c>
      <c r="BH17" s="312" t="s">
        <v>6196</v>
      </c>
      <c r="BI17" s="312" t="s">
        <v>6196</v>
      </c>
      <c r="BJ17" s="312">
        <v>2</v>
      </c>
      <c r="BK17" s="312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7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304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304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12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12" t="s">
        <v>4432</v>
      </c>
      <c r="DO17" s="301" t="s">
        <v>4562</v>
      </c>
    </row>
    <row r="18" spans="1:119">
      <c r="A18" s="18">
        <v>13</v>
      </c>
      <c r="B18" s="318"/>
      <c r="C18" s="318"/>
      <c r="D18" s="383"/>
      <c r="E18" s="324"/>
      <c r="F18" s="318"/>
      <c r="G18" s="327"/>
      <c r="H18" s="327"/>
      <c r="I18" s="327"/>
      <c r="J18" s="285" t="s">
        <v>4405</v>
      </c>
      <c r="K18" s="314" t="s">
        <v>4380</v>
      </c>
      <c r="L18" s="312" t="s">
        <v>5786</v>
      </c>
      <c r="M18" s="314" t="s">
        <v>4504</v>
      </c>
      <c r="N18" s="312" t="s">
        <v>4697</v>
      </c>
      <c r="O18" s="18" t="s">
        <v>4503</v>
      </c>
      <c r="P18" s="312" t="s">
        <v>6325</v>
      </c>
      <c r="Q18" s="312" t="s">
        <v>4417</v>
      </c>
      <c r="R18" s="312" t="s">
        <v>6325</v>
      </c>
      <c r="S18" s="312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12" t="s">
        <v>4417</v>
      </c>
      <c r="Y18" s="312" t="s">
        <v>5786</v>
      </c>
      <c r="Z18" s="312" t="s">
        <v>6040</v>
      </c>
      <c r="AA18" s="18">
        <v>6</v>
      </c>
      <c r="AB18" s="223">
        <v>0</v>
      </c>
      <c r="AC18" s="18">
        <v>0</v>
      </c>
      <c r="AD18" s="314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14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14" t="s">
        <v>5801</v>
      </c>
      <c r="AX18" s="312" t="s">
        <v>6121</v>
      </c>
      <c r="AY18" s="21" t="s">
        <v>6121</v>
      </c>
      <c r="AZ18" s="21">
        <v>19.05</v>
      </c>
      <c r="BA18" s="312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6326</v>
      </c>
      <c r="BH18" s="312" t="s">
        <v>6196</v>
      </c>
      <c r="BI18" s="312" t="s">
        <v>6196</v>
      </c>
      <c r="BJ18" s="312">
        <v>2</v>
      </c>
      <c r="BK18" s="312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7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304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304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12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12" t="s">
        <v>4432</v>
      </c>
      <c r="DO18" s="301" t="s">
        <v>4562</v>
      </c>
    </row>
    <row r="19" spans="1:119">
      <c r="A19" s="18">
        <v>14</v>
      </c>
      <c r="B19" s="318"/>
      <c r="C19" s="318"/>
      <c r="D19" s="383"/>
      <c r="E19" s="324"/>
      <c r="F19" s="318"/>
      <c r="G19" s="327"/>
      <c r="H19" s="327"/>
      <c r="I19" s="327"/>
      <c r="J19" s="285" t="s">
        <v>4406</v>
      </c>
      <c r="K19" s="314" t="s">
        <v>4380</v>
      </c>
      <c r="L19" s="312" t="s">
        <v>5786</v>
      </c>
      <c r="M19" s="314" t="s">
        <v>4504</v>
      </c>
      <c r="N19" s="312" t="s">
        <v>4697</v>
      </c>
      <c r="O19" s="18" t="s">
        <v>4503</v>
      </c>
      <c r="P19" s="312" t="s">
        <v>6325</v>
      </c>
      <c r="Q19" s="312" t="s">
        <v>4417</v>
      </c>
      <c r="R19" s="312" t="s">
        <v>6156</v>
      </c>
      <c r="S19" s="312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12" t="s">
        <v>4417</v>
      </c>
      <c r="Y19" s="312" t="s">
        <v>5786</v>
      </c>
      <c r="Z19" s="312" t="s">
        <v>6040</v>
      </c>
      <c r="AA19" s="18">
        <v>6</v>
      </c>
      <c r="AB19" s="223">
        <v>0</v>
      </c>
      <c r="AC19" s="18">
        <v>0</v>
      </c>
      <c r="AD19" s="314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14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14" t="s">
        <v>5801</v>
      </c>
      <c r="AX19" s="312" t="s">
        <v>6121</v>
      </c>
      <c r="AY19" s="21" t="s">
        <v>6121</v>
      </c>
      <c r="AZ19" s="21">
        <v>19.05</v>
      </c>
      <c r="BA19" s="312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6326</v>
      </c>
      <c r="BH19" s="312" t="s">
        <v>6196</v>
      </c>
      <c r="BI19" s="312" t="s">
        <v>6196</v>
      </c>
      <c r="BJ19" s="312">
        <v>2</v>
      </c>
      <c r="BK19" s="312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7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304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304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12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12" t="s">
        <v>4432</v>
      </c>
      <c r="DO19" s="301" t="s">
        <v>4562</v>
      </c>
    </row>
    <row r="20" spans="1:119">
      <c r="A20" s="18">
        <v>15</v>
      </c>
      <c r="B20" s="318"/>
      <c r="C20" s="318"/>
      <c r="D20" s="383"/>
      <c r="E20" s="324"/>
      <c r="F20" s="318"/>
      <c r="G20" s="327"/>
      <c r="H20" s="327"/>
      <c r="I20" s="327"/>
      <c r="J20" s="285" t="s">
        <v>4407</v>
      </c>
      <c r="K20" s="314" t="s">
        <v>4380</v>
      </c>
      <c r="L20" s="312" t="s">
        <v>5786</v>
      </c>
      <c r="M20" s="314" t="s">
        <v>4504</v>
      </c>
      <c r="N20" s="312" t="s">
        <v>4697</v>
      </c>
      <c r="O20" s="18" t="s">
        <v>4503</v>
      </c>
      <c r="P20" s="312" t="s">
        <v>6325</v>
      </c>
      <c r="Q20" s="312" t="s">
        <v>4417</v>
      </c>
      <c r="R20" s="312" t="s">
        <v>6156</v>
      </c>
      <c r="S20" s="312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12" t="s">
        <v>4417</v>
      </c>
      <c r="Y20" s="312" t="s">
        <v>5786</v>
      </c>
      <c r="Z20" s="312" t="s">
        <v>6040</v>
      </c>
      <c r="AA20" s="18">
        <v>6</v>
      </c>
      <c r="AB20" s="223">
        <v>0</v>
      </c>
      <c r="AC20" s="18">
        <v>0</v>
      </c>
      <c r="AD20" s="314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14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14" t="s">
        <v>5801</v>
      </c>
      <c r="AX20" s="312" t="s">
        <v>6121</v>
      </c>
      <c r="AY20" s="21" t="s">
        <v>6121</v>
      </c>
      <c r="AZ20" s="21">
        <v>19.05</v>
      </c>
      <c r="BA20" s="312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6326</v>
      </c>
      <c r="BH20" s="312" t="s">
        <v>6196</v>
      </c>
      <c r="BI20" s="312" t="s">
        <v>6196</v>
      </c>
      <c r="BJ20" s="312">
        <v>2</v>
      </c>
      <c r="BK20" s="312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7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304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304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12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12" t="s">
        <v>4432</v>
      </c>
      <c r="DO20" s="301" t="s">
        <v>4562</v>
      </c>
    </row>
    <row r="21" spans="1:119">
      <c r="A21" s="18">
        <v>16</v>
      </c>
      <c r="B21" s="318"/>
      <c r="C21" s="318"/>
      <c r="D21" s="383"/>
      <c r="E21" s="324"/>
      <c r="F21" s="318"/>
      <c r="G21" s="327"/>
      <c r="H21" s="327"/>
      <c r="I21" s="327"/>
      <c r="J21" s="285" t="s">
        <v>4408</v>
      </c>
      <c r="K21" s="314" t="s">
        <v>4380</v>
      </c>
      <c r="L21" s="312" t="s">
        <v>5786</v>
      </c>
      <c r="M21" s="314" t="s">
        <v>4504</v>
      </c>
      <c r="N21" s="312" t="s">
        <v>4697</v>
      </c>
      <c r="O21" s="18" t="s">
        <v>4503</v>
      </c>
      <c r="P21" s="312" t="s">
        <v>6325</v>
      </c>
      <c r="Q21" s="312" t="s">
        <v>4417</v>
      </c>
      <c r="R21" s="312" t="s">
        <v>6156</v>
      </c>
      <c r="S21" s="312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12" t="s">
        <v>4417</v>
      </c>
      <c r="Y21" s="312" t="s">
        <v>5786</v>
      </c>
      <c r="Z21" s="312" t="s">
        <v>6040</v>
      </c>
      <c r="AA21" s="18">
        <v>6</v>
      </c>
      <c r="AB21" s="223">
        <v>0</v>
      </c>
      <c r="AC21" s="18">
        <v>0</v>
      </c>
      <c r="AD21" s="314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14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14" t="s">
        <v>5801</v>
      </c>
      <c r="AX21" s="312" t="s">
        <v>6121</v>
      </c>
      <c r="AY21" s="21" t="s">
        <v>6121</v>
      </c>
      <c r="AZ21" s="21">
        <v>19.05</v>
      </c>
      <c r="BA21" s="312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6326</v>
      </c>
      <c r="BH21" s="312" t="s">
        <v>6196</v>
      </c>
      <c r="BI21" s="312" t="s">
        <v>6196</v>
      </c>
      <c r="BJ21" s="312">
        <v>2</v>
      </c>
      <c r="BK21" s="312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7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304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304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12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12" t="s">
        <v>4432</v>
      </c>
      <c r="DO21" s="301" t="s">
        <v>4562</v>
      </c>
    </row>
    <row r="22" spans="1:119">
      <c r="A22" s="18">
        <v>17</v>
      </c>
      <c r="B22" s="318"/>
      <c r="C22" s="318"/>
      <c r="D22" s="383"/>
      <c r="E22" s="324"/>
      <c r="F22" s="318"/>
      <c r="G22" s="327"/>
      <c r="H22" s="327"/>
      <c r="I22" s="327"/>
      <c r="J22" s="285" t="s">
        <v>4409</v>
      </c>
      <c r="K22" s="314" t="s">
        <v>4380</v>
      </c>
      <c r="L22" s="312" t="s">
        <v>5786</v>
      </c>
      <c r="M22" s="314" t="s">
        <v>4504</v>
      </c>
      <c r="N22" s="312" t="s">
        <v>4697</v>
      </c>
      <c r="O22" s="18" t="s">
        <v>4503</v>
      </c>
      <c r="P22" s="312" t="s">
        <v>6325</v>
      </c>
      <c r="Q22" s="312" t="s">
        <v>4417</v>
      </c>
      <c r="R22" s="312" t="s">
        <v>6325</v>
      </c>
      <c r="S22" s="312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12" t="s">
        <v>4417</v>
      </c>
      <c r="Y22" s="312" t="s">
        <v>5786</v>
      </c>
      <c r="Z22" s="312" t="s">
        <v>6040</v>
      </c>
      <c r="AA22" s="18">
        <v>6</v>
      </c>
      <c r="AB22" s="223">
        <v>0</v>
      </c>
      <c r="AC22" s="18">
        <v>0</v>
      </c>
      <c r="AD22" s="314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14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14" t="s">
        <v>5801</v>
      </c>
      <c r="AX22" s="312" t="s">
        <v>6121</v>
      </c>
      <c r="AY22" s="21" t="s">
        <v>6121</v>
      </c>
      <c r="AZ22" s="21">
        <v>19.05</v>
      </c>
      <c r="BA22" s="312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6326</v>
      </c>
      <c r="BH22" s="312" t="s">
        <v>6196</v>
      </c>
      <c r="BI22" s="312" t="s">
        <v>6196</v>
      </c>
      <c r="BJ22" s="312">
        <v>2</v>
      </c>
      <c r="BK22" s="312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7" t="s">
        <v>4422</v>
      </c>
      <c r="CH22" s="58">
        <v>300</v>
      </c>
      <c r="CI22" s="307">
        <v>399</v>
      </c>
      <c r="CJ22" s="58">
        <v>450</v>
      </c>
      <c r="CK22" s="46">
        <v>539</v>
      </c>
      <c r="CL22" s="65">
        <v>200000</v>
      </c>
      <c r="CM22" s="304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304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12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12" t="s">
        <v>4432</v>
      </c>
      <c r="DO22" s="301" t="s">
        <v>4562</v>
      </c>
    </row>
    <row r="23" spans="1:119">
      <c r="A23" s="18">
        <v>18</v>
      </c>
      <c r="B23" s="318"/>
      <c r="C23" s="318"/>
      <c r="D23" s="383"/>
      <c r="E23" s="324"/>
      <c r="F23" s="318"/>
      <c r="G23" s="327"/>
      <c r="H23" s="327"/>
      <c r="I23" s="327"/>
      <c r="J23" s="285" t="s">
        <v>4410</v>
      </c>
      <c r="K23" s="314" t="s">
        <v>4380</v>
      </c>
      <c r="L23" s="312" t="s">
        <v>5786</v>
      </c>
      <c r="M23" s="314" t="s">
        <v>4504</v>
      </c>
      <c r="N23" s="312" t="s">
        <v>4697</v>
      </c>
      <c r="O23" s="18" t="s">
        <v>4503</v>
      </c>
      <c r="P23" s="312" t="s">
        <v>6325</v>
      </c>
      <c r="Q23" s="312" t="s">
        <v>4417</v>
      </c>
      <c r="R23" s="312" t="s">
        <v>6325</v>
      </c>
      <c r="S23" s="312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12" t="s">
        <v>4417</v>
      </c>
      <c r="Y23" s="312" t="s">
        <v>5786</v>
      </c>
      <c r="Z23" s="312" t="s">
        <v>6040</v>
      </c>
      <c r="AA23" s="18">
        <v>6</v>
      </c>
      <c r="AB23" s="223">
        <v>0</v>
      </c>
      <c r="AC23" s="18">
        <v>0</v>
      </c>
      <c r="AD23" s="314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14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14" t="s">
        <v>5801</v>
      </c>
      <c r="AX23" s="312" t="s">
        <v>6121</v>
      </c>
      <c r="AY23" s="21" t="s">
        <v>6121</v>
      </c>
      <c r="AZ23" s="21">
        <v>19.05</v>
      </c>
      <c r="BA23" s="312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6326</v>
      </c>
      <c r="BH23" s="312" t="s">
        <v>6196</v>
      </c>
      <c r="BI23" s="312" t="s">
        <v>6196</v>
      </c>
      <c r="BJ23" s="312">
        <v>2</v>
      </c>
      <c r="BK23" s="312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7" t="s">
        <v>4422</v>
      </c>
      <c r="CH23" s="58">
        <v>300</v>
      </c>
      <c r="CI23" s="307">
        <v>399</v>
      </c>
      <c r="CJ23" s="58">
        <v>450</v>
      </c>
      <c r="CK23" s="46">
        <v>539</v>
      </c>
      <c r="CL23" s="65">
        <v>200000</v>
      </c>
      <c r="CM23" s="304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304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12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12" t="s">
        <v>4432</v>
      </c>
      <c r="DO23" s="301" t="s">
        <v>4562</v>
      </c>
    </row>
    <row r="24" spans="1:119">
      <c r="A24" s="18">
        <v>19</v>
      </c>
      <c r="B24" s="318"/>
      <c r="C24" s="318"/>
      <c r="D24" s="383"/>
      <c r="E24" s="324"/>
      <c r="F24" s="318"/>
      <c r="G24" s="327"/>
      <c r="H24" s="327"/>
      <c r="I24" s="327"/>
      <c r="J24" s="285" t="s">
        <v>4411</v>
      </c>
      <c r="K24" s="314" t="s">
        <v>4380</v>
      </c>
      <c r="L24" s="312" t="s">
        <v>5786</v>
      </c>
      <c r="M24" s="314" t="s">
        <v>4504</v>
      </c>
      <c r="N24" s="312" t="s">
        <v>4697</v>
      </c>
      <c r="O24" s="18" t="s">
        <v>4503</v>
      </c>
      <c r="P24" s="312" t="s">
        <v>6325</v>
      </c>
      <c r="Q24" s="312" t="s">
        <v>4417</v>
      </c>
      <c r="R24" s="312" t="s">
        <v>6325</v>
      </c>
      <c r="S24" s="312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12" t="s">
        <v>4417</v>
      </c>
      <c r="Y24" s="312" t="s">
        <v>5786</v>
      </c>
      <c r="Z24" s="312" t="s">
        <v>6040</v>
      </c>
      <c r="AA24" s="18">
        <v>6</v>
      </c>
      <c r="AB24" s="223">
        <v>0</v>
      </c>
      <c r="AC24" s="18">
        <v>0</v>
      </c>
      <c r="AD24" s="314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14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14" t="s">
        <v>5801</v>
      </c>
      <c r="AX24" s="312" t="s">
        <v>6121</v>
      </c>
      <c r="AY24" s="21" t="s">
        <v>6121</v>
      </c>
      <c r="AZ24" s="21">
        <v>19.05</v>
      </c>
      <c r="BA24" s="312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6326</v>
      </c>
      <c r="BH24" s="312" t="s">
        <v>6196</v>
      </c>
      <c r="BI24" s="312" t="s">
        <v>6196</v>
      </c>
      <c r="BJ24" s="312">
        <v>2</v>
      </c>
      <c r="BK24" s="312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7" t="s">
        <v>4422</v>
      </c>
      <c r="CH24" s="58">
        <v>300</v>
      </c>
      <c r="CI24" s="307">
        <v>399</v>
      </c>
      <c r="CJ24" s="58">
        <v>450</v>
      </c>
      <c r="CK24" s="46">
        <v>539</v>
      </c>
      <c r="CL24" s="65">
        <v>200000</v>
      </c>
      <c r="CM24" s="304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304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12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12" t="s">
        <v>4432</v>
      </c>
      <c r="DO24" s="301" t="s">
        <v>4562</v>
      </c>
    </row>
    <row r="25" spans="1:119">
      <c r="A25" s="18">
        <v>20</v>
      </c>
      <c r="B25" s="318"/>
      <c r="C25" s="318"/>
      <c r="D25" s="383"/>
      <c r="E25" s="324"/>
      <c r="F25" s="318"/>
      <c r="G25" s="327"/>
      <c r="H25" s="327"/>
      <c r="I25" s="327"/>
      <c r="J25" s="285" t="s">
        <v>4412</v>
      </c>
      <c r="K25" s="314" t="s">
        <v>4380</v>
      </c>
      <c r="L25" s="312" t="s">
        <v>5786</v>
      </c>
      <c r="M25" s="314" t="s">
        <v>4504</v>
      </c>
      <c r="N25" s="312" t="s">
        <v>4697</v>
      </c>
      <c r="O25" s="18" t="s">
        <v>4503</v>
      </c>
      <c r="P25" s="312" t="s">
        <v>6325</v>
      </c>
      <c r="Q25" s="312" t="s">
        <v>4417</v>
      </c>
      <c r="R25" s="312" t="s">
        <v>6156</v>
      </c>
      <c r="S25" s="312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12" t="s">
        <v>4417</v>
      </c>
      <c r="Y25" s="312" t="s">
        <v>5786</v>
      </c>
      <c r="Z25" s="312" t="s">
        <v>6040</v>
      </c>
      <c r="AA25" s="18">
        <v>6</v>
      </c>
      <c r="AB25" s="223">
        <v>0</v>
      </c>
      <c r="AC25" s="18">
        <v>0</v>
      </c>
      <c r="AD25" s="314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14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14" t="s">
        <v>5801</v>
      </c>
      <c r="AX25" s="312" t="s">
        <v>6121</v>
      </c>
      <c r="AY25" s="21" t="s">
        <v>6121</v>
      </c>
      <c r="AZ25" s="21">
        <v>19.05</v>
      </c>
      <c r="BA25" s="312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6326</v>
      </c>
      <c r="BH25" s="312" t="s">
        <v>6196</v>
      </c>
      <c r="BI25" s="312" t="s">
        <v>6196</v>
      </c>
      <c r="BJ25" s="312">
        <v>2</v>
      </c>
      <c r="BK25" s="312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7" t="s">
        <v>4422</v>
      </c>
      <c r="CH25" s="58">
        <v>300</v>
      </c>
      <c r="CI25" s="307">
        <v>399</v>
      </c>
      <c r="CJ25" s="58">
        <v>450</v>
      </c>
      <c r="CK25" s="46">
        <v>539</v>
      </c>
      <c r="CL25" s="65">
        <v>200000</v>
      </c>
      <c r="CM25" s="304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304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12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12" t="s">
        <v>4432</v>
      </c>
      <c r="DO25" s="301" t="s">
        <v>4562</v>
      </c>
    </row>
    <row r="26" spans="1:119">
      <c r="A26" s="18">
        <v>21</v>
      </c>
      <c r="B26" s="318"/>
      <c r="C26" s="318"/>
      <c r="D26" s="383"/>
      <c r="E26" s="324"/>
      <c r="F26" s="318"/>
      <c r="G26" s="327"/>
      <c r="H26" s="327"/>
      <c r="I26" s="327"/>
      <c r="J26" s="285" t="s">
        <v>4413</v>
      </c>
      <c r="K26" s="314" t="s">
        <v>4380</v>
      </c>
      <c r="L26" s="312" t="s">
        <v>5786</v>
      </c>
      <c r="M26" s="314" t="s">
        <v>4504</v>
      </c>
      <c r="N26" s="312" t="s">
        <v>4697</v>
      </c>
      <c r="O26" s="18" t="s">
        <v>4503</v>
      </c>
      <c r="P26" s="312" t="s">
        <v>6325</v>
      </c>
      <c r="Q26" s="312" t="s">
        <v>4417</v>
      </c>
      <c r="R26" s="312" t="s">
        <v>6156</v>
      </c>
      <c r="S26" s="312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12" t="s">
        <v>4417</v>
      </c>
      <c r="Y26" s="312" t="s">
        <v>5786</v>
      </c>
      <c r="Z26" s="312" t="s">
        <v>6040</v>
      </c>
      <c r="AA26" s="18">
        <v>6</v>
      </c>
      <c r="AB26" s="223">
        <v>0</v>
      </c>
      <c r="AC26" s="18">
        <v>0</v>
      </c>
      <c r="AD26" s="314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14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14" t="s">
        <v>5801</v>
      </c>
      <c r="AX26" s="312" t="s">
        <v>6121</v>
      </c>
      <c r="AY26" s="21" t="s">
        <v>6121</v>
      </c>
      <c r="AZ26" s="21">
        <v>19.05</v>
      </c>
      <c r="BA26" s="312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6326</v>
      </c>
      <c r="BH26" s="312" t="s">
        <v>6196</v>
      </c>
      <c r="BI26" s="312" t="s">
        <v>6196</v>
      </c>
      <c r="BJ26" s="312">
        <v>2</v>
      </c>
      <c r="BK26" s="312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7" t="s">
        <v>4422</v>
      </c>
      <c r="CH26" s="58">
        <v>300</v>
      </c>
      <c r="CI26" s="307">
        <v>399</v>
      </c>
      <c r="CJ26" s="58">
        <v>450</v>
      </c>
      <c r="CK26" s="46">
        <v>539</v>
      </c>
      <c r="CL26" s="65">
        <v>200000</v>
      </c>
      <c r="CM26" s="304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304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12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12" t="s">
        <v>4432</v>
      </c>
      <c r="DO26" s="301" t="s">
        <v>4562</v>
      </c>
    </row>
    <row r="27" spans="1:119">
      <c r="A27" s="18">
        <v>22</v>
      </c>
      <c r="B27" s="318"/>
      <c r="C27" s="318"/>
      <c r="D27" s="383"/>
      <c r="E27" s="324"/>
      <c r="F27" s="318"/>
      <c r="G27" s="327"/>
      <c r="H27" s="327"/>
      <c r="I27" s="327"/>
      <c r="J27" s="285" t="s">
        <v>4414</v>
      </c>
      <c r="K27" s="314" t="s">
        <v>4380</v>
      </c>
      <c r="L27" s="312" t="s">
        <v>5786</v>
      </c>
      <c r="M27" s="314" t="s">
        <v>4504</v>
      </c>
      <c r="N27" s="312" t="s">
        <v>4697</v>
      </c>
      <c r="O27" s="18" t="s">
        <v>4503</v>
      </c>
      <c r="P27" s="312" t="s">
        <v>6325</v>
      </c>
      <c r="Q27" s="312" t="s">
        <v>4417</v>
      </c>
      <c r="R27" s="312" t="s">
        <v>6156</v>
      </c>
      <c r="S27" s="312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12" t="s">
        <v>4417</v>
      </c>
      <c r="Y27" s="312" t="s">
        <v>5786</v>
      </c>
      <c r="Z27" s="312" t="s">
        <v>6040</v>
      </c>
      <c r="AA27" s="18">
        <v>6</v>
      </c>
      <c r="AB27" s="223">
        <v>0</v>
      </c>
      <c r="AC27" s="18">
        <v>0</v>
      </c>
      <c r="AD27" s="314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14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14" t="s">
        <v>5801</v>
      </c>
      <c r="AX27" s="312" t="s">
        <v>6121</v>
      </c>
      <c r="AY27" s="21" t="s">
        <v>6121</v>
      </c>
      <c r="AZ27" s="21">
        <v>19.05</v>
      </c>
      <c r="BA27" s="312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6326</v>
      </c>
      <c r="BH27" s="312" t="s">
        <v>6196</v>
      </c>
      <c r="BI27" s="312" t="s">
        <v>6196</v>
      </c>
      <c r="BJ27" s="312">
        <v>2</v>
      </c>
      <c r="BK27" s="312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7" t="s">
        <v>4422</v>
      </c>
      <c r="CH27" s="58">
        <v>300</v>
      </c>
      <c r="CI27" s="307">
        <v>399</v>
      </c>
      <c r="CJ27" s="58">
        <v>450</v>
      </c>
      <c r="CK27" s="46">
        <v>539</v>
      </c>
      <c r="CL27" s="65">
        <v>200000</v>
      </c>
      <c r="CM27" s="304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304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12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12" t="s">
        <v>4432</v>
      </c>
      <c r="DO27" s="301" t="s">
        <v>4562</v>
      </c>
    </row>
    <row r="28" spans="1:119">
      <c r="A28" s="18">
        <v>23</v>
      </c>
      <c r="B28" s="318"/>
      <c r="C28" s="318"/>
      <c r="D28" s="383"/>
      <c r="E28" s="324"/>
      <c r="F28" s="318"/>
      <c r="G28" s="327"/>
      <c r="H28" s="327"/>
      <c r="I28" s="327"/>
      <c r="J28" s="285" t="s">
        <v>4415</v>
      </c>
      <c r="K28" s="314" t="s">
        <v>4380</v>
      </c>
      <c r="L28" s="312" t="s">
        <v>5786</v>
      </c>
      <c r="M28" s="314" t="s">
        <v>4504</v>
      </c>
      <c r="N28" s="312" t="s">
        <v>4697</v>
      </c>
      <c r="O28" s="18" t="s">
        <v>4503</v>
      </c>
      <c r="P28" s="312" t="s">
        <v>6325</v>
      </c>
      <c r="Q28" s="312" t="s">
        <v>4417</v>
      </c>
      <c r="R28" s="312" t="s">
        <v>6325</v>
      </c>
      <c r="S28" s="312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12" t="s">
        <v>4417</v>
      </c>
      <c r="Y28" s="312" t="s">
        <v>5786</v>
      </c>
      <c r="Z28" s="312" t="s">
        <v>6040</v>
      </c>
      <c r="AA28" s="18">
        <v>6</v>
      </c>
      <c r="AB28" s="223">
        <v>0</v>
      </c>
      <c r="AC28" s="18">
        <v>0</v>
      </c>
      <c r="AD28" s="314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14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14" t="s">
        <v>5801</v>
      </c>
      <c r="AX28" s="312" t="s">
        <v>6121</v>
      </c>
      <c r="AY28" s="21" t="s">
        <v>6121</v>
      </c>
      <c r="AZ28" s="21">
        <v>19.05</v>
      </c>
      <c r="BA28" s="312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6326</v>
      </c>
      <c r="BH28" s="312" t="s">
        <v>6196</v>
      </c>
      <c r="BI28" s="312" t="s">
        <v>6196</v>
      </c>
      <c r="BJ28" s="312">
        <v>2</v>
      </c>
      <c r="BK28" s="312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7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304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304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12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12" t="s">
        <v>4432</v>
      </c>
      <c r="DO28" s="301" t="s">
        <v>4562</v>
      </c>
    </row>
    <row r="29" spans="1:119" ht="16.2" thickBot="1">
      <c r="A29" s="18">
        <v>24</v>
      </c>
      <c r="B29" s="319"/>
      <c r="C29" s="319"/>
      <c r="D29" s="384"/>
      <c r="E29" s="325"/>
      <c r="F29" s="319"/>
      <c r="G29" s="328"/>
      <c r="H29" s="328"/>
      <c r="I29" s="328"/>
      <c r="J29" s="285" t="s">
        <v>4416</v>
      </c>
      <c r="K29" s="310" t="s">
        <v>4380</v>
      </c>
      <c r="L29" s="313" t="s">
        <v>5786</v>
      </c>
      <c r="M29" s="314" t="s">
        <v>4504</v>
      </c>
      <c r="N29" s="312" t="s">
        <v>4697</v>
      </c>
      <c r="O29" s="18" t="s">
        <v>4503</v>
      </c>
      <c r="P29" s="312" t="s">
        <v>6325</v>
      </c>
      <c r="Q29" s="312" t="s">
        <v>4417</v>
      </c>
      <c r="R29" s="312" t="s">
        <v>6156</v>
      </c>
      <c r="S29" s="313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12" t="s">
        <v>4417</v>
      </c>
      <c r="Y29" s="313" t="s">
        <v>5786</v>
      </c>
      <c r="Z29" s="312" t="s">
        <v>6040</v>
      </c>
      <c r="AA29" s="18">
        <v>6</v>
      </c>
      <c r="AB29" s="223">
        <v>0</v>
      </c>
      <c r="AC29" s="18">
        <v>0</v>
      </c>
      <c r="AD29" s="31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1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14" t="s">
        <v>5801</v>
      </c>
      <c r="AX29" s="312" t="s">
        <v>6121</v>
      </c>
      <c r="AY29" s="21" t="s">
        <v>6121</v>
      </c>
      <c r="AZ29" s="21">
        <v>19.05</v>
      </c>
      <c r="BA29" s="312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6326</v>
      </c>
      <c r="BH29" s="312" t="s">
        <v>6196</v>
      </c>
      <c r="BI29" s="312" t="s">
        <v>6196</v>
      </c>
      <c r="BJ29" s="313">
        <v>2</v>
      </c>
      <c r="BK29" s="313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7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13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12" t="s">
        <v>4432</v>
      </c>
      <c r="DO29" s="301" t="s">
        <v>4562</v>
      </c>
    </row>
    <row r="30" spans="1:119" ht="15.6" customHeight="1">
      <c r="A30" s="17">
        <v>25</v>
      </c>
      <c r="B30" s="317">
        <v>2</v>
      </c>
      <c r="C30" s="317">
        <v>1974</v>
      </c>
      <c r="D30" s="329" t="s">
        <v>4461</v>
      </c>
      <c r="E30" s="329" t="s">
        <v>4830</v>
      </c>
      <c r="F30" s="317">
        <v>6</v>
      </c>
      <c r="G30" s="317" t="s">
        <v>5892</v>
      </c>
      <c r="H30" s="317" t="s">
        <v>5891</v>
      </c>
      <c r="I30" s="317" t="s">
        <v>6209</v>
      </c>
      <c r="J30" s="283" t="s">
        <v>4394</v>
      </c>
      <c r="K30" s="309" t="s">
        <v>4380</v>
      </c>
      <c r="L30" s="311" t="s">
        <v>5786</v>
      </c>
      <c r="M30" s="309" t="s">
        <v>4505</v>
      </c>
      <c r="N30" s="311" t="s">
        <v>4699</v>
      </c>
      <c r="O30" s="17" t="s">
        <v>4503</v>
      </c>
      <c r="P30" s="311" t="s">
        <v>4417</v>
      </c>
      <c r="Q30" s="311" t="s">
        <v>4417</v>
      </c>
      <c r="R30" s="311" t="s">
        <v>4417</v>
      </c>
      <c r="S30" s="311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311" t="s">
        <v>4417</v>
      </c>
      <c r="Y30" s="311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30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9" t="s">
        <v>5801</v>
      </c>
      <c r="AX30" s="122" t="s">
        <v>5792</v>
      </c>
      <c r="AY30" s="311" t="s">
        <v>6121</v>
      </c>
      <c r="AZ30" s="311">
        <v>20</v>
      </c>
      <c r="BA30" s="311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11" t="s">
        <v>4462</v>
      </c>
      <c r="BI30" s="311" t="s">
        <v>6196</v>
      </c>
      <c r="BJ30" s="311">
        <v>4</v>
      </c>
      <c r="BK30" s="311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311">
        <v>10.9</v>
      </c>
      <c r="DH30" s="311">
        <v>900</v>
      </c>
      <c r="DI30" s="30">
        <v>990</v>
      </c>
      <c r="DJ30" s="311">
        <v>1000</v>
      </c>
      <c r="DK30" s="30">
        <v>1100</v>
      </c>
      <c r="DL30" s="74">
        <v>200000</v>
      </c>
      <c r="DM30" s="28" t="s">
        <v>4774</v>
      </c>
      <c r="DN30" s="311" t="s">
        <v>4432</v>
      </c>
      <c r="DO30" s="300" t="s">
        <v>4562</v>
      </c>
    </row>
    <row r="31" spans="1:119">
      <c r="A31" s="18">
        <v>26</v>
      </c>
      <c r="B31" s="318"/>
      <c r="C31" s="318"/>
      <c r="D31" s="330"/>
      <c r="E31" s="330"/>
      <c r="F31" s="318"/>
      <c r="G31" s="318"/>
      <c r="H31" s="318"/>
      <c r="I31" s="318"/>
      <c r="J31" s="285" t="s">
        <v>4414</v>
      </c>
      <c r="K31" s="314" t="s">
        <v>4380</v>
      </c>
      <c r="L31" s="312" t="s">
        <v>5786</v>
      </c>
      <c r="M31" s="314" t="s">
        <v>4505</v>
      </c>
      <c r="N31" s="312" t="s">
        <v>4699</v>
      </c>
      <c r="O31" s="18" t="s">
        <v>4503</v>
      </c>
      <c r="P31" s="312" t="s">
        <v>4417</v>
      </c>
      <c r="Q31" s="312" t="s">
        <v>4417</v>
      </c>
      <c r="R31" s="312" t="s">
        <v>4417</v>
      </c>
      <c r="S31" s="312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12" t="s">
        <v>4467</v>
      </c>
      <c r="Y31" s="312">
        <v>16</v>
      </c>
      <c r="Z31" s="32" t="s">
        <v>4555</v>
      </c>
      <c r="AA31" s="71">
        <v>10</v>
      </c>
      <c r="AB31" s="223">
        <v>0</v>
      </c>
      <c r="AC31" s="18">
        <v>0</v>
      </c>
      <c r="AD31" s="314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14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2">
        <f>(AT31-AK31)-AU31</f>
        <v>25</v>
      </c>
      <c r="AW31" s="314" t="s">
        <v>5801</v>
      </c>
      <c r="AX31" s="312" t="s">
        <v>5792</v>
      </c>
      <c r="AY31" s="312" t="s">
        <v>6121</v>
      </c>
      <c r="AZ31" s="312">
        <v>22</v>
      </c>
      <c r="BA31" s="312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12" t="s">
        <v>4462</v>
      </c>
      <c r="BI31" s="312" t="s">
        <v>6196</v>
      </c>
      <c r="BJ31" s="312">
        <v>4</v>
      </c>
      <c r="BK31" s="312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12">
        <v>10.9</v>
      </c>
      <c r="DH31" s="312">
        <v>900</v>
      </c>
      <c r="DI31" s="32">
        <v>990</v>
      </c>
      <c r="DJ31" s="312">
        <v>1000</v>
      </c>
      <c r="DK31" s="32">
        <v>1100</v>
      </c>
      <c r="DL31" s="59">
        <v>200000</v>
      </c>
      <c r="DM31" s="29" t="s">
        <v>4774</v>
      </c>
      <c r="DN31" s="312" t="s">
        <v>4432</v>
      </c>
      <c r="DO31" s="301" t="s">
        <v>4562</v>
      </c>
    </row>
    <row r="32" spans="1:119">
      <c r="A32" s="18">
        <v>27</v>
      </c>
      <c r="B32" s="318"/>
      <c r="C32" s="318"/>
      <c r="D32" s="330"/>
      <c r="E32" s="330"/>
      <c r="F32" s="318"/>
      <c r="G32" s="318"/>
      <c r="H32" s="318"/>
      <c r="I32" s="318"/>
      <c r="J32" s="285" t="s">
        <v>4463</v>
      </c>
      <c r="K32" s="314" t="s">
        <v>4380</v>
      </c>
      <c r="L32" s="312" t="s">
        <v>5786</v>
      </c>
      <c r="M32" s="314" t="s">
        <v>4505</v>
      </c>
      <c r="N32" s="312" t="s">
        <v>4704</v>
      </c>
      <c r="O32" s="18" t="s">
        <v>4503</v>
      </c>
      <c r="P32" s="312" t="s">
        <v>4417</v>
      </c>
      <c r="Q32" s="312" t="s">
        <v>4417</v>
      </c>
      <c r="R32" s="312" t="s">
        <v>4417</v>
      </c>
      <c r="S32" s="312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12" t="s">
        <v>4467</v>
      </c>
      <c r="Y32" s="312">
        <v>15</v>
      </c>
      <c r="Z32" s="32" t="s">
        <v>4555</v>
      </c>
      <c r="AA32" s="71">
        <v>10</v>
      </c>
      <c r="AB32" s="223">
        <v>0</v>
      </c>
      <c r="AC32" s="18">
        <v>0</v>
      </c>
      <c r="AD32" s="314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14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2">
        <v>20</v>
      </c>
      <c r="AW32" s="314" t="s">
        <v>5801</v>
      </c>
      <c r="AX32" s="312" t="s">
        <v>6121</v>
      </c>
      <c r="AY32" s="312" t="s">
        <v>6121</v>
      </c>
      <c r="AZ32" s="312">
        <v>22</v>
      </c>
      <c r="BA32" s="312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12" t="s">
        <v>4462</v>
      </c>
      <c r="BI32" s="312" t="s">
        <v>6196</v>
      </c>
      <c r="BJ32" s="312">
        <v>4</v>
      </c>
      <c r="BK32" s="312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12">
        <v>10.9</v>
      </c>
      <c r="DH32" s="312">
        <v>900</v>
      </c>
      <c r="DI32" s="32">
        <v>990</v>
      </c>
      <c r="DJ32" s="312">
        <v>1000</v>
      </c>
      <c r="DK32" s="32">
        <v>1100</v>
      </c>
      <c r="DL32" s="59">
        <v>200000</v>
      </c>
      <c r="DM32" s="29" t="s">
        <v>4774</v>
      </c>
      <c r="DN32" s="312" t="s">
        <v>4432</v>
      </c>
      <c r="DO32" s="301" t="s">
        <v>4562</v>
      </c>
    </row>
    <row r="33" spans="1:119">
      <c r="A33" s="18">
        <v>28</v>
      </c>
      <c r="B33" s="318"/>
      <c r="C33" s="318"/>
      <c r="D33" s="330"/>
      <c r="E33" s="330"/>
      <c r="F33" s="318"/>
      <c r="G33" s="318"/>
      <c r="H33" s="318"/>
      <c r="I33" s="318"/>
      <c r="J33" s="285" t="s">
        <v>4464</v>
      </c>
      <c r="K33" s="314" t="s">
        <v>4380</v>
      </c>
      <c r="L33" s="312" t="s">
        <v>5786</v>
      </c>
      <c r="M33" s="314" t="s">
        <v>4505</v>
      </c>
      <c r="N33" s="312" t="s">
        <v>4704</v>
      </c>
      <c r="O33" s="18" t="s">
        <v>4503</v>
      </c>
      <c r="P33" s="312" t="s">
        <v>4417</v>
      </c>
      <c r="Q33" s="312" t="s">
        <v>4417</v>
      </c>
      <c r="R33" s="312" t="s">
        <v>4417</v>
      </c>
      <c r="S33" s="312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12" t="s">
        <v>4467</v>
      </c>
      <c r="Y33" s="312">
        <v>15</v>
      </c>
      <c r="Z33" s="32" t="s">
        <v>4555</v>
      </c>
      <c r="AA33" s="71">
        <v>10</v>
      </c>
      <c r="AB33" s="223">
        <v>0</v>
      </c>
      <c r="AC33" s="18">
        <v>0</v>
      </c>
      <c r="AD33" s="314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14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2">
        <v>50</v>
      </c>
      <c r="AW33" s="314" t="s">
        <v>5801</v>
      </c>
      <c r="AX33" s="312" t="s">
        <v>6121</v>
      </c>
      <c r="AY33" s="312" t="s">
        <v>6121</v>
      </c>
      <c r="AZ33" s="312">
        <v>22</v>
      </c>
      <c r="BA33" s="312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12" t="s">
        <v>4462</v>
      </c>
      <c r="BI33" s="312" t="s">
        <v>6196</v>
      </c>
      <c r="BJ33" s="312">
        <v>4</v>
      </c>
      <c r="BK33" s="312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12">
        <v>10.9</v>
      </c>
      <c r="DH33" s="312">
        <v>900</v>
      </c>
      <c r="DI33" s="32">
        <v>990</v>
      </c>
      <c r="DJ33" s="312">
        <v>1000</v>
      </c>
      <c r="DK33" s="32">
        <v>1100</v>
      </c>
      <c r="DL33" s="59">
        <v>200000</v>
      </c>
      <c r="DM33" s="29" t="s">
        <v>4774</v>
      </c>
      <c r="DN33" s="312" t="s">
        <v>4432</v>
      </c>
      <c r="DO33" s="301" t="s">
        <v>4562</v>
      </c>
    </row>
    <row r="34" spans="1:119">
      <c r="A34" s="18">
        <v>29</v>
      </c>
      <c r="B34" s="318"/>
      <c r="C34" s="318"/>
      <c r="D34" s="330"/>
      <c r="E34" s="330"/>
      <c r="F34" s="318"/>
      <c r="G34" s="318"/>
      <c r="H34" s="318"/>
      <c r="I34" s="318"/>
      <c r="J34" s="285" t="s">
        <v>4465</v>
      </c>
      <c r="K34" s="314" t="s">
        <v>4380</v>
      </c>
      <c r="L34" s="312" t="s">
        <v>5786</v>
      </c>
      <c r="M34" s="314" t="s">
        <v>4505</v>
      </c>
      <c r="N34" s="312" t="s">
        <v>4704</v>
      </c>
      <c r="O34" s="18" t="s">
        <v>4503</v>
      </c>
      <c r="P34" s="312" t="s">
        <v>4417</v>
      </c>
      <c r="Q34" s="312" t="s">
        <v>4417</v>
      </c>
      <c r="R34" s="312" t="s">
        <v>4417</v>
      </c>
      <c r="S34" s="312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12" t="s">
        <v>4467</v>
      </c>
      <c r="Y34" s="312">
        <v>15</v>
      </c>
      <c r="Z34" s="32" t="s">
        <v>4555</v>
      </c>
      <c r="AA34" s="71">
        <v>10</v>
      </c>
      <c r="AB34" s="223">
        <v>0</v>
      </c>
      <c r="AC34" s="18">
        <v>0</v>
      </c>
      <c r="AD34" s="314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14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2">
        <v>50</v>
      </c>
      <c r="AW34" s="314" t="s">
        <v>5801</v>
      </c>
      <c r="AX34" s="43" t="s">
        <v>6121</v>
      </c>
      <c r="AY34" s="312" t="s">
        <v>6121</v>
      </c>
      <c r="AZ34" s="312">
        <v>22</v>
      </c>
      <c r="BA34" s="312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12" t="s">
        <v>4462</v>
      </c>
      <c r="BI34" s="312" t="s">
        <v>6196</v>
      </c>
      <c r="BJ34" s="312">
        <v>4</v>
      </c>
      <c r="BK34" s="312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12">
        <v>10.9</v>
      </c>
      <c r="DH34" s="312">
        <v>900</v>
      </c>
      <c r="DI34" s="32">
        <v>990</v>
      </c>
      <c r="DJ34" s="312">
        <v>1000</v>
      </c>
      <c r="DK34" s="32">
        <v>1100</v>
      </c>
      <c r="DL34" s="59">
        <v>200000</v>
      </c>
      <c r="DM34" s="29" t="s">
        <v>4774</v>
      </c>
      <c r="DN34" s="312" t="s">
        <v>4432</v>
      </c>
      <c r="DO34" s="301" t="s">
        <v>4562</v>
      </c>
    </row>
    <row r="35" spans="1:119" ht="16.2" thickBot="1">
      <c r="A35" s="18">
        <v>30</v>
      </c>
      <c r="B35" s="318"/>
      <c r="C35" s="318"/>
      <c r="D35" s="330"/>
      <c r="E35" s="330"/>
      <c r="F35" s="318"/>
      <c r="G35" s="318"/>
      <c r="H35" s="318"/>
      <c r="I35" s="318"/>
      <c r="J35" s="285" t="s">
        <v>4466</v>
      </c>
      <c r="K35" s="314" t="s">
        <v>4380</v>
      </c>
      <c r="L35" s="312" t="s">
        <v>5786</v>
      </c>
      <c r="M35" s="314" t="s">
        <v>4505</v>
      </c>
      <c r="N35" s="312" t="s">
        <v>4704</v>
      </c>
      <c r="O35" s="18" t="s">
        <v>4503</v>
      </c>
      <c r="P35" s="312" t="s">
        <v>4417</v>
      </c>
      <c r="Q35" s="312" t="s">
        <v>4417</v>
      </c>
      <c r="R35" s="312" t="s">
        <v>4417</v>
      </c>
      <c r="S35" s="312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12" t="s">
        <v>4467</v>
      </c>
      <c r="Y35" s="312">
        <v>15</v>
      </c>
      <c r="Z35" s="32" t="s">
        <v>4555</v>
      </c>
      <c r="AA35" s="71">
        <v>10</v>
      </c>
      <c r="AB35" s="223">
        <v>0</v>
      </c>
      <c r="AC35" s="293">
        <v>0</v>
      </c>
      <c r="AD35" s="314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14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2">
        <v>50</v>
      </c>
      <c r="AW35" s="314" t="s">
        <v>5801</v>
      </c>
      <c r="AX35" s="312" t="s">
        <v>6121</v>
      </c>
      <c r="AY35" s="312" t="s">
        <v>6121</v>
      </c>
      <c r="AZ35" s="312">
        <v>22</v>
      </c>
      <c r="BA35" s="312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12" t="s">
        <v>4462</v>
      </c>
      <c r="BI35" s="312" t="s">
        <v>6196</v>
      </c>
      <c r="BJ35" s="312">
        <v>4</v>
      </c>
      <c r="BK35" s="312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12">
        <v>10.9</v>
      </c>
      <c r="DH35" s="312">
        <v>900</v>
      </c>
      <c r="DI35" s="32">
        <v>990</v>
      </c>
      <c r="DJ35" s="312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301" t="s">
        <v>4562</v>
      </c>
    </row>
    <row r="36" spans="1:119" ht="15.6" customHeight="1">
      <c r="A36" s="297">
        <v>31</v>
      </c>
      <c r="B36" s="317">
        <v>3</v>
      </c>
      <c r="C36" s="317">
        <v>1975</v>
      </c>
      <c r="D36" s="329" t="s">
        <v>4461</v>
      </c>
      <c r="E36" s="329" t="s">
        <v>4832</v>
      </c>
      <c r="F36" s="317">
        <v>12</v>
      </c>
      <c r="G36" s="317" t="s">
        <v>5892</v>
      </c>
      <c r="H36" s="317" t="s">
        <v>5891</v>
      </c>
      <c r="I36" s="317" t="s">
        <v>6210</v>
      </c>
      <c r="J36" s="283" t="s">
        <v>4399</v>
      </c>
      <c r="K36" s="309" t="s">
        <v>4380</v>
      </c>
      <c r="L36" s="311" t="s">
        <v>5786</v>
      </c>
      <c r="M36" s="309" t="s">
        <v>4504</v>
      </c>
      <c r="N36" s="311" t="s">
        <v>4697</v>
      </c>
      <c r="O36" s="17" t="s">
        <v>4503</v>
      </c>
      <c r="P36" s="311" t="s">
        <v>4417</v>
      </c>
      <c r="Q36" s="311" t="s">
        <v>4417</v>
      </c>
      <c r="R36" s="311" t="s">
        <v>4417</v>
      </c>
      <c r="S36" s="311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311" t="s">
        <v>4467</v>
      </c>
      <c r="Y36" s="311">
        <v>15</v>
      </c>
      <c r="Z36" s="30" t="s">
        <v>4555</v>
      </c>
      <c r="AA36" s="86">
        <v>10</v>
      </c>
      <c r="AB36" s="224">
        <v>0</v>
      </c>
      <c r="AC36" s="17">
        <v>0</v>
      </c>
      <c r="AD36" s="30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30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11">
        <f>(AT36-AK36)/2</f>
        <v>0</v>
      </c>
      <c r="AW36" s="309" t="s">
        <v>5801</v>
      </c>
      <c r="AX36" s="311" t="s">
        <v>6121</v>
      </c>
      <c r="AY36" s="16">
        <v>116</v>
      </c>
      <c r="AZ36" s="311">
        <v>24</v>
      </c>
      <c r="BA36" s="311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11" t="s">
        <v>4462</v>
      </c>
      <c r="BI36" s="311" t="s">
        <v>6196</v>
      </c>
      <c r="BJ36" s="311">
        <v>4</v>
      </c>
      <c r="BK36" s="311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311">
        <v>419.5</v>
      </c>
      <c r="CL36" s="64">
        <v>200000</v>
      </c>
      <c r="CM36" s="104" t="s">
        <v>4446</v>
      </c>
      <c r="CN36" s="70">
        <v>235</v>
      </c>
      <c r="CO36" s="311">
        <v>321</v>
      </c>
      <c r="CP36" s="63">
        <v>360</v>
      </c>
      <c r="CQ36" s="311">
        <v>447</v>
      </c>
      <c r="CR36" s="64">
        <v>200000</v>
      </c>
      <c r="CS36" s="30" t="s">
        <v>4418</v>
      </c>
      <c r="CT36" s="63">
        <v>250</v>
      </c>
      <c r="CU36" s="311">
        <v>294</v>
      </c>
      <c r="CV36" s="63">
        <v>475</v>
      </c>
      <c r="CW36" s="311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311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311" t="s">
        <v>4432</v>
      </c>
      <c r="DO36" s="300" t="s">
        <v>4562</v>
      </c>
    </row>
    <row r="37" spans="1:119">
      <c r="A37" s="298">
        <v>32</v>
      </c>
      <c r="B37" s="318"/>
      <c r="C37" s="318"/>
      <c r="D37" s="330"/>
      <c r="E37" s="330"/>
      <c r="F37" s="318"/>
      <c r="G37" s="318"/>
      <c r="H37" s="318"/>
      <c r="I37" s="318"/>
      <c r="J37" s="285" t="s">
        <v>4400</v>
      </c>
      <c r="K37" s="314" t="s">
        <v>4380</v>
      </c>
      <c r="L37" s="312" t="s">
        <v>5786</v>
      </c>
      <c r="M37" s="314" t="s">
        <v>4504</v>
      </c>
      <c r="N37" s="312" t="s">
        <v>4697</v>
      </c>
      <c r="O37" s="18" t="s">
        <v>4503</v>
      </c>
      <c r="P37" s="312" t="s">
        <v>4417</v>
      </c>
      <c r="Q37" s="312" t="s">
        <v>4417</v>
      </c>
      <c r="R37" s="312" t="s">
        <v>4417</v>
      </c>
      <c r="S37" s="312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12" t="s">
        <v>4467</v>
      </c>
      <c r="Y37" s="312">
        <v>15</v>
      </c>
      <c r="Z37" s="32" t="s">
        <v>4555</v>
      </c>
      <c r="AA37" s="71">
        <v>10</v>
      </c>
      <c r="AB37" s="223">
        <v>0</v>
      </c>
      <c r="AC37" s="18">
        <v>0</v>
      </c>
      <c r="AD37" s="314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314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2">
        <v>50</v>
      </c>
      <c r="AW37" s="314" t="s">
        <v>5801</v>
      </c>
      <c r="AX37" s="312" t="s">
        <v>6121</v>
      </c>
      <c r="AY37" s="21">
        <v>127</v>
      </c>
      <c r="AZ37" s="312">
        <v>24</v>
      </c>
      <c r="BA37" s="312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12" t="s">
        <v>4462</v>
      </c>
      <c r="BI37" s="312" t="s">
        <v>6196</v>
      </c>
      <c r="BJ37" s="312">
        <v>4</v>
      </c>
      <c r="BK37" s="312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12">
        <v>419.5</v>
      </c>
      <c r="CL37" s="65">
        <v>200000</v>
      </c>
      <c r="CM37" s="105" t="s">
        <v>4446</v>
      </c>
      <c r="CN37" s="46">
        <v>235</v>
      </c>
      <c r="CO37" s="312">
        <v>321</v>
      </c>
      <c r="CP37" s="58">
        <v>360</v>
      </c>
      <c r="CQ37" s="312">
        <v>447</v>
      </c>
      <c r="CR37" s="65">
        <v>200000</v>
      </c>
      <c r="CS37" s="32" t="s">
        <v>4418</v>
      </c>
      <c r="CT37" s="58">
        <v>250</v>
      </c>
      <c r="CU37" s="312">
        <v>294</v>
      </c>
      <c r="CV37" s="58">
        <v>475</v>
      </c>
      <c r="CW37" s="312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12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12" t="s">
        <v>4432</v>
      </c>
      <c r="DO37" s="301" t="s">
        <v>4562</v>
      </c>
    </row>
    <row r="38" spans="1:119">
      <c r="A38" s="298">
        <v>33</v>
      </c>
      <c r="B38" s="318"/>
      <c r="C38" s="318"/>
      <c r="D38" s="330"/>
      <c r="E38" s="330"/>
      <c r="F38" s="318"/>
      <c r="G38" s="318"/>
      <c r="H38" s="318"/>
      <c r="I38" s="318"/>
      <c r="J38" s="285" t="s">
        <v>4401</v>
      </c>
      <c r="K38" s="314" t="s">
        <v>4380</v>
      </c>
      <c r="L38" s="312" t="s">
        <v>5786</v>
      </c>
      <c r="M38" s="314" t="s">
        <v>4504</v>
      </c>
      <c r="N38" s="312" t="s">
        <v>4697</v>
      </c>
      <c r="O38" s="18" t="s">
        <v>4503</v>
      </c>
      <c r="P38" s="312" t="s">
        <v>4417</v>
      </c>
      <c r="Q38" s="312" t="s">
        <v>4417</v>
      </c>
      <c r="R38" s="312" t="s">
        <v>6157</v>
      </c>
      <c r="S38" s="312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12" t="s">
        <v>4417</v>
      </c>
      <c r="Y38" s="312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314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314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2">
        <v>0</v>
      </c>
      <c r="AW38" s="314" t="s">
        <v>5801</v>
      </c>
      <c r="AX38" s="312" t="s">
        <v>6121</v>
      </c>
      <c r="AY38" s="21">
        <v>65</v>
      </c>
      <c r="AZ38" s="312">
        <v>24</v>
      </c>
      <c r="BA38" s="312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12" t="s">
        <v>6197</v>
      </c>
      <c r="BI38" s="312" t="s">
        <v>6196</v>
      </c>
      <c r="BJ38" s="312">
        <v>6</v>
      </c>
      <c r="BK38" s="312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12">
        <v>419.5</v>
      </c>
      <c r="CL38" s="65">
        <v>200000</v>
      </c>
      <c r="CM38" s="105" t="s">
        <v>4446</v>
      </c>
      <c r="CN38" s="46">
        <v>235</v>
      </c>
      <c r="CO38" s="312">
        <v>321</v>
      </c>
      <c r="CP38" s="58">
        <v>360</v>
      </c>
      <c r="CQ38" s="312">
        <v>447</v>
      </c>
      <c r="CR38" s="65">
        <v>200000</v>
      </c>
      <c r="CS38" s="32" t="s">
        <v>4418</v>
      </c>
      <c r="CT38" s="58">
        <v>250</v>
      </c>
      <c r="CU38" s="312">
        <v>294</v>
      </c>
      <c r="CV38" s="58">
        <v>475</v>
      </c>
      <c r="CW38" s="312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12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12" t="s">
        <v>4432</v>
      </c>
      <c r="DO38" s="301" t="s">
        <v>4562</v>
      </c>
    </row>
    <row r="39" spans="1:119">
      <c r="A39" s="298">
        <v>34</v>
      </c>
      <c r="B39" s="318"/>
      <c r="C39" s="318"/>
      <c r="D39" s="330"/>
      <c r="E39" s="330"/>
      <c r="F39" s="318"/>
      <c r="G39" s="318"/>
      <c r="H39" s="318"/>
      <c r="I39" s="318"/>
      <c r="J39" s="285" t="s">
        <v>4402</v>
      </c>
      <c r="K39" s="314" t="s">
        <v>4380</v>
      </c>
      <c r="L39" s="312" t="s">
        <v>5786</v>
      </c>
      <c r="M39" s="314" t="s">
        <v>4504</v>
      </c>
      <c r="N39" s="312" t="s">
        <v>4697</v>
      </c>
      <c r="O39" s="18" t="s">
        <v>4503</v>
      </c>
      <c r="P39" s="312" t="s">
        <v>4417</v>
      </c>
      <c r="Q39" s="312" t="s">
        <v>4417</v>
      </c>
      <c r="R39" s="312" t="s">
        <v>6157</v>
      </c>
      <c r="S39" s="312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12" t="s">
        <v>4467</v>
      </c>
      <c r="Y39" s="312">
        <v>15</v>
      </c>
      <c r="Z39" s="32" t="s">
        <v>4555</v>
      </c>
      <c r="AA39" s="71">
        <v>10</v>
      </c>
      <c r="AB39" s="223">
        <v>0</v>
      </c>
      <c r="AC39" s="18">
        <v>0</v>
      </c>
      <c r="AD39" s="314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314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2">
        <v>0</v>
      </c>
      <c r="AW39" s="314" t="s">
        <v>5801</v>
      </c>
      <c r="AX39" s="312" t="s">
        <v>6121</v>
      </c>
      <c r="AY39" s="21">
        <v>65</v>
      </c>
      <c r="AZ39" s="312">
        <v>24</v>
      </c>
      <c r="BA39" s="312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12" t="s">
        <v>4462</v>
      </c>
      <c r="BI39" s="312" t="s">
        <v>6196</v>
      </c>
      <c r="BJ39" s="312">
        <v>4</v>
      </c>
      <c r="BK39" s="312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12">
        <v>419.5</v>
      </c>
      <c r="CL39" s="65">
        <v>200000</v>
      </c>
      <c r="CM39" s="105" t="s">
        <v>4446</v>
      </c>
      <c r="CN39" s="46">
        <v>235</v>
      </c>
      <c r="CO39" s="312">
        <v>321</v>
      </c>
      <c r="CP39" s="58">
        <v>360</v>
      </c>
      <c r="CQ39" s="312">
        <v>447</v>
      </c>
      <c r="CR39" s="65">
        <v>200000</v>
      </c>
      <c r="CS39" s="32" t="s">
        <v>4418</v>
      </c>
      <c r="CT39" s="58">
        <v>250</v>
      </c>
      <c r="CU39" s="312">
        <v>294</v>
      </c>
      <c r="CV39" s="58">
        <v>475</v>
      </c>
      <c r="CW39" s="312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12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12" t="s">
        <v>4432</v>
      </c>
      <c r="DO39" s="301" t="s">
        <v>4562</v>
      </c>
    </row>
    <row r="40" spans="1:119">
      <c r="A40" s="298">
        <v>35</v>
      </c>
      <c r="B40" s="318"/>
      <c r="C40" s="318"/>
      <c r="D40" s="330"/>
      <c r="E40" s="330"/>
      <c r="F40" s="318"/>
      <c r="G40" s="318"/>
      <c r="H40" s="318"/>
      <c r="I40" s="318"/>
      <c r="J40" s="285" t="s">
        <v>4403</v>
      </c>
      <c r="K40" s="314" t="s">
        <v>4380</v>
      </c>
      <c r="L40" s="312" t="s">
        <v>5786</v>
      </c>
      <c r="M40" s="314" t="s">
        <v>4504</v>
      </c>
      <c r="N40" s="312" t="s">
        <v>4697</v>
      </c>
      <c r="O40" s="18" t="s">
        <v>4503</v>
      </c>
      <c r="P40" s="312" t="s">
        <v>4417</v>
      </c>
      <c r="Q40" s="312" t="s">
        <v>4417</v>
      </c>
      <c r="R40" s="312" t="s">
        <v>4417</v>
      </c>
      <c r="S40" s="312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12" t="s">
        <v>4417</v>
      </c>
      <c r="Y40" s="312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314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314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2">
        <v>50</v>
      </c>
      <c r="AW40" s="314" t="s">
        <v>5801</v>
      </c>
      <c r="AX40" s="312" t="s">
        <v>6121</v>
      </c>
      <c r="AY40" s="21">
        <v>85</v>
      </c>
      <c r="AZ40" s="312">
        <v>24</v>
      </c>
      <c r="BA40" s="312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12" t="s">
        <v>4462</v>
      </c>
      <c r="BI40" s="312" t="s">
        <v>6196</v>
      </c>
      <c r="BJ40" s="312">
        <v>4</v>
      </c>
      <c r="BK40" s="312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12">
        <v>419.5</v>
      </c>
      <c r="CL40" s="65">
        <v>200000</v>
      </c>
      <c r="CM40" s="105" t="s">
        <v>4446</v>
      </c>
      <c r="CN40" s="46">
        <v>235</v>
      </c>
      <c r="CO40" s="312">
        <v>321</v>
      </c>
      <c r="CP40" s="58">
        <v>360</v>
      </c>
      <c r="CQ40" s="312">
        <v>447</v>
      </c>
      <c r="CR40" s="65">
        <v>200000</v>
      </c>
      <c r="CS40" s="32" t="s">
        <v>4418</v>
      </c>
      <c r="CT40" s="58">
        <v>250</v>
      </c>
      <c r="CU40" s="312">
        <v>294</v>
      </c>
      <c r="CV40" s="58">
        <v>475</v>
      </c>
      <c r="CW40" s="312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12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12" t="s">
        <v>4432</v>
      </c>
      <c r="DO40" s="301" t="s">
        <v>4562</v>
      </c>
    </row>
    <row r="41" spans="1:119">
      <c r="A41" s="298">
        <v>36</v>
      </c>
      <c r="B41" s="318"/>
      <c r="C41" s="318"/>
      <c r="D41" s="330"/>
      <c r="E41" s="330"/>
      <c r="F41" s="318"/>
      <c r="G41" s="318"/>
      <c r="H41" s="318"/>
      <c r="I41" s="318"/>
      <c r="J41" s="285" t="s">
        <v>4404</v>
      </c>
      <c r="K41" s="314" t="s">
        <v>4380</v>
      </c>
      <c r="L41" s="312" t="s">
        <v>5786</v>
      </c>
      <c r="M41" s="314" t="s">
        <v>4504</v>
      </c>
      <c r="N41" s="312" t="s">
        <v>4697</v>
      </c>
      <c r="O41" s="18" t="s">
        <v>4503</v>
      </c>
      <c r="P41" s="312" t="s">
        <v>4417</v>
      </c>
      <c r="Q41" s="312" t="s">
        <v>4417</v>
      </c>
      <c r="R41" s="312" t="s">
        <v>4417</v>
      </c>
      <c r="S41" s="312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12" t="s">
        <v>4417</v>
      </c>
      <c r="Y41" s="312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314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314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2">
        <v>0</v>
      </c>
      <c r="AW41" s="314" t="s">
        <v>5801</v>
      </c>
      <c r="AX41" s="312" t="s">
        <v>6121</v>
      </c>
      <c r="AY41" s="21">
        <v>78.5</v>
      </c>
      <c r="AZ41" s="312">
        <v>24</v>
      </c>
      <c r="BA41" s="312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12" t="s">
        <v>4462</v>
      </c>
      <c r="BI41" s="312" t="s">
        <v>6196</v>
      </c>
      <c r="BJ41" s="312">
        <v>4</v>
      </c>
      <c r="BK41" s="312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12">
        <v>419.5</v>
      </c>
      <c r="CL41" s="65">
        <v>200000</v>
      </c>
      <c r="CM41" s="105" t="s">
        <v>4446</v>
      </c>
      <c r="CN41" s="46">
        <v>235</v>
      </c>
      <c r="CO41" s="312">
        <v>321</v>
      </c>
      <c r="CP41" s="58">
        <v>360</v>
      </c>
      <c r="CQ41" s="312">
        <v>447</v>
      </c>
      <c r="CR41" s="65">
        <v>200000</v>
      </c>
      <c r="CS41" s="32" t="s">
        <v>4418</v>
      </c>
      <c r="CT41" s="58">
        <v>250</v>
      </c>
      <c r="CU41" s="312">
        <v>294</v>
      </c>
      <c r="CV41" s="58">
        <v>475</v>
      </c>
      <c r="CW41" s="312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12">
        <v>8.8000000000000007</v>
      </c>
      <c r="DH41" s="312">
        <v>640</v>
      </c>
      <c r="DI41" s="32">
        <v>730</v>
      </c>
      <c r="DJ41" s="312">
        <v>800</v>
      </c>
      <c r="DK41" s="32">
        <v>940</v>
      </c>
      <c r="DL41" s="59">
        <v>200000</v>
      </c>
      <c r="DM41" s="29" t="s">
        <v>4766</v>
      </c>
      <c r="DN41" s="312" t="s">
        <v>4432</v>
      </c>
      <c r="DO41" s="301" t="s">
        <v>4562</v>
      </c>
    </row>
    <row r="42" spans="1:119">
      <c r="A42" s="298">
        <v>37</v>
      </c>
      <c r="B42" s="318"/>
      <c r="C42" s="318"/>
      <c r="D42" s="330"/>
      <c r="E42" s="330"/>
      <c r="F42" s="318"/>
      <c r="G42" s="318"/>
      <c r="H42" s="318"/>
      <c r="I42" s="318"/>
      <c r="J42" s="285" t="s">
        <v>4405</v>
      </c>
      <c r="K42" s="314" t="s">
        <v>4380</v>
      </c>
      <c r="L42" s="312" t="s">
        <v>5786</v>
      </c>
      <c r="M42" s="314" t="s">
        <v>4504</v>
      </c>
      <c r="N42" s="312" t="s">
        <v>4697</v>
      </c>
      <c r="O42" s="18" t="s">
        <v>4503</v>
      </c>
      <c r="P42" s="312" t="s">
        <v>4417</v>
      </c>
      <c r="Q42" s="312" t="s">
        <v>4417</v>
      </c>
      <c r="R42" s="312" t="s">
        <v>4417</v>
      </c>
      <c r="S42" s="312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12" t="s">
        <v>4467</v>
      </c>
      <c r="Y42" s="312">
        <v>15</v>
      </c>
      <c r="Z42" s="32" t="s">
        <v>4555</v>
      </c>
      <c r="AA42" s="71">
        <v>10</v>
      </c>
      <c r="AB42" s="223">
        <v>0</v>
      </c>
      <c r="AC42" s="18">
        <v>0</v>
      </c>
      <c r="AD42" s="314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314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2">
        <v>0</v>
      </c>
      <c r="AW42" s="314" t="s">
        <v>5801</v>
      </c>
      <c r="AX42" s="312" t="s">
        <v>6121</v>
      </c>
      <c r="AY42" s="21">
        <v>54</v>
      </c>
      <c r="AZ42" s="312">
        <v>24</v>
      </c>
      <c r="BA42" s="312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12" t="s">
        <v>4462</v>
      </c>
      <c r="BI42" s="312" t="s">
        <v>6196</v>
      </c>
      <c r="BJ42" s="312">
        <v>4</v>
      </c>
      <c r="BK42" s="312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12">
        <v>419.5</v>
      </c>
      <c r="CL42" s="65">
        <v>200000</v>
      </c>
      <c r="CM42" s="105" t="s">
        <v>4446</v>
      </c>
      <c r="CN42" s="46">
        <v>235</v>
      </c>
      <c r="CO42" s="312">
        <v>321</v>
      </c>
      <c r="CP42" s="58">
        <v>360</v>
      </c>
      <c r="CQ42" s="312">
        <v>447</v>
      </c>
      <c r="CR42" s="65">
        <v>200000</v>
      </c>
      <c r="CS42" s="32" t="s">
        <v>4418</v>
      </c>
      <c r="CT42" s="58">
        <v>250</v>
      </c>
      <c r="CU42" s="312">
        <v>294</v>
      </c>
      <c r="CV42" s="58">
        <v>475</v>
      </c>
      <c r="CW42" s="312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12">
        <v>8.8000000000000007</v>
      </c>
      <c r="DH42" s="312">
        <v>640</v>
      </c>
      <c r="DI42" s="32">
        <v>730</v>
      </c>
      <c r="DJ42" s="312">
        <v>800</v>
      </c>
      <c r="DK42" s="32">
        <v>940</v>
      </c>
      <c r="DL42" s="59">
        <v>200000</v>
      </c>
      <c r="DM42" s="29" t="s">
        <v>4766</v>
      </c>
      <c r="DN42" s="312" t="s">
        <v>4432</v>
      </c>
      <c r="DO42" s="301" t="s">
        <v>4562</v>
      </c>
    </row>
    <row r="43" spans="1:119">
      <c r="A43" s="298">
        <v>38</v>
      </c>
      <c r="B43" s="318"/>
      <c r="C43" s="318"/>
      <c r="D43" s="330"/>
      <c r="E43" s="330"/>
      <c r="F43" s="318"/>
      <c r="G43" s="318"/>
      <c r="H43" s="318"/>
      <c r="I43" s="318"/>
      <c r="J43" s="285" t="s">
        <v>4406</v>
      </c>
      <c r="K43" s="314" t="s">
        <v>4380</v>
      </c>
      <c r="L43" s="312" t="s">
        <v>5786</v>
      </c>
      <c r="M43" s="314" t="s">
        <v>4504</v>
      </c>
      <c r="N43" s="312" t="s">
        <v>4697</v>
      </c>
      <c r="O43" s="18" t="s">
        <v>4503</v>
      </c>
      <c r="P43" s="312" t="s">
        <v>4417</v>
      </c>
      <c r="Q43" s="312" t="s">
        <v>4417</v>
      </c>
      <c r="R43" s="312" t="s">
        <v>4417</v>
      </c>
      <c r="S43" s="312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12" t="s">
        <v>4467</v>
      </c>
      <c r="Y43" s="312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314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314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2">
        <v>50</v>
      </c>
      <c r="AW43" s="314" t="s">
        <v>5801</v>
      </c>
      <c r="AX43" s="312" t="s">
        <v>6121</v>
      </c>
      <c r="AY43" s="21">
        <v>62.5</v>
      </c>
      <c r="AZ43" s="312">
        <v>24</v>
      </c>
      <c r="BA43" s="312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12" t="s">
        <v>4462</v>
      </c>
      <c r="BI43" s="312" t="s">
        <v>6196</v>
      </c>
      <c r="BJ43" s="312">
        <v>4</v>
      </c>
      <c r="BK43" s="312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12">
        <v>419.5</v>
      </c>
      <c r="CL43" s="65">
        <v>200000</v>
      </c>
      <c r="CM43" s="105" t="s">
        <v>4446</v>
      </c>
      <c r="CN43" s="46">
        <v>235</v>
      </c>
      <c r="CO43" s="312">
        <v>321</v>
      </c>
      <c r="CP43" s="58">
        <v>360</v>
      </c>
      <c r="CQ43" s="312">
        <v>447</v>
      </c>
      <c r="CR43" s="65">
        <v>200000</v>
      </c>
      <c r="CS43" s="32" t="s">
        <v>4418</v>
      </c>
      <c r="CT43" s="58">
        <v>250</v>
      </c>
      <c r="CU43" s="312">
        <v>294</v>
      </c>
      <c r="CV43" s="58">
        <v>475</v>
      </c>
      <c r="CW43" s="312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12">
        <v>8.8000000000000007</v>
      </c>
      <c r="DH43" s="312">
        <v>640</v>
      </c>
      <c r="DI43" s="32">
        <v>730</v>
      </c>
      <c r="DJ43" s="312">
        <v>800</v>
      </c>
      <c r="DK43" s="32">
        <v>940</v>
      </c>
      <c r="DL43" s="59">
        <v>200000</v>
      </c>
      <c r="DM43" s="29" t="s">
        <v>4766</v>
      </c>
      <c r="DN43" s="312" t="s">
        <v>4432</v>
      </c>
      <c r="DO43" s="301" t="s">
        <v>4562</v>
      </c>
    </row>
    <row r="44" spans="1:119">
      <c r="A44" s="298">
        <v>39</v>
      </c>
      <c r="B44" s="318"/>
      <c r="C44" s="318"/>
      <c r="D44" s="330"/>
      <c r="E44" s="330"/>
      <c r="F44" s="318"/>
      <c r="G44" s="318"/>
      <c r="H44" s="318"/>
      <c r="I44" s="318"/>
      <c r="J44" s="285" t="s">
        <v>4407</v>
      </c>
      <c r="K44" s="314" t="s">
        <v>4380</v>
      </c>
      <c r="L44" s="312" t="s">
        <v>5786</v>
      </c>
      <c r="M44" s="314" t="s">
        <v>4504</v>
      </c>
      <c r="N44" s="312" t="s">
        <v>4697</v>
      </c>
      <c r="O44" s="18" t="s">
        <v>4503</v>
      </c>
      <c r="P44" s="312" t="s">
        <v>4417</v>
      </c>
      <c r="Q44" s="312" t="s">
        <v>4417</v>
      </c>
      <c r="R44" s="312" t="s">
        <v>6157</v>
      </c>
      <c r="S44" s="312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12" t="s">
        <v>4417</v>
      </c>
      <c r="Y44" s="312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314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314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2">
        <v>0</v>
      </c>
      <c r="AW44" s="314" t="s">
        <v>5801</v>
      </c>
      <c r="AX44" s="312" t="s">
        <v>6121</v>
      </c>
      <c r="AY44" s="21">
        <v>70.5</v>
      </c>
      <c r="AZ44" s="312">
        <v>24</v>
      </c>
      <c r="BA44" s="312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12" t="s">
        <v>6196</v>
      </c>
      <c r="BI44" s="312" t="s">
        <v>6196</v>
      </c>
      <c r="BJ44" s="312">
        <v>2</v>
      </c>
      <c r="BK44" s="312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12">
        <v>419.5</v>
      </c>
      <c r="CL44" s="65">
        <v>200000</v>
      </c>
      <c r="CM44" s="105" t="s">
        <v>4446</v>
      </c>
      <c r="CN44" s="46">
        <v>235</v>
      </c>
      <c r="CO44" s="312">
        <v>321</v>
      </c>
      <c r="CP44" s="58">
        <v>360</v>
      </c>
      <c r="CQ44" s="312">
        <v>447</v>
      </c>
      <c r="CR44" s="65">
        <v>200000</v>
      </c>
      <c r="CS44" s="32" t="s">
        <v>4418</v>
      </c>
      <c r="CT44" s="58">
        <v>250</v>
      </c>
      <c r="CU44" s="312">
        <v>294</v>
      </c>
      <c r="CV44" s="58">
        <v>475</v>
      </c>
      <c r="CW44" s="312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12">
        <v>8.8000000000000007</v>
      </c>
      <c r="DH44" s="312">
        <v>640</v>
      </c>
      <c r="DI44" s="32">
        <v>730</v>
      </c>
      <c r="DJ44" s="312">
        <v>800</v>
      </c>
      <c r="DK44" s="32">
        <v>940</v>
      </c>
      <c r="DL44" s="59">
        <v>200000</v>
      </c>
      <c r="DM44" s="29" t="s">
        <v>4569</v>
      </c>
      <c r="DN44" s="312" t="s">
        <v>4432</v>
      </c>
      <c r="DO44" s="301" t="s">
        <v>4562</v>
      </c>
    </row>
    <row r="45" spans="1:119">
      <c r="A45" s="298">
        <v>40</v>
      </c>
      <c r="B45" s="318"/>
      <c r="C45" s="318"/>
      <c r="D45" s="330"/>
      <c r="E45" s="330"/>
      <c r="F45" s="318"/>
      <c r="G45" s="318"/>
      <c r="H45" s="318"/>
      <c r="I45" s="318"/>
      <c r="J45" s="285" t="s">
        <v>4408</v>
      </c>
      <c r="K45" s="314" t="s">
        <v>4380</v>
      </c>
      <c r="L45" s="312" t="s">
        <v>5786</v>
      </c>
      <c r="M45" s="314" t="s">
        <v>4504</v>
      </c>
      <c r="N45" s="312" t="s">
        <v>4697</v>
      </c>
      <c r="O45" s="18" t="s">
        <v>4503</v>
      </c>
      <c r="P45" s="312" t="s">
        <v>4417</v>
      </c>
      <c r="Q45" s="312" t="s">
        <v>4417</v>
      </c>
      <c r="R45" s="312" t="s">
        <v>6157</v>
      </c>
      <c r="S45" s="312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12" t="s">
        <v>4467</v>
      </c>
      <c r="Y45" s="312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314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314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2">
        <v>0</v>
      </c>
      <c r="AW45" s="314" t="s">
        <v>5801</v>
      </c>
      <c r="AX45" s="312" t="s">
        <v>6121</v>
      </c>
      <c r="AY45" s="21">
        <v>74</v>
      </c>
      <c r="AZ45" s="312">
        <v>24</v>
      </c>
      <c r="BA45" s="312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12" t="s">
        <v>4462</v>
      </c>
      <c r="BI45" s="312" t="s">
        <v>6196</v>
      </c>
      <c r="BJ45" s="312">
        <v>4</v>
      </c>
      <c r="BK45" s="312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12">
        <v>419.5</v>
      </c>
      <c r="CL45" s="65">
        <v>200000</v>
      </c>
      <c r="CM45" s="105" t="s">
        <v>4446</v>
      </c>
      <c r="CN45" s="46">
        <v>235</v>
      </c>
      <c r="CO45" s="312">
        <v>321</v>
      </c>
      <c r="CP45" s="58">
        <v>360</v>
      </c>
      <c r="CQ45" s="312">
        <v>447</v>
      </c>
      <c r="CR45" s="65">
        <v>200000</v>
      </c>
      <c r="CS45" s="32" t="s">
        <v>4418</v>
      </c>
      <c r="CT45" s="58">
        <v>250</v>
      </c>
      <c r="CU45" s="312">
        <v>294</v>
      </c>
      <c r="CV45" s="58">
        <v>475</v>
      </c>
      <c r="CW45" s="312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12">
        <v>8.8000000000000007</v>
      </c>
      <c r="DH45" s="312">
        <v>640</v>
      </c>
      <c r="DI45" s="32">
        <v>730</v>
      </c>
      <c r="DJ45" s="312">
        <v>800</v>
      </c>
      <c r="DK45" s="32">
        <v>940</v>
      </c>
      <c r="DL45" s="59">
        <v>200000</v>
      </c>
      <c r="DM45" s="29" t="s">
        <v>4569</v>
      </c>
      <c r="DN45" s="312" t="s">
        <v>4432</v>
      </c>
      <c r="DO45" s="301" t="s">
        <v>4562</v>
      </c>
    </row>
    <row r="46" spans="1:119">
      <c r="A46" s="298">
        <v>41</v>
      </c>
      <c r="B46" s="318"/>
      <c r="C46" s="318"/>
      <c r="D46" s="330"/>
      <c r="E46" s="330"/>
      <c r="F46" s="318"/>
      <c r="G46" s="318"/>
      <c r="H46" s="318"/>
      <c r="I46" s="318"/>
      <c r="J46" s="285" t="s">
        <v>4409</v>
      </c>
      <c r="K46" s="314" t="s">
        <v>4380</v>
      </c>
      <c r="L46" s="312" t="s">
        <v>5786</v>
      </c>
      <c r="M46" s="314" t="s">
        <v>4504</v>
      </c>
      <c r="N46" s="312" t="s">
        <v>4697</v>
      </c>
      <c r="O46" s="18" t="s">
        <v>4503</v>
      </c>
      <c r="P46" s="312" t="s">
        <v>4417</v>
      </c>
      <c r="Q46" s="312" t="s">
        <v>4417</v>
      </c>
      <c r="R46" s="312" t="s">
        <v>4417</v>
      </c>
      <c r="S46" s="312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12" t="s">
        <v>4417</v>
      </c>
      <c r="Y46" s="312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314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314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2">
        <v>50</v>
      </c>
      <c r="AW46" s="314" t="s">
        <v>5801</v>
      </c>
      <c r="AX46" s="312" t="s">
        <v>6121</v>
      </c>
      <c r="AY46" s="312">
        <v>98</v>
      </c>
      <c r="AZ46" s="312">
        <v>24</v>
      </c>
      <c r="BA46" s="312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12" t="s">
        <v>4462</v>
      </c>
      <c r="BI46" s="312" t="s">
        <v>6196</v>
      </c>
      <c r="BJ46" s="312">
        <v>4</v>
      </c>
      <c r="BK46" s="312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12">
        <v>419.5</v>
      </c>
      <c r="CL46" s="65">
        <v>200000</v>
      </c>
      <c r="CM46" s="105" t="s">
        <v>4446</v>
      </c>
      <c r="CN46" s="46">
        <v>235</v>
      </c>
      <c r="CO46" s="312">
        <v>321</v>
      </c>
      <c r="CP46" s="58">
        <v>360</v>
      </c>
      <c r="CQ46" s="312">
        <v>447</v>
      </c>
      <c r="CR46" s="65">
        <v>200000</v>
      </c>
      <c r="CS46" s="32" t="s">
        <v>4418</v>
      </c>
      <c r="CT46" s="58">
        <v>250</v>
      </c>
      <c r="CU46" s="312">
        <v>294</v>
      </c>
      <c r="CV46" s="58">
        <v>475</v>
      </c>
      <c r="CW46" s="312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12">
        <v>8.8000000000000007</v>
      </c>
      <c r="DH46" s="312">
        <v>640</v>
      </c>
      <c r="DI46" s="32">
        <v>730</v>
      </c>
      <c r="DJ46" s="312">
        <v>800</v>
      </c>
      <c r="DK46" s="32">
        <v>940</v>
      </c>
      <c r="DL46" s="59">
        <v>200000</v>
      </c>
      <c r="DM46" s="29" t="s">
        <v>4766</v>
      </c>
      <c r="DN46" s="312" t="s">
        <v>4432</v>
      </c>
      <c r="DO46" s="301" t="s">
        <v>4562</v>
      </c>
    </row>
    <row r="47" spans="1:119" ht="16.2" thickBot="1">
      <c r="A47" s="299">
        <v>42</v>
      </c>
      <c r="B47" s="319"/>
      <c r="C47" s="319"/>
      <c r="D47" s="331"/>
      <c r="E47" s="331"/>
      <c r="F47" s="319"/>
      <c r="G47" s="319"/>
      <c r="H47" s="319"/>
      <c r="I47" s="319"/>
      <c r="J47" s="284" t="s">
        <v>4410</v>
      </c>
      <c r="K47" s="310" t="s">
        <v>4380</v>
      </c>
      <c r="L47" s="313" t="s">
        <v>5786</v>
      </c>
      <c r="M47" s="310" t="s">
        <v>4504</v>
      </c>
      <c r="N47" s="313" t="s">
        <v>4697</v>
      </c>
      <c r="O47" s="14" t="s">
        <v>4503</v>
      </c>
      <c r="P47" s="313" t="s">
        <v>4417</v>
      </c>
      <c r="Q47" s="313" t="s">
        <v>4417</v>
      </c>
      <c r="R47" s="313" t="s">
        <v>4417</v>
      </c>
      <c r="S47" s="313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13" t="s">
        <v>4417</v>
      </c>
      <c r="Y47" s="313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31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31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3">
        <v>0</v>
      </c>
      <c r="AW47" s="310" t="s">
        <v>5801</v>
      </c>
      <c r="AX47" s="313" t="s">
        <v>6121</v>
      </c>
      <c r="AY47" s="313">
        <v>120</v>
      </c>
      <c r="AZ47" s="313">
        <v>24</v>
      </c>
      <c r="BA47" s="313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13" t="s">
        <v>4462</v>
      </c>
      <c r="BI47" s="313" t="s">
        <v>6196</v>
      </c>
      <c r="BJ47" s="313">
        <v>4</v>
      </c>
      <c r="BK47" s="313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13">
        <v>419.5</v>
      </c>
      <c r="CL47" s="68">
        <v>200000</v>
      </c>
      <c r="CM47" s="129" t="s">
        <v>4446</v>
      </c>
      <c r="CN47" s="83">
        <v>235</v>
      </c>
      <c r="CO47" s="313">
        <v>321</v>
      </c>
      <c r="CP47" s="85">
        <v>360</v>
      </c>
      <c r="CQ47" s="313">
        <v>447</v>
      </c>
      <c r="CR47" s="68">
        <v>200000</v>
      </c>
      <c r="CS47" s="34" t="s">
        <v>4418</v>
      </c>
      <c r="CT47" s="85">
        <v>250</v>
      </c>
      <c r="CU47" s="313">
        <v>294</v>
      </c>
      <c r="CV47" s="85">
        <v>475</v>
      </c>
      <c r="CW47" s="313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13">
        <v>8.8000000000000007</v>
      </c>
      <c r="DH47" s="313">
        <v>640</v>
      </c>
      <c r="DI47" s="34">
        <v>730</v>
      </c>
      <c r="DJ47" s="313">
        <v>800</v>
      </c>
      <c r="DK47" s="34">
        <v>940</v>
      </c>
      <c r="DL47" s="75">
        <v>200000</v>
      </c>
      <c r="DM47" s="27" t="s">
        <v>4766</v>
      </c>
      <c r="DN47" s="313" t="s">
        <v>4432</v>
      </c>
      <c r="DO47" s="302" t="s">
        <v>4562</v>
      </c>
    </row>
    <row r="48" spans="1:119" ht="15.6" customHeight="1">
      <c r="A48" s="297">
        <v>43</v>
      </c>
      <c r="B48" s="317">
        <v>4</v>
      </c>
      <c r="C48" s="317">
        <v>1981</v>
      </c>
      <c r="D48" s="329" t="s">
        <v>4662</v>
      </c>
      <c r="E48" s="329" t="s">
        <v>4831</v>
      </c>
      <c r="F48" s="317">
        <v>5</v>
      </c>
      <c r="G48" s="317" t="s">
        <v>5893</v>
      </c>
      <c r="H48" s="317" t="s">
        <v>5889</v>
      </c>
      <c r="I48" s="317" t="s">
        <v>5681</v>
      </c>
      <c r="J48" s="283" t="s">
        <v>4449</v>
      </c>
      <c r="K48" s="309" t="s">
        <v>4380</v>
      </c>
      <c r="L48" s="30" t="s">
        <v>5786</v>
      </c>
      <c r="M48" s="309" t="s">
        <v>4505</v>
      </c>
      <c r="N48" s="311" t="s">
        <v>4699</v>
      </c>
      <c r="O48" s="17" t="s">
        <v>4503</v>
      </c>
      <c r="P48" s="311" t="s">
        <v>4417</v>
      </c>
      <c r="Q48" s="311" t="s">
        <v>4417</v>
      </c>
      <c r="R48" s="311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311" t="s">
        <v>4417</v>
      </c>
      <c r="Y48" s="311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30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30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9" t="s">
        <v>5801</v>
      </c>
      <c r="AX48" s="311" t="s">
        <v>6121</v>
      </c>
      <c r="AY48" s="311">
        <v>188</v>
      </c>
      <c r="AZ48" s="311">
        <v>22</v>
      </c>
      <c r="BA48" s="311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11" t="s">
        <v>4462</v>
      </c>
      <c r="BI48" s="311" t="s">
        <v>6196</v>
      </c>
      <c r="BJ48" s="311">
        <v>4</v>
      </c>
      <c r="BK48" s="311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309" t="s">
        <v>5660</v>
      </c>
      <c r="CN48" s="63">
        <v>300</v>
      </c>
      <c r="CO48" s="311">
        <v>363</v>
      </c>
      <c r="CP48" s="63">
        <v>450</v>
      </c>
      <c r="CQ48" s="30">
        <f>CP48*1.2</f>
        <v>540</v>
      </c>
      <c r="CR48" s="64">
        <v>200000</v>
      </c>
      <c r="CS48" s="309" t="s">
        <v>5660</v>
      </c>
      <c r="CT48" s="63">
        <v>300</v>
      </c>
      <c r="CU48" s="311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311" t="s">
        <v>4419</v>
      </c>
      <c r="DH48" s="311">
        <v>640</v>
      </c>
      <c r="DI48" s="30">
        <v>730</v>
      </c>
      <c r="DJ48" s="311">
        <v>800</v>
      </c>
      <c r="DK48" s="30">
        <v>940</v>
      </c>
      <c r="DL48" s="74">
        <v>200000</v>
      </c>
      <c r="DM48" s="28" t="s">
        <v>4777</v>
      </c>
      <c r="DN48" s="30" t="s">
        <v>4432</v>
      </c>
      <c r="DO48" s="300" t="s">
        <v>4562</v>
      </c>
    </row>
    <row r="49" spans="1:119">
      <c r="A49" s="298">
        <v>44</v>
      </c>
      <c r="B49" s="318"/>
      <c r="C49" s="318"/>
      <c r="D49" s="330"/>
      <c r="E49" s="330"/>
      <c r="F49" s="318"/>
      <c r="G49" s="318"/>
      <c r="H49" s="318"/>
      <c r="I49" s="318"/>
      <c r="J49" s="285" t="s">
        <v>4450</v>
      </c>
      <c r="K49" s="314" t="s">
        <v>4380</v>
      </c>
      <c r="L49" s="32" t="s">
        <v>5786</v>
      </c>
      <c r="M49" s="314" t="s">
        <v>4505</v>
      </c>
      <c r="N49" s="312" t="s">
        <v>4699</v>
      </c>
      <c r="O49" s="18" t="s">
        <v>4503</v>
      </c>
      <c r="P49" s="312" t="s">
        <v>4417</v>
      </c>
      <c r="Q49" s="312" t="s">
        <v>4417</v>
      </c>
      <c r="R49" s="312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12" t="s">
        <v>4417</v>
      </c>
      <c r="Y49" s="312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314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314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14" t="s">
        <v>5801</v>
      </c>
      <c r="AX49" s="312" t="s">
        <v>6121</v>
      </c>
      <c r="AY49" s="312">
        <v>180</v>
      </c>
      <c r="AZ49" s="312">
        <v>22</v>
      </c>
      <c r="BA49" s="312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12" t="s">
        <v>4462</v>
      </c>
      <c r="BI49" s="312" t="s">
        <v>6196</v>
      </c>
      <c r="BJ49" s="312">
        <v>4</v>
      </c>
      <c r="BK49" s="312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314" t="s">
        <v>5660</v>
      </c>
      <c r="CN49" s="58">
        <v>300</v>
      </c>
      <c r="CO49" s="312">
        <v>363</v>
      </c>
      <c r="CP49" s="58">
        <v>450</v>
      </c>
      <c r="CQ49" s="32">
        <f>CP49*1.2</f>
        <v>540</v>
      </c>
      <c r="CR49" s="65">
        <v>200000</v>
      </c>
      <c r="CS49" s="314" t="s">
        <v>5660</v>
      </c>
      <c r="CT49" s="58">
        <v>300</v>
      </c>
      <c r="CU49" s="312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12" t="s">
        <v>4419</v>
      </c>
      <c r="DH49" s="312">
        <v>640</v>
      </c>
      <c r="DI49" s="32">
        <v>730</v>
      </c>
      <c r="DJ49" s="312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301" t="s">
        <v>4562</v>
      </c>
    </row>
    <row r="50" spans="1:119">
      <c r="A50" s="298">
        <v>45</v>
      </c>
      <c r="B50" s="318"/>
      <c r="C50" s="318"/>
      <c r="D50" s="330"/>
      <c r="E50" s="330"/>
      <c r="F50" s="318"/>
      <c r="G50" s="318"/>
      <c r="H50" s="318"/>
      <c r="I50" s="318"/>
      <c r="J50" s="285" t="s">
        <v>4451</v>
      </c>
      <c r="K50" s="314" t="s">
        <v>4380</v>
      </c>
      <c r="L50" s="32" t="s">
        <v>5786</v>
      </c>
      <c r="M50" s="314" t="s">
        <v>4505</v>
      </c>
      <c r="N50" s="312" t="s">
        <v>4699</v>
      </c>
      <c r="O50" s="18" t="s">
        <v>4503</v>
      </c>
      <c r="P50" s="312" t="s">
        <v>4417</v>
      </c>
      <c r="Q50" s="312" t="s">
        <v>4417</v>
      </c>
      <c r="R50" s="312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12" t="s">
        <v>4417</v>
      </c>
      <c r="Y50" s="312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314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314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14" t="s">
        <v>5801</v>
      </c>
      <c r="AX50" s="312" t="s">
        <v>6121</v>
      </c>
      <c r="AY50" s="312">
        <v>185</v>
      </c>
      <c r="AZ50" s="312">
        <v>22</v>
      </c>
      <c r="BA50" s="312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12" t="s">
        <v>4462</v>
      </c>
      <c r="BI50" s="312" t="s">
        <v>6196</v>
      </c>
      <c r="BJ50" s="312">
        <v>4</v>
      </c>
      <c r="BK50" s="312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314" t="s">
        <v>5660</v>
      </c>
      <c r="CN50" s="58">
        <v>300</v>
      </c>
      <c r="CO50" s="312">
        <v>363</v>
      </c>
      <c r="CP50" s="58">
        <v>450</v>
      </c>
      <c r="CQ50" s="32">
        <f>CP50*1.2</f>
        <v>540</v>
      </c>
      <c r="CR50" s="65">
        <v>200000</v>
      </c>
      <c r="CS50" s="314" t="s">
        <v>5660</v>
      </c>
      <c r="CT50" s="58">
        <v>300</v>
      </c>
      <c r="CU50" s="312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12" t="s">
        <v>4419</v>
      </c>
      <c r="DH50" s="312">
        <v>640</v>
      </c>
      <c r="DI50" s="32">
        <v>730</v>
      </c>
      <c r="DJ50" s="312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301" t="s">
        <v>4562</v>
      </c>
    </row>
    <row r="51" spans="1:119">
      <c r="A51" s="298">
        <v>46</v>
      </c>
      <c r="B51" s="318"/>
      <c r="C51" s="318"/>
      <c r="D51" s="330"/>
      <c r="E51" s="330"/>
      <c r="F51" s="318"/>
      <c r="G51" s="318"/>
      <c r="H51" s="318"/>
      <c r="I51" s="318"/>
      <c r="J51" s="285" t="s">
        <v>4452</v>
      </c>
      <c r="K51" s="314" t="s">
        <v>4380</v>
      </c>
      <c r="L51" s="32" t="s">
        <v>5786</v>
      </c>
      <c r="M51" s="314" t="s">
        <v>4505</v>
      </c>
      <c r="N51" s="312" t="s">
        <v>4699</v>
      </c>
      <c r="O51" s="18" t="s">
        <v>4503</v>
      </c>
      <c r="P51" s="312" t="s">
        <v>4417</v>
      </c>
      <c r="Q51" s="312" t="s">
        <v>4417</v>
      </c>
      <c r="R51" s="312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12" t="s">
        <v>4417</v>
      </c>
      <c r="Y51" s="312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314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314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14" t="s">
        <v>5801</v>
      </c>
      <c r="AX51" s="312" t="s">
        <v>6121</v>
      </c>
      <c r="AY51" s="312">
        <v>184</v>
      </c>
      <c r="AZ51" s="312">
        <v>22</v>
      </c>
      <c r="BA51" s="312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12" t="s">
        <v>4462</v>
      </c>
      <c r="BI51" s="312" t="s">
        <v>6196</v>
      </c>
      <c r="BJ51" s="312">
        <v>4</v>
      </c>
      <c r="BK51" s="312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314" t="s">
        <v>5660</v>
      </c>
      <c r="CN51" s="58">
        <v>300</v>
      </c>
      <c r="CO51" s="312">
        <v>363</v>
      </c>
      <c r="CP51" s="58">
        <v>450</v>
      </c>
      <c r="CQ51" s="32">
        <f>CP51*1.2</f>
        <v>540</v>
      </c>
      <c r="CR51" s="65">
        <v>200000</v>
      </c>
      <c r="CS51" s="314" t="s">
        <v>5660</v>
      </c>
      <c r="CT51" s="58">
        <v>300</v>
      </c>
      <c r="CU51" s="312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12" t="s">
        <v>4419</v>
      </c>
      <c r="DH51" s="312">
        <v>640</v>
      </c>
      <c r="DI51" s="32">
        <v>730</v>
      </c>
      <c r="DJ51" s="312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301" t="s">
        <v>4562</v>
      </c>
    </row>
    <row r="52" spans="1:119" ht="16.2" thickBot="1">
      <c r="A52" s="299">
        <v>47</v>
      </c>
      <c r="B52" s="319"/>
      <c r="C52" s="319"/>
      <c r="D52" s="331"/>
      <c r="E52" s="331"/>
      <c r="F52" s="319"/>
      <c r="G52" s="319"/>
      <c r="H52" s="319"/>
      <c r="I52" s="319"/>
      <c r="J52" s="284" t="s">
        <v>4453</v>
      </c>
      <c r="K52" s="310" t="s">
        <v>4380</v>
      </c>
      <c r="L52" s="34" t="s">
        <v>5786</v>
      </c>
      <c r="M52" s="310" t="s">
        <v>4505</v>
      </c>
      <c r="N52" s="313" t="s">
        <v>4699</v>
      </c>
      <c r="O52" s="14" t="s">
        <v>4503</v>
      </c>
      <c r="P52" s="313" t="s">
        <v>4417</v>
      </c>
      <c r="Q52" s="313" t="s">
        <v>4417</v>
      </c>
      <c r="R52" s="313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13" t="s">
        <v>4417</v>
      </c>
      <c r="Y52" s="313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31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31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10" t="s">
        <v>5801</v>
      </c>
      <c r="AX52" s="313" t="s">
        <v>6121</v>
      </c>
      <c r="AY52" s="313">
        <v>180</v>
      </c>
      <c r="AZ52" s="313">
        <v>22</v>
      </c>
      <c r="BA52" s="313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13" t="s">
        <v>4462</v>
      </c>
      <c r="BI52" s="313" t="s">
        <v>6196</v>
      </c>
      <c r="BJ52" s="313">
        <v>4</v>
      </c>
      <c r="BK52" s="313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310" t="s">
        <v>5660</v>
      </c>
      <c r="CN52" s="85">
        <v>300</v>
      </c>
      <c r="CO52" s="313">
        <v>363</v>
      </c>
      <c r="CP52" s="85">
        <v>450</v>
      </c>
      <c r="CQ52" s="34">
        <f>CP52*1.2</f>
        <v>540</v>
      </c>
      <c r="CR52" s="68">
        <v>200000</v>
      </c>
      <c r="CS52" s="310" t="s">
        <v>5660</v>
      </c>
      <c r="CT52" s="85">
        <v>300</v>
      </c>
      <c r="CU52" s="313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13" t="s">
        <v>4419</v>
      </c>
      <c r="DH52" s="313">
        <v>640</v>
      </c>
      <c r="DI52" s="34">
        <v>730</v>
      </c>
      <c r="DJ52" s="313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302" t="s">
        <v>4562</v>
      </c>
    </row>
    <row r="53" spans="1:119" ht="16.2" thickBot="1">
      <c r="A53" s="18">
        <v>48</v>
      </c>
      <c r="B53" s="298">
        <v>5</v>
      </c>
      <c r="C53" s="298">
        <v>1981</v>
      </c>
      <c r="D53" s="304" t="s">
        <v>4506</v>
      </c>
      <c r="E53" s="304" t="s">
        <v>4865</v>
      </c>
      <c r="F53" s="298">
        <v>1</v>
      </c>
      <c r="G53" s="298" t="s">
        <v>5895</v>
      </c>
      <c r="H53" s="298" t="s">
        <v>5894</v>
      </c>
      <c r="I53" s="298" t="s">
        <v>5677</v>
      </c>
      <c r="J53" s="285" t="s">
        <v>4507</v>
      </c>
      <c r="K53" s="314" t="s">
        <v>4380</v>
      </c>
      <c r="L53" s="313" t="s">
        <v>5786</v>
      </c>
      <c r="M53" s="105" t="s">
        <v>4505</v>
      </c>
      <c r="N53" s="32" t="s">
        <v>4699</v>
      </c>
      <c r="O53" s="18" t="s">
        <v>4503</v>
      </c>
      <c r="P53" s="310" t="s">
        <v>4417</v>
      </c>
      <c r="Q53" s="313" t="s">
        <v>4417</v>
      </c>
      <c r="R53" s="313" t="s">
        <v>4417</v>
      </c>
      <c r="S53" s="313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13" t="s">
        <v>4417</v>
      </c>
      <c r="Y53" s="313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31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4">
        <v>1200</v>
      </c>
      <c r="AJ53" s="314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14" t="s">
        <v>5801</v>
      </c>
      <c r="AX53" s="312" t="s">
        <v>4495</v>
      </c>
      <c r="AY53" s="312" t="s">
        <v>6121</v>
      </c>
      <c r="AZ53" s="312">
        <v>20</v>
      </c>
      <c r="BA53" s="312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12" t="s">
        <v>4462</v>
      </c>
      <c r="BI53" s="312" t="s">
        <v>4462</v>
      </c>
      <c r="BJ53" s="312">
        <v>4</v>
      </c>
      <c r="BK53" s="312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12">
        <v>8.8000000000000007</v>
      </c>
      <c r="DH53" s="312">
        <v>640</v>
      </c>
      <c r="DI53" s="32">
        <v>730</v>
      </c>
      <c r="DJ53" s="312">
        <v>800</v>
      </c>
      <c r="DK53" s="32">
        <v>940</v>
      </c>
      <c r="DL53" s="59">
        <v>200000</v>
      </c>
      <c r="DM53" s="29" t="s">
        <v>4562</v>
      </c>
      <c r="DN53" s="312" t="s">
        <v>4557</v>
      </c>
      <c r="DO53" s="301" t="s">
        <v>4562</v>
      </c>
    </row>
    <row r="54" spans="1:119" ht="15.6" customHeight="1">
      <c r="A54" s="17">
        <v>49</v>
      </c>
      <c r="B54" s="317">
        <v>6</v>
      </c>
      <c r="C54" s="317">
        <v>1981</v>
      </c>
      <c r="D54" s="329" t="s">
        <v>4461</v>
      </c>
      <c r="E54" s="329" t="s">
        <v>5858</v>
      </c>
      <c r="F54" s="317">
        <v>23</v>
      </c>
      <c r="G54" s="317" t="s">
        <v>5892</v>
      </c>
      <c r="H54" s="317" t="s">
        <v>5891</v>
      </c>
      <c r="I54" s="317" t="s">
        <v>6211</v>
      </c>
      <c r="J54" s="283" t="s">
        <v>4408</v>
      </c>
      <c r="K54" s="309" t="s">
        <v>4380</v>
      </c>
      <c r="L54" s="312" t="s">
        <v>5786</v>
      </c>
      <c r="M54" s="309" t="s">
        <v>4505</v>
      </c>
      <c r="N54" s="311" t="s">
        <v>4699</v>
      </c>
      <c r="O54" s="17" t="s">
        <v>4503</v>
      </c>
      <c r="P54" s="312" t="s">
        <v>4417</v>
      </c>
      <c r="Q54" s="312" t="s">
        <v>4417</v>
      </c>
      <c r="R54" s="312" t="s">
        <v>4417</v>
      </c>
      <c r="S54" s="312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12" t="s">
        <v>4417</v>
      </c>
      <c r="Y54" s="312" t="s">
        <v>5786</v>
      </c>
      <c r="Z54" s="312" t="s">
        <v>4555</v>
      </c>
      <c r="AA54" s="18">
        <v>10</v>
      </c>
      <c r="AB54" s="224">
        <v>0</v>
      </c>
      <c r="AC54" s="151">
        <v>0</v>
      </c>
      <c r="AD54" s="30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30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309" t="s">
        <v>5801</v>
      </c>
      <c r="AX54" s="311" t="s">
        <v>6121</v>
      </c>
      <c r="AY54" s="311">
        <v>48</v>
      </c>
      <c r="AZ54" s="311">
        <v>24</v>
      </c>
      <c r="BA54" s="311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11" t="s">
        <v>6196</v>
      </c>
      <c r="BI54" s="311" t="s">
        <v>6196</v>
      </c>
      <c r="BJ54" s="311">
        <v>2</v>
      </c>
      <c r="BK54" s="311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311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311">
        <v>8.8000000000000007</v>
      </c>
      <c r="DH54" s="311">
        <v>640</v>
      </c>
      <c r="DI54" s="30">
        <v>730</v>
      </c>
      <c r="DJ54" s="311">
        <v>800</v>
      </c>
      <c r="DK54" s="30">
        <v>940</v>
      </c>
      <c r="DL54" s="74">
        <v>200000</v>
      </c>
      <c r="DM54" s="28" t="s">
        <v>4569</v>
      </c>
      <c r="DN54" s="311" t="s">
        <v>6045</v>
      </c>
      <c r="DO54" s="300" t="s">
        <v>4562</v>
      </c>
    </row>
    <row r="55" spans="1:119">
      <c r="A55" s="18">
        <v>50</v>
      </c>
      <c r="B55" s="318"/>
      <c r="C55" s="318"/>
      <c r="D55" s="330"/>
      <c r="E55" s="330"/>
      <c r="F55" s="318"/>
      <c r="G55" s="318"/>
      <c r="H55" s="318"/>
      <c r="I55" s="318"/>
      <c r="J55" s="285" t="s">
        <v>4409</v>
      </c>
      <c r="K55" s="314" t="s">
        <v>4380</v>
      </c>
      <c r="L55" s="312" t="s">
        <v>5786</v>
      </c>
      <c r="M55" s="314" t="s">
        <v>4505</v>
      </c>
      <c r="N55" s="312" t="s">
        <v>4699</v>
      </c>
      <c r="O55" s="18" t="s">
        <v>4503</v>
      </c>
      <c r="P55" s="312" t="s">
        <v>4417</v>
      </c>
      <c r="Q55" s="312" t="s">
        <v>4417</v>
      </c>
      <c r="R55" s="312" t="s">
        <v>4417</v>
      </c>
      <c r="S55" s="312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12" t="s">
        <v>4417</v>
      </c>
      <c r="Y55" s="312" t="s">
        <v>5786</v>
      </c>
      <c r="Z55" s="312" t="s">
        <v>4555</v>
      </c>
      <c r="AA55" s="18">
        <v>10</v>
      </c>
      <c r="AB55" s="223">
        <v>0</v>
      </c>
      <c r="AC55" s="139">
        <v>0</v>
      </c>
      <c r="AD55" s="314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314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14" t="s">
        <v>5801</v>
      </c>
      <c r="AX55" s="312" t="s">
        <v>6121</v>
      </c>
      <c r="AY55" s="312">
        <v>40</v>
      </c>
      <c r="AZ55" s="312">
        <v>24</v>
      </c>
      <c r="BA55" s="312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12" t="s">
        <v>6196</v>
      </c>
      <c r="BI55" s="312" t="s">
        <v>6196</v>
      </c>
      <c r="BJ55" s="312">
        <v>2</v>
      </c>
      <c r="BK55" s="312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12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12">
        <v>8.8000000000000007</v>
      </c>
      <c r="DH55" s="312">
        <v>640</v>
      </c>
      <c r="DI55" s="32">
        <v>730</v>
      </c>
      <c r="DJ55" s="312">
        <v>800</v>
      </c>
      <c r="DK55" s="32">
        <v>940</v>
      </c>
      <c r="DL55" s="59">
        <v>200000</v>
      </c>
      <c r="DM55" s="29" t="s">
        <v>4569</v>
      </c>
      <c r="DN55" s="312" t="s">
        <v>6045</v>
      </c>
      <c r="DO55" s="301" t="s">
        <v>4562</v>
      </c>
    </row>
    <row r="56" spans="1:119">
      <c r="A56" s="18">
        <v>51</v>
      </c>
      <c r="B56" s="318"/>
      <c r="C56" s="318"/>
      <c r="D56" s="330"/>
      <c r="E56" s="330"/>
      <c r="F56" s="318"/>
      <c r="G56" s="318"/>
      <c r="H56" s="318"/>
      <c r="I56" s="318"/>
      <c r="J56" s="285" t="s">
        <v>4410</v>
      </c>
      <c r="K56" s="314" t="s">
        <v>4380</v>
      </c>
      <c r="L56" s="312" t="s">
        <v>5786</v>
      </c>
      <c r="M56" s="314" t="s">
        <v>4505</v>
      </c>
      <c r="N56" s="312" t="s">
        <v>4699</v>
      </c>
      <c r="O56" s="18" t="s">
        <v>4503</v>
      </c>
      <c r="P56" s="312" t="s">
        <v>4417</v>
      </c>
      <c r="Q56" s="312" t="s">
        <v>4417</v>
      </c>
      <c r="R56" s="312" t="s">
        <v>4417</v>
      </c>
      <c r="S56" s="312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12" t="s">
        <v>4417</v>
      </c>
      <c r="Y56" s="312" t="s">
        <v>5786</v>
      </c>
      <c r="Z56" s="312" t="s">
        <v>4555</v>
      </c>
      <c r="AA56" s="18">
        <v>10</v>
      </c>
      <c r="AB56" s="223">
        <v>0</v>
      </c>
      <c r="AC56" s="139">
        <v>0</v>
      </c>
      <c r="AD56" s="314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314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14" t="s">
        <v>5801</v>
      </c>
      <c r="AX56" s="312" t="s">
        <v>6121</v>
      </c>
      <c r="AY56" s="312">
        <v>44</v>
      </c>
      <c r="AZ56" s="312">
        <v>24</v>
      </c>
      <c r="BA56" s="312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12" t="s">
        <v>6196</v>
      </c>
      <c r="BI56" s="312" t="s">
        <v>6196</v>
      </c>
      <c r="BJ56" s="312">
        <v>2</v>
      </c>
      <c r="BK56" s="312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12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12">
        <v>8.8000000000000007</v>
      </c>
      <c r="DH56" s="312">
        <v>640</v>
      </c>
      <c r="DI56" s="32">
        <v>730</v>
      </c>
      <c r="DJ56" s="312">
        <v>800</v>
      </c>
      <c r="DK56" s="32">
        <v>940</v>
      </c>
      <c r="DL56" s="59">
        <v>200000</v>
      </c>
      <c r="DM56" s="29" t="s">
        <v>4569</v>
      </c>
      <c r="DN56" s="312" t="s">
        <v>6045</v>
      </c>
      <c r="DO56" s="301" t="s">
        <v>4562</v>
      </c>
    </row>
    <row r="57" spans="1:119">
      <c r="A57" s="18">
        <v>52</v>
      </c>
      <c r="B57" s="318"/>
      <c r="C57" s="318"/>
      <c r="D57" s="330"/>
      <c r="E57" s="330"/>
      <c r="F57" s="318"/>
      <c r="G57" s="318"/>
      <c r="H57" s="318"/>
      <c r="I57" s="318"/>
      <c r="J57" s="285" t="s">
        <v>4411</v>
      </c>
      <c r="K57" s="314" t="s">
        <v>4380</v>
      </c>
      <c r="L57" s="312" t="s">
        <v>5786</v>
      </c>
      <c r="M57" s="314" t="s">
        <v>4505</v>
      </c>
      <c r="N57" s="312" t="s">
        <v>4699</v>
      </c>
      <c r="O57" s="18" t="s">
        <v>4503</v>
      </c>
      <c r="P57" s="312" t="s">
        <v>4417</v>
      </c>
      <c r="Q57" s="312" t="s">
        <v>4417</v>
      </c>
      <c r="R57" s="312" t="s">
        <v>4417</v>
      </c>
      <c r="S57" s="312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12" t="s">
        <v>4417</v>
      </c>
      <c r="Y57" s="312" t="s">
        <v>5786</v>
      </c>
      <c r="Z57" s="312" t="s">
        <v>4555</v>
      </c>
      <c r="AA57" s="18">
        <v>10</v>
      </c>
      <c r="AB57" s="223">
        <v>0</v>
      </c>
      <c r="AC57" s="139">
        <v>0</v>
      </c>
      <c r="AD57" s="314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314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14" t="s">
        <v>5801</v>
      </c>
      <c r="AX57" s="312" t="s">
        <v>6121</v>
      </c>
      <c r="AY57" s="312">
        <v>36</v>
      </c>
      <c r="AZ57" s="312">
        <v>24</v>
      </c>
      <c r="BA57" s="312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12" t="s">
        <v>6196</v>
      </c>
      <c r="BI57" s="312" t="s">
        <v>6196</v>
      </c>
      <c r="BJ57" s="312">
        <v>2</v>
      </c>
      <c r="BK57" s="312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12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12">
        <v>8.8000000000000007</v>
      </c>
      <c r="DH57" s="312">
        <v>640</v>
      </c>
      <c r="DI57" s="32">
        <v>730</v>
      </c>
      <c r="DJ57" s="312">
        <v>800</v>
      </c>
      <c r="DK57" s="32">
        <v>940</v>
      </c>
      <c r="DL57" s="59">
        <v>200000</v>
      </c>
      <c r="DM57" s="29" t="s">
        <v>4569</v>
      </c>
      <c r="DN57" s="312" t="s">
        <v>6045</v>
      </c>
      <c r="DO57" s="301" t="s">
        <v>4562</v>
      </c>
    </row>
    <row r="58" spans="1:119">
      <c r="A58" s="18">
        <v>53</v>
      </c>
      <c r="B58" s="318"/>
      <c r="C58" s="318"/>
      <c r="D58" s="330"/>
      <c r="E58" s="330"/>
      <c r="F58" s="318"/>
      <c r="G58" s="318"/>
      <c r="H58" s="318"/>
      <c r="I58" s="318"/>
      <c r="J58" s="285" t="s">
        <v>4412</v>
      </c>
      <c r="K58" s="314" t="s">
        <v>4380</v>
      </c>
      <c r="L58" s="312" t="s">
        <v>5786</v>
      </c>
      <c r="M58" s="314" t="s">
        <v>4505</v>
      </c>
      <c r="N58" s="312" t="s">
        <v>4699</v>
      </c>
      <c r="O58" s="18" t="s">
        <v>4503</v>
      </c>
      <c r="P58" s="312" t="s">
        <v>4417</v>
      </c>
      <c r="Q58" s="312" t="s">
        <v>4417</v>
      </c>
      <c r="R58" s="312" t="s">
        <v>4417</v>
      </c>
      <c r="S58" s="312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12" t="s">
        <v>4417</v>
      </c>
      <c r="Y58" s="312" t="s">
        <v>5786</v>
      </c>
      <c r="Z58" s="312" t="s">
        <v>4555</v>
      </c>
      <c r="AA58" s="18">
        <v>10</v>
      </c>
      <c r="AB58" s="223">
        <v>0</v>
      </c>
      <c r="AC58" s="139">
        <v>0</v>
      </c>
      <c r="AD58" s="314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314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14" t="s">
        <v>5801</v>
      </c>
      <c r="AX58" s="312" t="s">
        <v>6121</v>
      </c>
      <c r="AY58" s="312">
        <v>72</v>
      </c>
      <c r="AZ58" s="312">
        <v>24</v>
      </c>
      <c r="BA58" s="312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12" t="s">
        <v>6196</v>
      </c>
      <c r="BI58" s="312" t="s">
        <v>6196</v>
      </c>
      <c r="BJ58" s="312">
        <v>2</v>
      </c>
      <c r="BK58" s="312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12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12">
        <v>8.8000000000000007</v>
      </c>
      <c r="DH58" s="312">
        <v>640</v>
      </c>
      <c r="DI58" s="32">
        <v>730</v>
      </c>
      <c r="DJ58" s="312">
        <v>800</v>
      </c>
      <c r="DK58" s="32">
        <v>940</v>
      </c>
      <c r="DL58" s="59">
        <v>200000</v>
      </c>
      <c r="DM58" s="29" t="s">
        <v>4569</v>
      </c>
      <c r="DN58" s="312" t="s">
        <v>6045</v>
      </c>
      <c r="DO58" s="301" t="s">
        <v>4562</v>
      </c>
    </row>
    <row r="59" spans="1:119">
      <c r="A59" s="18">
        <v>54</v>
      </c>
      <c r="B59" s="318"/>
      <c r="C59" s="318"/>
      <c r="D59" s="330"/>
      <c r="E59" s="330"/>
      <c r="F59" s="318"/>
      <c r="G59" s="318"/>
      <c r="H59" s="318"/>
      <c r="I59" s="318"/>
      <c r="J59" s="285" t="s">
        <v>4413</v>
      </c>
      <c r="K59" s="314" t="s">
        <v>4380</v>
      </c>
      <c r="L59" s="312" t="s">
        <v>5786</v>
      </c>
      <c r="M59" s="314" t="s">
        <v>4505</v>
      </c>
      <c r="N59" s="312" t="s">
        <v>4699</v>
      </c>
      <c r="O59" s="18" t="s">
        <v>4503</v>
      </c>
      <c r="P59" s="312" t="s">
        <v>4417</v>
      </c>
      <c r="Q59" s="312" t="s">
        <v>4417</v>
      </c>
      <c r="R59" s="312" t="s">
        <v>4417</v>
      </c>
      <c r="S59" s="312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12" t="s">
        <v>4417</v>
      </c>
      <c r="Y59" s="312" t="s">
        <v>5786</v>
      </c>
      <c r="Z59" s="312" t="s">
        <v>4555</v>
      </c>
      <c r="AA59" s="18">
        <v>6</v>
      </c>
      <c r="AB59" s="223">
        <v>0</v>
      </c>
      <c r="AC59" s="139">
        <v>0</v>
      </c>
      <c r="AD59" s="314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314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14" t="s">
        <v>5801</v>
      </c>
      <c r="AX59" s="312" t="s">
        <v>6121</v>
      </c>
      <c r="AY59" s="312">
        <v>40</v>
      </c>
      <c r="AZ59" s="312">
        <v>24</v>
      </c>
      <c r="BA59" s="312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12" t="s">
        <v>6196</v>
      </c>
      <c r="BI59" s="312" t="s">
        <v>6196</v>
      </c>
      <c r="BJ59" s="312">
        <v>2</v>
      </c>
      <c r="BK59" s="312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12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12">
        <v>8.8000000000000007</v>
      </c>
      <c r="DH59" s="312">
        <v>640</v>
      </c>
      <c r="DI59" s="32">
        <v>730</v>
      </c>
      <c r="DJ59" s="312">
        <v>800</v>
      </c>
      <c r="DK59" s="32">
        <v>940</v>
      </c>
      <c r="DL59" s="59">
        <v>200000</v>
      </c>
      <c r="DM59" s="29" t="s">
        <v>4569</v>
      </c>
      <c r="DN59" s="312" t="s">
        <v>6045</v>
      </c>
      <c r="DO59" s="301" t="s">
        <v>4562</v>
      </c>
    </row>
    <row r="60" spans="1:119">
      <c r="A60" s="18">
        <v>55</v>
      </c>
      <c r="B60" s="318"/>
      <c r="C60" s="318"/>
      <c r="D60" s="330"/>
      <c r="E60" s="330"/>
      <c r="F60" s="318"/>
      <c r="G60" s="318"/>
      <c r="H60" s="318"/>
      <c r="I60" s="318"/>
      <c r="J60" s="285" t="s">
        <v>4414</v>
      </c>
      <c r="K60" s="314" t="s">
        <v>4380</v>
      </c>
      <c r="L60" s="312" t="s">
        <v>5786</v>
      </c>
      <c r="M60" s="314" t="s">
        <v>4505</v>
      </c>
      <c r="N60" s="312" t="s">
        <v>4699</v>
      </c>
      <c r="O60" s="18" t="s">
        <v>4503</v>
      </c>
      <c r="P60" s="312" t="s">
        <v>4417</v>
      </c>
      <c r="Q60" s="312" t="s">
        <v>4417</v>
      </c>
      <c r="R60" s="312" t="s">
        <v>4417</v>
      </c>
      <c r="S60" s="312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12" t="s">
        <v>4417</v>
      </c>
      <c r="Y60" s="312" t="s">
        <v>5786</v>
      </c>
      <c r="Z60" s="312" t="s">
        <v>4555</v>
      </c>
      <c r="AA60" s="18">
        <v>6</v>
      </c>
      <c r="AB60" s="223">
        <v>0</v>
      </c>
      <c r="AC60" s="139">
        <v>0</v>
      </c>
      <c r="AD60" s="314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314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14" t="s">
        <v>5801</v>
      </c>
      <c r="AX60" s="312" t="s">
        <v>6121</v>
      </c>
      <c r="AY60" s="312">
        <v>48</v>
      </c>
      <c r="AZ60" s="312">
        <v>24</v>
      </c>
      <c r="BA60" s="312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12" t="s">
        <v>6196</v>
      </c>
      <c r="BI60" s="312" t="s">
        <v>6196</v>
      </c>
      <c r="BJ60" s="312">
        <v>2</v>
      </c>
      <c r="BK60" s="312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12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12">
        <v>8.8000000000000007</v>
      </c>
      <c r="DH60" s="312">
        <v>640</v>
      </c>
      <c r="DI60" s="32">
        <v>730</v>
      </c>
      <c r="DJ60" s="312">
        <v>800</v>
      </c>
      <c r="DK60" s="32">
        <v>940</v>
      </c>
      <c r="DL60" s="59">
        <v>200000</v>
      </c>
      <c r="DM60" s="29" t="s">
        <v>4569</v>
      </c>
      <c r="DN60" s="312" t="s">
        <v>6045</v>
      </c>
      <c r="DO60" s="301" t="s">
        <v>4562</v>
      </c>
    </row>
    <row r="61" spans="1:119">
      <c r="A61" s="18">
        <v>56</v>
      </c>
      <c r="B61" s="318"/>
      <c r="C61" s="318"/>
      <c r="D61" s="330"/>
      <c r="E61" s="330"/>
      <c r="F61" s="318"/>
      <c r="G61" s="318"/>
      <c r="H61" s="318"/>
      <c r="I61" s="318"/>
      <c r="J61" s="285" t="s">
        <v>4415</v>
      </c>
      <c r="K61" s="314" t="s">
        <v>4380</v>
      </c>
      <c r="L61" s="312" t="s">
        <v>5786</v>
      </c>
      <c r="M61" s="314" t="s">
        <v>4505</v>
      </c>
      <c r="N61" s="312" t="s">
        <v>4699</v>
      </c>
      <c r="O61" s="18" t="s">
        <v>4503</v>
      </c>
      <c r="P61" s="312" t="s">
        <v>4417</v>
      </c>
      <c r="Q61" s="312" t="s">
        <v>4417</v>
      </c>
      <c r="R61" s="312" t="s">
        <v>4417</v>
      </c>
      <c r="S61" s="312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12" t="s">
        <v>4417</v>
      </c>
      <c r="Y61" s="312" t="s">
        <v>5786</v>
      </c>
      <c r="Z61" s="312" t="s">
        <v>4555</v>
      </c>
      <c r="AA61" s="18">
        <v>6</v>
      </c>
      <c r="AB61" s="223">
        <v>0</v>
      </c>
      <c r="AC61" s="18">
        <v>0</v>
      </c>
      <c r="AD61" s="314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314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14" t="s">
        <v>5801</v>
      </c>
      <c r="AX61" s="312" t="s">
        <v>6121</v>
      </c>
      <c r="AY61" s="312">
        <v>48</v>
      </c>
      <c r="AZ61" s="312">
        <v>24</v>
      </c>
      <c r="BA61" s="312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12" t="s">
        <v>6196</v>
      </c>
      <c r="BI61" s="312" t="s">
        <v>6196</v>
      </c>
      <c r="BJ61" s="312">
        <v>2</v>
      </c>
      <c r="BK61" s="312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12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12">
        <v>8.8000000000000007</v>
      </c>
      <c r="DH61" s="312">
        <v>640</v>
      </c>
      <c r="DI61" s="32">
        <v>730</v>
      </c>
      <c r="DJ61" s="312">
        <v>800</v>
      </c>
      <c r="DK61" s="32">
        <v>940</v>
      </c>
      <c r="DL61" s="59">
        <v>200000</v>
      </c>
      <c r="DM61" s="29" t="s">
        <v>4569</v>
      </c>
      <c r="DN61" s="312" t="s">
        <v>6045</v>
      </c>
      <c r="DO61" s="301" t="s">
        <v>4562</v>
      </c>
    </row>
    <row r="62" spans="1:119">
      <c r="A62" s="18">
        <v>57</v>
      </c>
      <c r="B62" s="318"/>
      <c r="C62" s="318"/>
      <c r="D62" s="330"/>
      <c r="E62" s="330"/>
      <c r="F62" s="318"/>
      <c r="G62" s="318"/>
      <c r="H62" s="318"/>
      <c r="I62" s="318"/>
      <c r="J62" s="285" t="s">
        <v>4416</v>
      </c>
      <c r="K62" s="314" t="s">
        <v>4380</v>
      </c>
      <c r="L62" s="312" t="s">
        <v>5786</v>
      </c>
      <c r="M62" s="314" t="s">
        <v>4505</v>
      </c>
      <c r="N62" s="312" t="s">
        <v>4699</v>
      </c>
      <c r="O62" s="18" t="s">
        <v>4503</v>
      </c>
      <c r="P62" s="312" t="s">
        <v>4417</v>
      </c>
      <c r="Q62" s="312" t="s">
        <v>4417</v>
      </c>
      <c r="R62" s="312" t="s">
        <v>4417</v>
      </c>
      <c r="S62" s="312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12" t="s">
        <v>4417</v>
      </c>
      <c r="Y62" s="312" t="s">
        <v>5786</v>
      </c>
      <c r="Z62" s="312" t="s">
        <v>4555</v>
      </c>
      <c r="AA62" s="18">
        <v>6</v>
      </c>
      <c r="AB62" s="223">
        <v>0</v>
      </c>
      <c r="AC62" s="18">
        <v>0</v>
      </c>
      <c r="AD62" s="314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314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14" t="s">
        <v>5801</v>
      </c>
      <c r="AX62" s="312" t="s">
        <v>6121</v>
      </c>
      <c r="AY62" s="21">
        <v>48</v>
      </c>
      <c r="AZ62" s="312">
        <v>24</v>
      </c>
      <c r="BA62" s="312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12" t="s">
        <v>4462</v>
      </c>
      <c r="BI62" s="312" t="s">
        <v>6196</v>
      </c>
      <c r="BJ62" s="312">
        <v>4</v>
      </c>
      <c r="BK62" s="312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12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12">
        <v>8.8000000000000007</v>
      </c>
      <c r="DH62" s="312">
        <v>640</v>
      </c>
      <c r="DI62" s="32">
        <v>730</v>
      </c>
      <c r="DJ62" s="312">
        <v>800</v>
      </c>
      <c r="DK62" s="32">
        <v>940</v>
      </c>
      <c r="DL62" s="59">
        <v>200000</v>
      </c>
      <c r="DM62" s="29" t="s">
        <v>4569</v>
      </c>
      <c r="DN62" s="312" t="s">
        <v>6045</v>
      </c>
      <c r="DO62" s="301" t="s">
        <v>4562</v>
      </c>
    </row>
    <row r="63" spans="1:119">
      <c r="A63" s="18">
        <v>58</v>
      </c>
      <c r="B63" s="318"/>
      <c r="C63" s="318"/>
      <c r="D63" s="330"/>
      <c r="E63" s="330"/>
      <c r="F63" s="318"/>
      <c r="G63" s="318"/>
      <c r="H63" s="318"/>
      <c r="I63" s="318"/>
      <c r="J63" s="285" t="s">
        <v>4477</v>
      </c>
      <c r="K63" s="314" t="s">
        <v>4380</v>
      </c>
      <c r="L63" s="312" t="s">
        <v>5786</v>
      </c>
      <c r="M63" s="314" t="s">
        <v>4505</v>
      </c>
      <c r="N63" s="312" t="s">
        <v>4699</v>
      </c>
      <c r="O63" s="18" t="s">
        <v>4503</v>
      </c>
      <c r="P63" s="312" t="s">
        <v>4417</v>
      </c>
      <c r="Q63" s="312" t="s">
        <v>4417</v>
      </c>
      <c r="R63" s="312" t="s">
        <v>4417</v>
      </c>
      <c r="S63" s="312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12" t="s">
        <v>4417</v>
      </c>
      <c r="Y63" s="312" t="s">
        <v>5786</v>
      </c>
      <c r="Z63" s="312" t="s">
        <v>4555</v>
      </c>
      <c r="AA63" s="18">
        <v>6</v>
      </c>
      <c r="AB63" s="223">
        <v>0</v>
      </c>
      <c r="AC63" s="18">
        <v>0</v>
      </c>
      <c r="AD63" s="314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314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14" t="s">
        <v>5801</v>
      </c>
      <c r="AX63" s="312" t="s">
        <v>6121</v>
      </c>
      <c r="AY63" s="21">
        <v>40</v>
      </c>
      <c r="AZ63" s="312">
        <v>24</v>
      </c>
      <c r="BA63" s="312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12" t="s">
        <v>4462</v>
      </c>
      <c r="BI63" s="312" t="s">
        <v>6196</v>
      </c>
      <c r="BJ63" s="312">
        <v>4</v>
      </c>
      <c r="BK63" s="312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12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12">
        <v>8.8000000000000007</v>
      </c>
      <c r="DH63" s="312">
        <v>640</v>
      </c>
      <c r="DI63" s="32">
        <v>730</v>
      </c>
      <c r="DJ63" s="312">
        <v>800</v>
      </c>
      <c r="DK63" s="32">
        <v>940</v>
      </c>
      <c r="DL63" s="59">
        <v>200000</v>
      </c>
      <c r="DM63" s="29" t="s">
        <v>4569</v>
      </c>
      <c r="DN63" s="312" t="s">
        <v>6045</v>
      </c>
      <c r="DO63" s="301" t="s">
        <v>4562</v>
      </c>
    </row>
    <row r="64" spans="1:119">
      <c r="A64" s="18">
        <v>59</v>
      </c>
      <c r="B64" s="318"/>
      <c r="C64" s="318"/>
      <c r="D64" s="330"/>
      <c r="E64" s="330"/>
      <c r="F64" s="318"/>
      <c r="G64" s="318"/>
      <c r="H64" s="318"/>
      <c r="I64" s="318"/>
      <c r="J64" s="285" t="s">
        <v>4478</v>
      </c>
      <c r="K64" s="314" t="s">
        <v>4380</v>
      </c>
      <c r="L64" s="312" t="s">
        <v>5786</v>
      </c>
      <c r="M64" s="314" t="s">
        <v>4505</v>
      </c>
      <c r="N64" s="312" t="s">
        <v>4699</v>
      </c>
      <c r="O64" s="18" t="s">
        <v>4503</v>
      </c>
      <c r="P64" s="312" t="s">
        <v>4417</v>
      </c>
      <c r="Q64" s="312" t="s">
        <v>4417</v>
      </c>
      <c r="R64" s="312" t="s">
        <v>4417</v>
      </c>
      <c r="S64" s="312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12" t="s">
        <v>4417</v>
      </c>
      <c r="Y64" s="312" t="s">
        <v>5786</v>
      </c>
      <c r="Z64" s="312" t="s">
        <v>4555</v>
      </c>
      <c r="AA64" s="18">
        <v>6</v>
      </c>
      <c r="AB64" s="223">
        <v>0</v>
      </c>
      <c r="AC64" s="18">
        <v>0</v>
      </c>
      <c r="AD64" s="314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314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14" t="s">
        <v>5801</v>
      </c>
      <c r="AX64" s="312" t="s">
        <v>6121</v>
      </c>
      <c r="AY64" s="21">
        <v>42</v>
      </c>
      <c r="AZ64" s="312">
        <v>24</v>
      </c>
      <c r="BA64" s="312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12" t="s">
        <v>6198</v>
      </c>
      <c r="BI64" s="312" t="s">
        <v>6196</v>
      </c>
      <c r="BJ64" s="312">
        <v>4</v>
      </c>
      <c r="BK64" s="312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12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12">
        <v>8.8000000000000007</v>
      </c>
      <c r="DH64" s="312">
        <v>640</v>
      </c>
      <c r="DI64" s="32">
        <v>730</v>
      </c>
      <c r="DJ64" s="312">
        <v>800</v>
      </c>
      <c r="DK64" s="32">
        <v>940</v>
      </c>
      <c r="DL64" s="59">
        <v>200000</v>
      </c>
      <c r="DM64" s="29" t="s">
        <v>4569</v>
      </c>
      <c r="DN64" s="312" t="s">
        <v>6045</v>
      </c>
      <c r="DO64" s="301" t="s">
        <v>4562</v>
      </c>
    </row>
    <row r="65" spans="1:119">
      <c r="A65" s="18">
        <v>60</v>
      </c>
      <c r="B65" s="318"/>
      <c r="C65" s="318"/>
      <c r="D65" s="330"/>
      <c r="E65" s="330"/>
      <c r="F65" s="318"/>
      <c r="G65" s="318"/>
      <c r="H65" s="318"/>
      <c r="I65" s="318"/>
      <c r="J65" s="285" t="s">
        <v>4479</v>
      </c>
      <c r="K65" s="314" t="s">
        <v>4380</v>
      </c>
      <c r="L65" s="312" t="s">
        <v>5786</v>
      </c>
      <c r="M65" s="314" t="s">
        <v>4505</v>
      </c>
      <c r="N65" s="312" t="s">
        <v>4699</v>
      </c>
      <c r="O65" s="18" t="s">
        <v>4503</v>
      </c>
      <c r="P65" s="312" t="s">
        <v>4417</v>
      </c>
      <c r="Q65" s="312" t="s">
        <v>4417</v>
      </c>
      <c r="R65" s="312" t="s">
        <v>4417</v>
      </c>
      <c r="S65" s="312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12" t="s">
        <v>4417</v>
      </c>
      <c r="Y65" s="312" t="s">
        <v>5786</v>
      </c>
      <c r="Z65" s="312" t="s">
        <v>4555</v>
      </c>
      <c r="AA65" s="18">
        <v>6</v>
      </c>
      <c r="AB65" s="223">
        <v>0</v>
      </c>
      <c r="AC65" s="18">
        <v>0</v>
      </c>
      <c r="AD65" s="314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314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14" t="s">
        <v>5801</v>
      </c>
      <c r="AX65" s="312" t="s">
        <v>6121</v>
      </c>
      <c r="AY65" s="21">
        <v>39.5</v>
      </c>
      <c r="AZ65" s="312">
        <v>24</v>
      </c>
      <c r="BA65" s="312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12" t="s">
        <v>6198</v>
      </c>
      <c r="BI65" s="312" t="s">
        <v>6196</v>
      </c>
      <c r="BJ65" s="312">
        <v>4</v>
      </c>
      <c r="BK65" s="312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12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12">
        <v>8.8000000000000007</v>
      </c>
      <c r="DH65" s="312">
        <v>640</v>
      </c>
      <c r="DI65" s="32">
        <v>730</v>
      </c>
      <c r="DJ65" s="312">
        <v>800</v>
      </c>
      <c r="DK65" s="32">
        <v>940</v>
      </c>
      <c r="DL65" s="59">
        <v>200000</v>
      </c>
      <c r="DM65" s="29" t="s">
        <v>4569</v>
      </c>
      <c r="DN65" s="312" t="s">
        <v>6045</v>
      </c>
      <c r="DO65" s="301" t="s">
        <v>4562</v>
      </c>
    </row>
    <row r="66" spans="1:119">
      <c r="A66" s="18">
        <v>61</v>
      </c>
      <c r="B66" s="318"/>
      <c r="C66" s="318"/>
      <c r="D66" s="330"/>
      <c r="E66" s="330"/>
      <c r="F66" s="318"/>
      <c r="G66" s="318"/>
      <c r="H66" s="318"/>
      <c r="I66" s="318"/>
      <c r="J66" s="285" t="s">
        <v>4480</v>
      </c>
      <c r="K66" s="314" t="s">
        <v>4380</v>
      </c>
      <c r="L66" s="312" t="s">
        <v>5786</v>
      </c>
      <c r="M66" s="314" t="s">
        <v>4505</v>
      </c>
      <c r="N66" s="312" t="s">
        <v>4699</v>
      </c>
      <c r="O66" s="18" t="s">
        <v>4503</v>
      </c>
      <c r="P66" s="312" t="s">
        <v>4417</v>
      </c>
      <c r="Q66" s="312" t="s">
        <v>4417</v>
      </c>
      <c r="R66" s="312" t="s">
        <v>4417</v>
      </c>
      <c r="S66" s="312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12" t="s">
        <v>4417</v>
      </c>
      <c r="Y66" s="312" t="s">
        <v>5786</v>
      </c>
      <c r="Z66" s="312" t="s">
        <v>4555</v>
      </c>
      <c r="AA66" s="18">
        <v>6</v>
      </c>
      <c r="AB66" s="223">
        <v>0</v>
      </c>
      <c r="AC66" s="18">
        <v>0</v>
      </c>
      <c r="AD66" s="314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314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14" t="s">
        <v>5801</v>
      </c>
      <c r="AX66" s="312" t="s">
        <v>6121</v>
      </c>
      <c r="AY66" s="21">
        <v>30</v>
      </c>
      <c r="AZ66" s="312">
        <v>24</v>
      </c>
      <c r="BA66" s="312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12" t="s">
        <v>6198</v>
      </c>
      <c r="BI66" s="312" t="s">
        <v>6196</v>
      </c>
      <c r="BJ66" s="312">
        <v>4</v>
      </c>
      <c r="BK66" s="312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12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12">
        <v>8.8000000000000007</v>
      </c>
      <c r="DH66" s="312">
        <v>640</v>
      </c>
      <c r="DI66" s="32">
        <v>730</v>
      </c>
      <c r="DJ66" s="312">
        <v>800</v>
      </c>
      <c r="DK66" s="32">
        <v>940</v>
      </c>
      <c r="DL66" s="59">
        <v>200000</v>
      </c>
      <c r="DM66" s="29" t="s">
        <v>4569</v>
      </c>
      <c r="DN66" s="312" t="s">
        <v>6045</v>
      </c>
      <c r="DO66" s="301" t="s">
        <v>4562</v>
      </c>
    </row>
    <row r="67" spans="1:119">
      <c r="A67" s="18">
        <v>62</v>
      </c>
      <c r="B67" s="318"/>
      <c r="C67" s="318"/>
      <c r="D67" s="330"/>
      <c r="E67" s="330"/>
      <c r="F67" s="318"/>
      <c r="G67" s="318"/>
      <c r="H67" s="318"/>
      <c r="I67" s="318"/>
      <c r="J67" s="285" t="s">
        <v>4481</v>
      </c>
      <c r="K67" s="314" t="s">
        <v>4380</v>
      </c>
      <c r="L67" s="312" t="s">
        <v>5786</v>
      </c>
      <c r="M67" s="314" t="s">
        <v>4505</v>
      </c>
      <c r="N67" s="312" t="s">
        <v>4699</v>
      </c>
      <c r="O67" s="18" t="s">
        <v>4503</v>
      </c>
      <c r="P67" s="312" t="s">
        <v>4417</v>
      </c>
      <c r="Q67" s="312" t="s">
        <v>4417</v>
      </c>
      <c r="R67" s="312" t="s">
        <v>4417</v>
      </c>
      <c r="S67" s="312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12" t="s">
        <v>4417</v>
      </c>
      <c r="Y67" s="312" t="s">
        <v>5786</v>
      </c>
      <c r="Z67" s="312" t="s">
        <v>4555</v>
      </c>
      <c r="AA67" s="18">
        <v>6</v>
      </c>
      <c r="AB67" s="223">
        <v>0</v>
      </c>
      <c r="AC67" s="18">
        <v>0</v>
      </c>
      <c r="AD67" s="314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314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14" t="s">
        <v>5801</v>
      </c>
      <c r="AX67" s="312" t="s">
        <v>6121</v>
      </c>
      <c r="AY67" s="21">
        <v>29</v>
      </c>
      <c r="AZ67" s="312">
        <v>24</v>
      </c>
      <c r="BA67" s="312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12" t="s">
        <v>6198</v>
      </c>
      <c r="BI67" s="312" t="s">
        <v>6196</v>
      </c>
      <c r="BJ67" s="312">
        <v>4</v>
      </c>
      <c r="BK67" s="312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12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12">
        <v>8.8000000000000007</v>
      </c>
      <c r="DH67" s="312">
        <v>640</v>
      </c>
      <c r="DI67" s="32">
        <v>730</v>
      </c>
      <c r="DJ67" s="312">
        <v>800</v>
      </c>
      <c r="DK67" s="32">
        <v>940</v>
      </c>
      <c r="DL67" s="59">
        <v>200000</v>
      </c>
      <c r="DM67" s="29" t="s">
        <v>4569</v>
      </c>
      <c r="DN67" s="312" t="s">
        <v>6045</v>
      </c>
      <c r="DO67" s="301" t="s">
        <v>4562</v>
      </c>
    </row>
    <row r="68" spans="1:119">
      <c r="A68" s="18">
        <v>63</v>
      </c>
      <c r="B68" s="318"/>
      <c r="C68" s="318"/>
      <c r="D68" s="330"/>
      <c r="E68" s="330"/>
      <c r="F68" s="318"/>
      <c r="G68" s="318"/>
      <c r="H68" s="318"/>
      <c r="I68" s="318"/>
      <c r="J68" s="285" t="s">
        <v>4482</v>
      </c>
      <c r="K68" s="314" t="s">
        <v>4380</v>
      </c>
      <c r="L68" s="312" t="s">
        <v>5786</v>
      </c>
      <c r="M68" s="314" t="s">
        <v>4505</v>
      </c>
      <c r="N68" s="312" t="s">
        <v>4699</v>
      </c>
      <c r="O68" s="18" t="s">
        <v>4503</v>
      </c>
      <c r="P68" s="312" t="s">
        <v>4417</v>
      </c>
      <c r="Q68" s="312" t="s">
        <v>4417</v>
      </c>
      <c r="R68" s="312" t="s">
        <v>4417</v>
      </c>
      <c r="S68" s="312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12" t="s">
        <v>4417</v>
      </c>
      <c r="Y68" s="312" t="s">
        <v>5786</v>
      </c>
      <c r="Z68" s="312" t="s">
        <v>4555</v>
      </c>
      <c r="AA68" s="18">
        <v>6</v>
      </c>
      <c r="AB68" s="223">
        <v>0</v>
      </c>
      <c r="AC68" s="18">
        <v>0</v>
      </c>
      <c r="AD68" s="314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314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14" t="s">
        <v>5801</v>
      </c>
      <c r="AX68" s="312" t="s">
        <v>6121</v>
      </c>
      <c r="AY68" s="21">
        <v>66</v>
      </c>
      <c r="AZ68" s="312">
        <v>24</v>
      </c>
      <c r="BA68" s="312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12" t="s">
        <v>4462</v>
      </c>
      <c r="BI68" s="312" t="s">
        <v>6196</v>
      </c>
      <c r="BJ68" s="312">
        <v>4</v>
      </c>
      <c r="BK68" s="312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12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12">
        <v>8.8000000000000007</v>
      </c>
      <c r="DH68" s="312">
        <v>640</v>
      </c>
      <c r="DI68" s="32">
        <v>730</v>
      </c>
      <c r="DJ68" s="312">
        <v>800</v>
      </c>
      <c r="DK68" s="32">
        <v>940</v>
      </c>
      <c r="DL68" s="59">
        <v>200000</v>
      </c>
      <c r="DM68" s="29" t="s">
        <v>4569</v>
      </c>
      <c r="DN68" s="312" t="s">
        <v>6045</v>
      </c>
      <c r="DO68" s="301" t="s">
        <v>4562</v>
      </c>
    </row>
    <row r="69" spans="1:119">
      <c r="A69" s="18">
        <v>64</v>
      </c>
      <c r="B69" s="318"/>
      <c r="C69" s="318"/>
      <c r="D69" s="330"/>
      <c r="E69" s="330"/>
      <c r="F69" s="318"/>
      <c r="G69" s="318"/>
      <c r="H69" s="318"/>
      <c r="I69" s="318"/>
      <c r="J69" s="285" t="s">
        <v>4483</v>
      </c>
      <c r="K69" s="314" t="s">
        <v>4380</v>
      </c>
      <c r="L69" s="312" t="s">
        <v>5786</v>
      </c>
      <c r="M69" s="314" t="s">
        <v>4505</v>
      </c>
      <c r="N69" s="312" t="s">
        <v>4699</v>
      </c>
      <c r="O69" s="18" t="s">
        <v>4503</v>
      </c>
      <c r="P69" s="312" t="s">
        <v>4417</v>
      </c>
      <c r="Q69" s="312" t="s">
        <v>4417</v>
      </c>
      <c r="R69" s="312" t="s">
        <v>4417</v>
      </c>
      <c r="S69" s="312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12" t="s">
        <v>4417</v>
      </c>
      <c r="Y69" s="312" t="s">
        <v>5786</v>
      </c>
      <c r="Z69" s="312" t="s">
        <v>4555</v>
      </c>
      <c r="AA69" s="18">
        <v>6</v>
      </c>
      <c r="AB69" s="223">
        <v>0</v>
      </c>
      <c r="AC69" s="139">
        <v>0</v>
      </c>
      <c r="AD69" s="314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314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14" t="s">
        <v>5801</v>
      </c>
      <c r="AX69" s="312" t="s">
        <v>6121</v>
      </c>
      <c r="AY69" s="312" t="s">
        <v>6121</v>
      </c>
      <c r="AZ69" s="312">
        <v>24</v>
      </c>
      <c r="BA69" s="312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12" t="s">
        <v>6196</v>
      </c>
      <c r="BI69" s="312" t="s">
        <v>6196</v>
      </c>
      <c r="BJ69" s="312">
        <v>2</v>
      </c>
      <c r="BK69" s="312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12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12">
        <v>8.8000000000000007</v>
      </c>
      <c r="DH69" s="312">
        <v>640</v>
      </c>
      <c r="DI69" s="32">
        <v>730</v>
      </c>
      <c r="DJ69" s="312">
        <v>800</v>
      </c>
      <c r="DK69" s="32">
        <v>940</v>
      </c>
      <c r="DL69" s="59">
        <v>200000</v>
      </c>
      <c r="DM69" s="29" t="s">
        <v>4569</v>
      </c>
      <c r="DN69" s="312" t="s">
        <v>6045</v>
      </c>
      <c r="DO69" s="301" t="s">
        <v>4562</v>
      </c>
    </row>
    <row r="70" spans="1:119">
      <c r="A70" s="18">
        <v>65</v>
      </c>
      <c r="B70" s="318"/>
      <c r="C70" s="318"/>
      <c r="D70" s="330"/>
      <c r="E70" s="330"/>
      <c r="F70" s="318"/>
      <c r="G70" s="318"/>
      <c r="H70" s="318"/>
      <c r="I70" s="318"/>
      <c r="J70" s="285" t="s">
        <v>4484</v>
      </c>
      <c r="K70" s="314" t="s">
        <v>4380</v>
      </c>
      <c r="L70" s="312" t="s">
        <v>5786</v>
      </c>
      <c r="M70" s="314" t="s">
        <v>4505</v>
      </c>
      <c r="N70" s="312" t="s">
        <v>4699</v>
      </c>
      <c r="O70" s="18" t="s">
        <v>4503</v>
      </c>
      <c r="P70" s="312" t="s">
        <v>4417</v>
      </c>
      <c r="Q70" s="312" t="s">
        <v>4417</v>
      </c>
      <c r="R70" s="312" t="s">
        <v>4417</v>
      </c>
      <c r="S70" s="312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12" t="s">
        <v>4417</v>
      </c>
      <c r="Y70" s="312" t="s">
        <v>5786</v>
      </c>
      <c r="Z70" s="312" t="s">
        <v>4555</v>
      </c>
      <c r="AA70" s="18">
        <v>6</v>
      </c>
      <c r="AB70" s="223">
        <v>0</v>
      </c>
      <c r="AC70" s="139">
        <v>0</v>
      </c>
      <c r="AD70" s="314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314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14" t="s">
        <v>5801</v>
      </c>
      <c r="AX70" s="312" t="s">
        <v>6121</v>
      </c>
      <c r="AY70" s="312">
        <v>60</v>
      </c>
      <c r="AZ70" s="312">
        <v>24</v>
      </c>
      <c r="BA70" s="312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12" t="s">
        <v>6196</v>
      </c>
      <c r="BI70" s="312" t="s">
        <v>6196</v>
      </c>
      <c r="BJ70" s="312">
        <v>2</v>
      </c>
      <c r="BK70" s="312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12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12">
        <v>8.8000000000000007</v>
      </c>
      <c r="DH70" s="312">
        <v>640</v>
      </c>
      <c r="DI70" s="32">
        <v>730</v>
      </c>
      <c r="DJ70" s="312">
        <v>800</v>
      </c>
      <c r="DK70" s="32">
        <v>940</v>
      </c>
      <c r="DL70" s="59">
        <v>200000</v>
      </c>
      <c r="DM70" s="29" t="s">
        <v>4569</v>
      </c>
      <c r="DN70" s="312" t="s">
        <v>6045</v>
      </c>
      <c r="DO70" s="301" t="s">
        <v>4562</v>
      </c>
    </row>
    <row r="71" spans="1:119">
      <c r="A71" s="18">
        <v>66</v>
      </c>
      <c r="B71" s="318"/>
      <c r="C71" s="318"/>
      <c r="D71" s="330"/>
      <c r="E71" s="330"/>
      <c r="F71" s="318"/>
      <c r="G71" s="318"/>
      <c r="H71" s="318"/>
      <c r="I71" s="318"/>
      <c r="J71" s="285" t="s">
        <v>4485</v>
      </c>
      <c r="K71" s="314" t="s">
        <v>4380</v>
      </c>
      <c r="L71" s="312" t="s">
        <v>5786</v>
      </c>
      <c r="M71" s="314" t="s">
        <v>4505</v>
      </c>
      <c r="N71" s="312" t="s">
        <v>4699</v>
      </c>
      <c r="O71" s="18" t="s">
        <v>4503</v>
      </c>
      <c r="P71" s="312" t="s">
        <v>4417</v>
      </c>
      <c r="Q71" s="312" t="s">
        <v>4417</v>
      </c>
      <c r="R71" s="312" t="s">
        <v>4417</v>
      </c>
      <c r="S71" s="312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12" t="s">
        <v>4417</v>
      </c>
      <c r="Y71" s="312" t="s">
        <v>5786</v>
      </c>
      <c r="Z71" s="312" t="s">
        <v>4555</v>
      </c>
      <c r="AA71" s="18">
        <v>6</v>
      </c>
      <c r="AB71" s="223">
        <v>0</v>
      </c>
      <c r="AC71" s="139">
        <v>0</v>
      </c>
      <c r="AD71" s="314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314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14" t="s">
        <v>5801</v>
      </c>
      <c r="AX71" s="312" t="s">
        <v>6121</v>
      </c>
      <c r="AY71" s="312">
        <v>90</v>
      </c>
      <c r="AZ71" s="312">
        <v>24</v>
      </c>
      <c r="BA71" s="312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12" t="s">
        <v>4462</v>
      </c>
      <c r="BI71" s="312" t="s">
        <v>6196</v>
      </c>
      <c r="BJ71" s="312">
        <v>4</v>
      </c>
      <c r="BK71" s="312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12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12">
        <v>8.8000000000000007</v>
      </c>
      <c r="DH71" s="312">
        <v>640</v>
      </c>
      <c r="DI71" s="32">
        <v>730</v>
      </c>
      <c r="DJ71" s="312">
        <v>800</v>
      </c>
      <c r="DK71" s="32">
        <v>940</v>
      </c>
      <c r="DL71" s="59">
        <v>200000</v>
      </c>
      <c r="DM71" s="29" t="s">
        <v>4569</v>
      </c>
      <c r="DN71" s="312" t="s">
        <v>6045</v>
      </c>
      <c r="DO71" s="301" t="s">
        <v>4562</v>
      </c>
    </row>
    <row r="72" spans="1:119">
      <c r="A72" s="18">
        <v>67</v>
      </c>
      <c r="B72" s="318"/>
      <c r="C72" s="318"/>
      <c r="D72" s="330"/>
      <c r="E72" s="330"/>
      <c r="F72" s="318"/>
      <c r="G72" s="318"/>
      <c r="H72" s="318"/>
      <c r="I72" s="318"/>
      <c r="J72" s="285" t="s">
        <v>4486</v>
      </c>
      <c r="K72" s="314" t="s">
        <v>4380</v>
      </c>
      <c r="L72" s="312" t="s">
        <v>5786</v>
      </c>
      <c r="M72" s="314" t="s">
        <v>4505</v>
      </c>
      <c r="N72" s="312" t="s">
        <v>4699</v>
      </c>
      <c r="O72" s="18" t="s">
        <v>4503</v>
      </c>
      <c r="P72" s="312" t="s">
        <v>4417</v>
      </c>
      <c r="Q72" s="312" t="s">
        <v>4417</v>
      </c>
      <c r="R72" s="312" t="s">
        <v>4417</v>
      </c>
      <c r="S72" s="312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12" t="s">
        <v>4417</v>
      </c>
      <c r="Y72" s="312" t="s">
        <v>5786</v>
      </c>
      <c r="Z72" s="312" t="s">
        <v>4555</v>
      </c>
      <c r="AA72" s="18">
        <v>6</v>
      </c>
      <c r="AB72" s="223">
        <v>0</v>
      </c>
      <c r="AC72" s="139">
        <v>0</v>
      </c>
      <c r="AD72" s="314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314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14" t="s">
        <v>5801</v>
      </c>
      <c r="AX72" s="312" t="s">
        <v>6121</v>
      </c>
      <c r="AY72" s="312">
        <v>70</v>
      </c>
      <c r="AZ72" s="312">
        <v>24</v>
      </c>
      <c r="BA72" s="312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12" t="s">
        <v>6196</v>
      </c>
      <c r="BI72" s="312" t="s">
        <v>6196</v>
      </c>
      <c r="BJ72" s="312">
        <v>2</v>
      </c>
      <c r="BK72" s="312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12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12">
        <v>8.8000000000000007</v>
      </c>
      <c r="DH72" s="312">
        <v>640</v>
      </c>
      <c r="DI72" s="32">
        <v>730</v>
      </c>
      <c r="DJ72" s="312">
        <v>800</v>
      </c>
      <c r="DK72" s="32">
        <v>940</v>
      </c>
      <c r="DL72" s="59">
        <v>200000</v>
      </c>
      <c r="DM72" s="29" t="s">
        <v>4569</v>
      </c>
      <c r="DN72" s="312" t="s">
        <v>6045</v>
      </c>
      <c r="DO72" s="301" t="s">
        <v>4562</v>
      </c>
    </row>
    <row r="73" spans="1:119">
      <c r="A73" s="18">
        <v>68</v>
      </c>
      <c r="B73" s="318"/>
      <c r="C73" s="318"/>
      <c r="D73" s="330"/>
      <c r="E73" s="330"/>
      <c r="F73" s="318"/>
      <c r="G73" s="318"/>
      <c r="H73" s="318"/>
      <c r="I73" s="318"/>
      <c r="J73" s="285" t="s">
        <v>4487</v>
      </c>
      <c r="K73" s="314" t="s">
        <v>4380</v>
      </c>
      <c r="L73" s="312" t="s">
        <v>5786</v>
      </c>
      <c r="M73" s="314" t="s">
        <v>4505</v>
      </c>
      <c r="N73" s="312" t="s">
        <v>4699</v>
      </c>
      <c r="O73" s="18" t="s">
        <v>4503</v>
      </c>
      <c r="P73" s="312" t="s">
        <v>4417</v>
      </c>
      <c r="Q73" s="312" t="s">
        <v>4417</v>
      </c>
      <c r="R73" s="312" t="s">
        <v>4417</v>
      </c>
      <c r="S73" s="312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12" t="s">
        <v>4417</v>
      </c>
      <c r="Y73" s="312" t="s">
        <v>5786</v>
      </c>
      <c r="Z73" s="312" t="s">
        <v>4555</v>
      </c>
      <c r="AA73" s="18">
        <v>6</v>
      </c>
      <c r="AB73" s="223">
        <v>0</v>
      </c>
      <c r="AC73" s="139">
        <v>0</v>
      </c>
      <c r="AD73" s="314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314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14" t="s">
        <v>5801</v>
      </c>
      <c r="AX73" s="312" t="s">
        <v>6121</v>
      </c>
      <c r="AY73" s="312">
        <v>70</v>
      </c>
      <c r="AZ73" s="312">
        <v>24</v>
      </c>
      <c r="BA73" s="312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12" t="s">
        <v>6196</v>
      </c>
      <c r="BI73" s="312" t="s">
        <v>6196</v>
      </c>
      <c r="BJ73" s="312">
        <v>2</v>
      </c>
      <c r="BK73" s="312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12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12">
        <v>8.8000000000000007</v>
      </c>
      <c r="DH73" s="312">
        <v>640</v>
      </c>
      <c r="DI73" s="32">
        <v>730</v>
      </c>
      <c r="DJ73" s="312">
        <v>800</v>
      </c>
      <c r="DK73" s="32">
        <v>940</v>
      </c>
      <c r="DL73" s="59">
        <v>200000</v>
      </c>
      <c r="DM73" s="29" t="s">
        <v>4569</v>
      </c>
      <c r="DN73" s="312" t="s">
        <v>6045</v>
      </c>
      <c r="DO73" s="301" t="s">
        <v>4562</v>
      </c>
    </row>
    <row r="74" spans="1:119">
      <c r="A74" s="18">
        <v>69</v>
      </c>
      <c r="B74" s="318"/>
      <c r="C74" s="318"/>
      <c r="D74" s="330"/>
      <c r="E74" s="330"/>
      <c r="F74" s="318"/>
      <c r="G74" s="318"/>
      <c r="H74" s="318"/>
      <c r="I74" s="318"/>
      <c r="J74" s="285" t="s">
        <v>4488</v>
      </c>
      <c r="K74" s="314" t="s">
        <v>4380</v>
      </c>
      <c r="L74" s="312" t="s">
        <v>5786</v>
      </c>
      <c r="M74" s="314" t="s">
        <v>4505</v>
      </c>
      <c r="N74" s="312" t="s">
        <v>4699</v>
      </c>
      <c r="O74" s="18" t="s">
        <v>4503</v>
      </c>
      <c r="P74" s="312" t="s">
        <v>4417</v>
      </c>
      <c r="Q74" s="312" t="s">
        <v>4417</v>
      </c>
      <c r="R74" s="312" t="s">
        <v>4417</v>
      </c>
      <c r="S74" s="312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12" t="s">
        <v>4417</v>
      </c>
      <c r="Y74" s="312" t="s">
        <v>5786</v>
      </c>
      <c r="Z74" s="312" t="s">
        <v>4555</v>
      </c>
      <c r="AA74" s="18">
        <v>10</v>
      </c>
      <c r="AB74" s="223">
        <v>0</v>
      </c>
      <c r="AC74" s="139">
        <v>0</v>
      </c>
      <c r="AD74" s="314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314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2">
        <v>32</v>
      </c>
      <c r="AS74" s="312">
        <v>180</v>
      </c>
      <c r="AT74" s="312">
        <v>400</v>
      </c>
      <c r="AU74" s="21">
        <f t="shared" si="16"/>
        <v>0</v>
      </c>
      <c r="AV74" s="21">
        <v>0</v>
      </c>
      <c r="AW74" s="314" t="s">
        <v>5801</v>
      </c>
      <c r="AX74" s="312" t="s">
        <v>6121</v>
      </c>
      <c r="AY74" s="312">
        <v>20</v>
      </c>
      <c r="AZ74" s="312">
        <v>24</v>
      </c>
      <c r="BA74" s="312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12" t="s">
        <v>4462</v>
      </c>
      <c r="BI74" s="312" t="s">
        <v>6196</v>
      </c>
      <c r="BJ74" s="312">
        <v>4</v>
      </c>
      <c r="BK74" s="312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12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12">
        <v>8.8000000000000007</v>
      </c>
      <c r="DH74" s="312">
        <v>640</v>
      </c>
      <c r="DI74" s="32">
        <v>730</v>
      </c>
      <c r="DJ74" s="312">
        <v>800</v>
      </c>
      <c r="DK74" s="32">
        <v>940</v>
      </c>
      <c r="DL74" s="59">
        <v>200000</v>
      </c>
      <c r="DM74" s="29" t="s">
        <v>4569</v>
      </c>
      <c r="DN74" s="312" t="s">
        <v>6045</v>
      </c>
      <c r="DO74" s="301" t="s">
        <v>4562</v>
      </c>
    </row>
    <row r="75" spans="1:119">
      <c r="A75" s="18">
        <v>70</v>
      </c>
      <c r="B75" s="318"/>
      <c r="C75" s="318"/>
      <c r="D75" s="330"/>
      <c r="E75" s="330"/>
      <c r="F75" s="318"/>
      <c r="G75" s="318"/>
      <c r="H75" s="318"/>
      <c r="I75" s="318"/>
      <c r="J75" s="285" t="s">
        <v>4489</v>
      </c>
      <c r="K75" s="314" t="s">
        <v>4380</v>
      </c>
      <c r="L75" s="312" t="s">
        <v>5786</v>
      </c>
      <c r="M75" s="314" t="s">
        <v>4505</v>
      </c>
      <c r="N75" s="312" t="s">
        <v>4699</v>
      </c>
      <c r="O75" s="18" t="s">
        <v>4503</v>
      </c>
      <c r="P75" s="312" t="s">
        <v>4417</v>
      </c>
      <c r="Q75" s="312" t="s">
        <v>4417</v>
      </c>
      <c r="R75" s="312" t="s">
        <v>4417</v>
      </c>
      <c r="S75" s="312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12" t="s">
        <v>4417</v>
      </c>
      <c r="Y75" s="312" t="s">
        <v>5786</v>
      </c>
      <c r="Z75" s="312" t="s">
        <v>4555</v>
      </c>
      <c r="AA75" s="18">
        <v>10</v>
      </c>
      <c r="AB75" s="223">
        <v>0</v>
      </c>
      <c r="AC75" s="139">
        <v>0</v>
      </c>
      <c r="AD75" s="314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314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14" t="s">
        <v>5801</v>
      </c>
      <c r="AX75" s="312" t="s">
        <v>6121</v>
      </c>
      <c r="AY75" s="312">
        <v>34</v>
      </c>
      <c r="AZ75" s="312">
        <v>24</v>
      </c>
      <c r="BA75" s="312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12" t="s">
        <v>6198</v>
      </c>
      <c r="BI75" s="312" t="s">
        <v>6196</v>
      </c>
      <c r="BJ75" s="312">
        <v>4</v>
      </c>
      <c r="BK75" s="312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12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12">
        <v>8.8000000000000007</v>
      </c>
      <c r="DH75" s="312">
        <v>640</v>
      </c>
      <c r="DI75" s="32">
        <v>730</v>
      </c>
      <c r="DJ75" s="312">
        <v>800</v>
      </c>
      <c r="DK75" s="32">
        <v>940</v>
      </c>
      <c r="DL75" s="59">
        <v>200000</v>
      </c>
      <c r="DM75" s="29" t="s">
        <v>4569</v>
      </c>
      <c r="DN75" s="312" t="s">
        <v>6045</v>
      </c>
      <c r="DO75" s="301" t="s">
        <v>4562</v>
      </c>
    </row>
    <row r="76" spans="1:119" ht="16.2" thickBot="1">
      <c r="A76" s="18">
        <v>71</v>
      </c>
      <c r="B76" s="318"/>
      <c r="C76" s="318"/>
      <c r="D76" s="330"/>
      <c r="E76" s="330"/>
      <c r="F76" s="318"/>
      <c r="G76" s="318"/>
      <c r="H76" s="318"/>
      <c r="I76" s="318"/>
      <c r="J76" s="285" t="s">
        <v>4490</v>
      </c>
      <c r="K76" s="314" t="s">
        <v>4380</v>
      </c>
      <c r="L76" s="312" t="s">
        <v>5786</v>
      </c>
      <c r="M76" s="314" t="s">
        <v>4505</v>
      </c>
      <c r="N76" s="312" t="s">
        <v>4699</v>
      </c>
      <c r="O76" s="18" t="s">
        <v>4503</v>
      </c>
      <c r="P76" s="312" t="s">
        <v>4417</v>
      </c>
      <c r="Q76" s="312" t="s">
        <v>4417</v>
      </c>
      <c r="R76" s="312" t="s">
        <v>4417</v>
      </c>
      <c r="S76" s="312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12" t="s">
        <v>4417</v>
      </c>
      <c r="Y76" s="312" t="s">
        <v>5786</v>
      </c>
      <c r="Z76" s="312" t="s">
        <v>4555</v>
      </c>
      <c r="AA76" s="18">
        <v>10</v>
      </c>
      <c r="AB76" s="223">
        <v>0</v>
      </c>
      <c r="AC76" s="139">
        <v>0</v>
      </c>
      <c r="AD76" s="314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314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14" t="s">
        <v>5801</v>
      </c>
      <c r="AX76" s="312" t="s">
        <v>6121</v>
      </c>
      <c r="AY76" s="312">
        <v>54</v>
      </c>
      <c r="AZ76" s="312">
        <v>24</v>
      </c>
      <c r="BA76" s="312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12" t="s">
        <v>6196</v>
      </c>
      <c r="BI76" s="312" t="s">
        <v>6196</v>
      </c>
      <c r="BJ76" s="312">
        <v>2</v>
      </c>
      <c r="BK76" s="312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12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12">
        <v>8.8000000000000007</v>
      </c>
      <c r="DH76" s="312">
        <v>640</v>
      </c>
      <c r="DI76" s="32">
        <v>730</v>
      </c>
      <c r="DJ76" s="312">
        <v>800</v>
      </c>
      <c r="DK76" s="32">
        <v>940</v>
      </c>
      <c r="DL76" s="59">
        <v>200000</v>
      </c>
      <c r="DM76" s="29" t="s">
        <v>4777</v>
      </c>
      <c r="DN76" s="312" t="s">
        <v>6045</v>
      </c>
      <c r="DO76" s="301" t="s">
        <v>4562</v>
      </c>
    </row>
    <row r="77" spans="1:119" ht="15.6" customHeight="1">
      <c r="A77" s="297">
        <v>72</v>
      </c>
      <c r="B77" s="317">
        <v>7</v>
      </c>
      <c r="C77" s="317">
        <v>1981</v>
      </c>
      <c r="D77" s="329" t="s">
        <v>4663</v>
      </c>
      <c r="E77" s="329" t="s">
        <v>4833</v>
      </c>
      <c r="F77" s="317">
        <v>4</v>
      </c>
      <c r="G77" s="317" t="s">
        <v>5897</v>
      </c>
      <c r="H77" s="317" t="s">
        <v>5896</v>
      </c>
      <c r="I77" s="317" t="s">
        <v>6210</v>
      </c>
      <c r="J77" s="283" t="s">
        <v>4508</v>
      </c>
      <c r="K77" s="309" t="s">
        <v>4380</v>
      </c>
      <c r="L77" s="311" t="s">
        <v>5786</v>
      </c>
      <c r="M77" s="309" t="s">
        <v>4504</v>
      </c>
      <c r="N77" s="311" t="s">
        <v>4698</v>
      </c>
      <c r="O77" s="17" t="s">
        <v>4503</v>
      </c>
      <c r="P77" s="311" t="s">
        <v>4417</v>
      </c>
      <c r="Q77" s="311" t="s">
        <v>4417</v>
      </c>
      <c r="R77" s="311" t="s">
        <v>6157</v>
      </c>
      <c r="S77" s="311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311" t="s">
        <v>4417</v>
      </c>
      <c r="Y77" s="311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30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30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309" t="s">
        <v>5801</v>
      </c>
      <c r="AX77" s="311" t="s">
        <v>6121</v>
      </c>
      <c r="AY77" s="30">
        <v>120</v>
      </c>
      <c r="AZ77" s="311">
        <v>22</v>
      </c>
      <c r="BA77" s="311">
        <f>IF(AZ77=24,353,IF(AZ77=22,303,IF(AZ77=20,245,IF(AZ77=16,157,0))))</f>
        <v>303</v>
      </c>
      <c r="BB77" s="31">
        <v>82.5</v>
      </c>
      <c r="BC77" s="31">
        <v>82.5</v>
      </c>
      <c r="BD77" s="31">
        <v>75</v>
      </c>
      <c r="BE77" s="31">
        <v>125</v>
      </c>
      <c r="BF77" s="31">
        <f>AT77-BB77-BC77-2*BD77</f>
        <v>185</v>
      </c>
      <c r="BG77" s="22" t="s">
        <v>4417</v>
      </c>
      <c r="BH77" s="311" t="s">
        <v>4462</v>
      </c>
      <c r="BI77" s="311" t="s">
        <v>4462</v>
      </c>
      <c r="BJ77" s="311">
        <v>4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311" t="s">
        <v>4510</v>
      </c>
      <c r="DH77" s="306">
        <v>640</v>
      </c>
      <c r="DI77" s="30">
        <v>730</v>
      </c>
      <c r="DJ77" s="306">
        <v>800</v>
      </c>
      <c r="DK77" s="30">
        <v>940</v>
      </c>
      <c r="DL77" s="74">
        <v>200000</v>
      </c>
      <c r="DM77" s="28" t="s">
        <v>4766</v>
      </c>
      <c r="DN77" s="311" t="s">
        <v>4557</v>
      </c>
      <c r="DO77" s="300" t="s">
        <v>4562</v>
      </c>
    </row>
    <row r="78" spans="1:119">
      <c r="A78" s="298">
        <v>73</v>
      </c>
      <c r="B78" s="318"/>
      <c r="C78" s="318"/>
      <c r="D78" s="330"/>
      <c r="E78" s="330"/>
      <c r="F78" s="318"/>
      <c r="G78" s="318"/>
      <c r="H78" s="318"/>
      <c r="I78" s="318"/>
      <c r="J78" s="285" t="s">
        <v>4394</v>
      </c>
      <c r="K78" s="314" t="s">
        <v>4380</v>
      </c>
      <c r="L78" s="312" t="s">
        <v>5786</v>
      </c>
      <c r="M78" s="314" t="s">
        <v>4504</v>
      </c>
      <c r="N78" s="312" t="s">
        <v>4698</v>
      </c>
      <c r="O78" s="18" t="s">
        <v>4503</v>
      </c>
      <c r="P78" s="312" t="s">
        <v>4417</v>
      </c>
      <c r="Q78" s="312" t="s">
        <v>4417</v>
      </c>
      <c r="R78" s="312" t="s">
        <v>6157</v>
      </c>
      <c r="S78" s="312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12" t="s">
        <v>4417</v>
      </c>
      <c r="Y78" s="312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314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314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7">(AT78-AK78)/2</f>
        <v>23.300000000000011</v>
      </c>
      <c r="AV78" s="21">
        <f t="shared" ref="AV78:AV80" si="18">AU78</f>
        <v>23.300000000000011</v>
      </c>
      <c r="AW78" s="314" t="s">
        <v>5801</v>
      </c>
      <c r="AX78" s="312" t="s">
        <v>6121</v>
      </c>
      <c r="AY78" s="312">
        <v>120</v>
      </c>
      <c r="AZ78" s="312">
        <v>22</v>
      </c>
      <c r="BA78" s="312">
        <f>IF(AZ78=24,353,IF(AZ78=22,303,IF(AZ78=20,245,IF(AZ78=16,157,0))))</f>
        <v>303</v>
      </c>
      <c r="BB78" s="33">
        <v>82.5</v>
      </c>
      <c r="BC78" s="33">
        <v>82.5</v>
      </c>
      <c r="BD78" s="33">
        <v>75</v>
      </c>
      <c r="BE78" s="33">
        <v>125</v>
      </c>
      <c r="BF78" s="33">
        <f>AT78-BB78-BC78-2*BD78</f>
        <v>185</v>
      </c>
      <c r="BG78" s="15" t="s">
        <v>4417</v>
      </c>
      <c r="BH78" s="312" t="s">
        <v>4462</v>
      </c>
      <c r="BI78" s="312" t="s">
        <v>4462</v>
      </c>
      <c r="BJ78" s="312">
        <v>4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12" t="s">
        <v>4510</v>
      </c>
      <c r="DH78" s="307">
        <v>640</v>
      </c>
      <c r="DI78" s="32">
        <v>730</v>
      </c>
      <c r="DJ78" s="307">
        <v>800</v>
      </c>
      <c r="DK78" s="32">
        <v>940</v>
      </c>
      <c r="DL78" s="59">
        <v>200000</v>
      </c>
      <c r="DM78" s="29" t="s">
        <v>4766</v>
      </c>
      <c r="DN78" s="312" t="s">
        <v>4557</v>
      </c>
      <c r="DO78" s="301" t="s">
        <v>6200</v>
      </c>
    </row>
    <row r="79" spans="1:119">
      <c r="A79" s="298">
        <v>74</v>
      </c>
      <c r="B79" s="318"/>
      <c r="C79" s="318"/>
      <c r="D79" s="330"/>
      <c r="E79" s="330"/>
      <c r="F79" s="318"/>
      <c r="G79" s="318"/>
      <c r="H79" s="318"/>
      <c r="I79" s="318"/>
      <c r="J79" s="285" t="s">
        <v>4395</v>
      </c>
      <c r="K79" s="314" t="s">
        <v>4380</v>
      </c>
      <c r="L79" s="312" t="s">
        <v>5786</v>
      </c>
      <c r="M79" s="314" t="s">
        <v>4504</v>
      </c>
      <c r="N79" s="312" t="s">
        <v>4698</v>
      </c>
      <c r="O79" s="18" t="s">
        <v>4503</v>
      </c>
      <c r="P79" s="312" t="s">
        <v>4417</v>
      </c>
      <c r="Q79" s="312" t="s">
        <v>4417</v>
      </c>
      <c r="R79" s="312" t="s">
        <v>6157</v>
      </c>
      <c r="S79" s="312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12" t="s">
        <v>4417</v>
      </c>
      <c r="Y79" s="312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314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314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7"/>
        <v>23.300000000000011</v>
      </c>
      <c r="AV79" s="21">
        <f t="shared" si="18"/>
        <v>23.300000000000011</v>
      </c>
      <c r="AW79" s="314" t="s">
        <v>5801</v>
      </c>
      <c r="AX79" s="312" t="s">
        <v>6121</v>
      </c>
      <c r="AY79" s="312">
        <v>111</v>
      </c>
      <c r="AZ79" s="312">
        <v>22</v>
      </c>
      <c r="BA79" s="312">
        <f>IF(AZ79=24,353,IF(AZ79=22,303,IF(AZ79=20,245,IF(AZ79=16,157,0))))</f>
        <v>303</v>
      </c>
      <c r="BB79" s="33">
        <v>82.5</v>
      </c>
      <c r="BC79" s="33">
        <v>82.5</v>
      </c>
      <c r="BD79" s="33">
        <v>75</v>
      </c>
      <c r="BE79" s="33">
        <v>125</v>
      </c>
      <c r="BF79" s="33">
        <f>AT79-BB79-BC79-2*BD79</f>
        <v>185</v>
      </c>
      <c r="BG79" s="15" t="s">
        <v>4417</v>
      </c>
      <c r="BH79" s="312" t="s">
        <v>4462</v>
      </c>
      <c r="BI79" s="312" t="s">
        <v>4462</v>
      </c>
      <c r="BJ79" s="312">
        <v>4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12" t="s">
        <v>4510</v>
      </c>
      <c r="DH79" s="307">
        <v>640</v>
      </c>
      <c r="DI79" s="32">
        <v>730</v>
      </c>
      <c r="DJ79" s="307">
        <v>800</v>
      </c>
      <c r="DK79" s="32">
        <v>940</v>
      </c>
      <c r="DL79" s="59">
        <v>200000</v>
      </c>
      <c r="DM79" s="29" t="s">
        <v>4766</v>
      </c>
      <c r="DN79" s="312" t="s">
        <v>4557</v>
      </c>
      <c r="DO79" s="301" t="s">
        <v>6201</v>
      </c>
    </row>
    <row r="80" spans="1:119" ht="16.2" thickBot="1">
      <c r="A80" s="299">
        <v>75</v>
      </c>
      <c r="B80" s="319"/>
      <c r="C80" s="319"/>
      <c r="D80" s="331"/>
      <c r="E80" s="331"/>
      <c r="F80" s="319"/>
      <c r="G80" s="319"/>
      <c r="H80" s="319"/>
      <c r="I80" s="319"/>
      <c r="J80" s="284" t="s">
        <v>4396</v>
      </c>
      <c r="K80" s="310" t="s">
        <v>4380</v>
      </c>
      <c r="L80" s="313" t="s">
        <v>5786</v>
      </c>
      <c r="M80" s="310" t="s">
        <v>4504</v>
      </c>
      <c r="N80" s="313" t="s">
        <v>4698</v>
      </c>
      <c r="O80" s="14" t="s">
        <v>4503</v>
      </c>
      <c r="P80" s="313" t="s">
        <v>4417</v>
      </c>
      <c r="Q80" s="313" t="s">
        <v>4417</v>
      </c>
      <c r="R80" s="313" t="s">
        <v>6157</v>
      </c>
      <c r="S80" s="313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13" t="s">
        <v>4417</v>
      </c>
      <c r="Y80" s="313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31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31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7"/>
        <v>23.300000000000011</v>
      </c>
      <c r="AV80" s="23">
        <f t="shared" si="18"/>
        <v>23.300000000000011</v>
      </c>
      <c r="AW80" s="310" t="s">
        <v>5801</v>
      </c>
      <c r="AX80" s="313" t="s">
        <v>6121</v>
      </c>
      <c r="AY80" s="313">
        <v>130</v>
      </c>
      <c r="AZ80" s="313">
        <v>22</v>
      </c>
      <c r="BA80" s="313">
        <f>IF(AZ80=24,353,IF(AZ80=22,303,IF(AZ80=20,245,IF(AZ80=16,157,0))))</f>
        <v>303</v>
      </c>
      <c r="BB80" s="35">
        <v>82.5</v>
      </c>
      <c r="BC80" s="35">
        <v>82.5</v>
      </c>
      <c r="BD80" s="35">
        <v>75</v>
      </c>
      <c r="BE80" s="35">
        <v>125</v>
      </c>
      <c r="BF80" s="35">
        <f>AT80-BB80-BC80-2*BD80</f>
        <v>185</v>
      </c>
      <c r="BG80" s="19" t="s">
        <v>4417</v>
      </c>
      <c r="BH80" s="313" t="s">
        <v>4462</v>
      </c>
      <c r="BI80" s="313" t="s">
        <v>4462</v>
      </c>
      <c r="BJ80" s="313">
        <v>4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13" t="s">
        <v>4510</v>
      </c>
      <c r="DH80" s="308">
        <v>640</v>
      </c>
      <c r="DI80" s="34">
        <v>730</v>
      </c>
      <c r="DJ80" s="308">
        <v>800</v>
      </c>
      <c r="DK80" s="34">
        <v>940</v>
      </c>
      <c r="DL80" s="75">
        <v>200000</v>
      </c>
      <c r="DM80" s="27" t="s">
        <v>4766</v>
      </c>
      <c r="DN80" s="313" t="s">
        <v>4557</v>
      </c>
      <c r="DO80" s="302" t="s">
        <v>6202</v>
      </c>
    </row>
    <row r="81" spans="1:119" ht="15.6" customHeight="1">
      <c r="A81" s="18">
        <v>76</v>
      </c>
      <c r="B81" s="318">
        <v>8</v>
      </c>
      <c r="C81" s="318">
        <v>1981</v>
      </c>
      <c r="D81" s="324" t="s">
        <v>5857</v>
      </c>
      <c r="E81" s="324" t="s">
        <v>5856</v>
      </c>
      <c r="F81" s="318">
        <v>6</v>
      </c>
      <c r="G81" s="318" t="s">
        <v>5897</v>
      </c>
      <c r="H81" s="318" t="s">
        <v>5896</v>
      </c>
      <c r="I81" s="318" t="s">
        <v>6212</v>
      </c>
      <c r="J81" s="285" t="s">
        <v>4508</v>
      </c>
      <c r="K81" s="314" t="s">
        <v>4380</v>
      </c>
      <c r="L81" s="312" t="s">
        <v>5786</v>
      </c>
      <c r="M81" s="314" t="s">
        <v>4504</v>
      </c>
      <c r="N81" s="312" t="s">
        <v>4697</v>
      </c>
      <c r="O81" s="18" t="s">
        <v>4503</v>
      </c>
      <c r="P81" s="312" t="s">
        <v>4417</v>
      </c>
      <c r="Q81" s="312" t="s">
        <v>4417</v>
      </c>
      <c r="R81" s="312" t="s">
        <v>6156</v>
      </c>
      <c r="S81" s="312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12" t="s">
        <v>4417</v>
      </c>
      <c r="Y81" s="312" t="s">
        <v>5786</v>
      </c>
      <c r="Z81" s="312" t="s">
        <v>4555</v>
      </c>
      <c r="AA81" s="18">
        <v>8</v>
      </c>
      <c r="AB81" s="223">
        <v>0</v>
      </c>
      <c r="AC81" s="139">
        <v>0</v>
      </c>
      <c r="AD81" s="314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12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14" t="s">
        <v>5801</v>
      </c>
      <c r="AX81" s="312" t="s">
        <v>6121</v>
      </c>
      <c r="AY81" s="312">
        <v>185</v>
      </c>
      <c r="AZ81" s="312">
        <v>22</v>
      </c>
      <c r="BA81" s="312">
        <f t="shared" ref="BA81:BA86" si="19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12" t="s">
        <v>6197</v>
      </c>
      <c r="BI81" s="312" t="s">
        <v>6196</v>
      </c>
      <c r="BJ81" s="312">
        <v>6</v>
      </c>
      <c r="BK81" s="312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12" t="s">
        <v>4510</v>
      </c>
      <c r="DH81" s="307">
        <v>660</v>
      </c>
      <c r="DI81" s="32">
        <v>730</v>
      </c>
      <c r="DJ81" s="307">
        <v>830</v>
      </c>
      <c r="DK81" s="32">
        <v>940</v>
      </c>
      <c r="DL81" s="59">
        <v>200000</v>
      </c>
      <c r="DM81" s="29" t="s">
        <v>4765</v>
      </c>
      <c r="DN81" s="307" t="s">
        <v>6045</v>
      </c>
      <c r="DO81" s="301" t="s">
        <v>6077</v>
      </c>
    </row>
    <row r="82" spans="1:119">
      <c r="A82" s="18">
        <v>77</v>
      </c>
      <c r="B82" s="318"/>
      <c r="C82" s="318"/>
      <c r="D82" s="324"/>
      <c r="E82" s="324"/>
      <c r="F82" s="318"/>
      <c r="G82" s="318"/>
      <c r="H82" s="318"/>
      <c r="I82" s="318"/>
      <c r="J82" s="285" t="s">
        <v>4394</v>
      </c>
      <c r="K82" s="314" t="s">
        <v>4380</v>
      </c>
      <c r="L82" s="312" t="s">
        <v>5786</v>
      </c>
      <c r="M82" s="314" t="s">
        <v>4504</v>
      </c>
      <c r="N82" s="312" t="s">
        <v>4697</v>
      </c>
      <c r="O82" s="18" t="s">
        <v>4503</v>
      </c>
      <c r="P82" s="312" t="s">
        <v>4417</v>
      </c>
      <c r="Q82" s="312" t="s">
        <v>4417</v>
      </c>
      <c r="R82" s="312" t="s">
        <v>6156</v>
      </c>
      <c r="S82" s="312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12" t="s">
        <v>4417</v>
      </c>
      <c r="Y82" s="312" t="s">
        <v>5786</v>
      </c>
      <c r="Z82" s="312" t="s">
        <v>4555</v>
      </c>
      <c r="AA82" s="18">
        <v>8</v>
      </c>
      <c r="AB82" s="223">
        <v>0</v>
      </c>
      <c r="AC82" s="139">
        <v>0</v>
      </c>
      <c r="AD82" s="314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2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14" t="s">
        <v>5801</v>
      </c>
      <c r="AX82" s="312" t="s">
        <v>6121</v>
      </c>
      <c r="AY82" s="312">
        <v>185</v>
      </c>
      <c r="AZ82" s="312">
        <v>22</v>
      </c>
      <c r="BA82" s="312">
        <f t="shared" si="19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12" t="s">
        <v>6197</v>
      </c>
      <c r="BI82" s="312" t="s">
        <v>6196</v>
      </c>
      <c r="BJ82" s="312">
        <v>6</v>
      </c>
      <c r="BK82" s="312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12" t="s">
        <v>4510</v>
      </c>
      <c r="DH82" s="307">
        <v>660</v>
      </c>
      <c r="DI82" s="32">
        <v>730</v>
      </c>
      <c r="DJ82" s="307">
        <v>830</v>
      </c>
      <c r="DK82" s="32">
        <v>940</v>
      </c>
      <c r="DL82" s="59">
        <v>200000</v>
      </c>
      <c r="DM82" s="29" t="s">
        <v>5826</v>
      </c>
      <c r="DN82" s="307" t="s">
        <v>6045</v>
      </c>
      <c r="DO82" s="301" t="s">
        <v>6078</v>
      </c>
    </row>
    <row r="83" spans="1:119">
      <c r="A83" s="18">
        <v>78</v>
      </c>
      <c r="B83" s="318"/>
      <c r="C83" s="318"/>
      <c r="D83" s="324"/>
      <c r="E83" s="324"/>
      <c r="F83" s="318"/>
      <c r="G83" s="318"/>
      <c r="H83" s="318"/>
      <c r="I83" s="318"/>
      <c r="J83" s="285" t="s">
        <v>4395</v>
      </c>
      <c r="K83" s="314" t="s">
        <v>4380</v>
      </c>
      <c r="L83" s="312" t="s">
        <v>5786</v>
      </c>
      <c r="M83" s="314" t="s">
        <v>4504</v>
      </c>
      <c r="N83" s="312" t="s">
        <v>4697</v>
      </c>
      <c r="O83" s="18" t="s">
        <v>4503</v>
      </c>
      <c r="P83" s="312" t="s">
        <v>4417</v>
      </c>
      <c r="Q83" s="312" t="s">
        <v>4417</v>
      </c>
      <c r="R83" s="312" t="s">
        <v>6156</v>
      </c>
      <c r="S83" s="312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12" t="s">
        <v>4417</v>
      </c>
      <c r="Y83" s="312" t="s">
        <v>5786</v>
      </c>
      <c r="Z83" s="312" t="s">
        <v>4555</v>
      </c>
      <c r="AA83" s="18">
        <v>8</v>
      </c>
      <c r="AB83" s="223">
        <v>0</v>
      </c>
      <c r="AC83" s="139">
        <v>0</v>
      </c>
      <c r="AD83" s="314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2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14" t="s">
        <v>5801</v>
      </c>
      <c r="AX83" s="312" t="s">
        <v>6121</v>
      </c>
      <c r="AY83" s="312">
        <v>185</v>
      </c>
      <c r="AZ83" s="312">
        <v>22</v>
      </c>
      <c r="BA83" s="312">
        <f t="shared" si="19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12" t="s">
        <v>6197</v>
      </c>
      <c r="BI83" s="312" t="s">
        <v>6196</v>
      </c>
      <c r="BJ83" s="312">
        <v>6</v>
      </c>
      <c r="BK83" s="312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12" t="s">
        <v>4510</v>
      </c>
      <c r="DH83" s="307">
        <v>660</v>
      </c>
      <c r="DI83" s="32">
        <v>730</v>
      </c>
      <c r="DJ83" s="307">
        <v>830</v>
      </c>
      <c r="DK83" s="32">
        <v>940</v>
      </c>
      <c r="DL83" s="59">
        <v>200000</v>
      </c>
      <c r="DM83" s="29" t="s">
        <v>5826</v>
      </c>
      <c r="DN83" s="307" t="s">
        <v>6045</v>
      </c>
      <c r="DO83" s="301" t="s">
        <v>6079</v>
      </c>
    </row>
    <row r="84" spans="1:119">
      <c r="A84" s="18">
        <v>79</v>
      </c>
      <c r="B84" s="318"/>
      <c r="C84" s="318"/>
      <c r="D84" s="324"/>
      <c r="E84" s="324"/>
      <c r="F84" s="318"/>
      <c r="G84" s="318"/>
      <c r="H84" s="318"/>
      <c r="I84" s="318"/>
      <c r="J84" s="285" t="s">
        <v>4396</v>
      </c>
      <c r="K84" s="314" t="s">
        <v>4380</v>
      </c>
      <c r="L84" s="312" t="s">
        <v>5786</v>
      </c>
      <c r="M84" s="314" t="s">
        <v>4504</v>
      </c>
      <c r="N84" s="312" t="s">
        <v>4697</v>
      </c>
      <c r="O84" s="18" t="s">
        <v>4503</v>
      </c>
      <c r="P84" s="312" t="s">
        <v>4417</v>
      </c>
      <c r="Q84" s="312" t="s">
        <v>4417</v>
      </c>
      <c r="R84" s="312" t="s">
        <v>6156</v>
      </c>
      <c r="S84" s="312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12" t="s">
        <v>4417</v>
      </c>
      <c r="Y84" s="312" t="s">
        <v>5786</v>
      </c>
      <c r="Z84" s="312" t="s">
        <v>4555</v>
      </c>
      <c r="AA84" s="18">
        <v>8</v>
      </c>
      <c r="AB84" s="223">
        <v>0</v>
      </c>
      <c r="AC84" s="139">
        <v>0</v>
      </c>
      <c r="AD84" s="314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2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14" t="s">
        <v>5801</v>
      </c>
      <c r="AX84" s="312" t="s">
        <v>6121</v>
      </c>
      <c r="AY84" s="312">
        <v>185</v>
      </c>
      <c r="AZ84" s="312">
        <v>22</v>
      </c>
      <c r="BA84" s="312">
        <f t="shared" si="19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12" t="s">
        <v>6197</v>
      </c>
      <c r="BI84" s="312" t="s">
        <v>6196</v>
      </c>
      <c r="BJ84" s="312">
        <v>6</v>
      </c>
      <c r="BK84" s="312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12" t="s">
        <v>4510</v>
      </c>
      <c r="DH84" s="307">
        <v>660</v>
      </c>
      <c r="DI84" s="32">
        <v>730</v>
      </c>
      <c r="DJ84" s="307">
        <v>830</v>
      </c>
      <c r="DK84" s="32">
        <v>940</v>
      </c>
      <c r="DL84" s="59">
        <v>200000</v>
      </c>
      <c r="DM84" s="29" t="s">
        <v>5826</v>
      </c>
      <c r="DN84" s="307" t="s">
        <v>6045</v>
      </c>
      <c r="DO84" s="301" t="s">
        <v>6077</v>
      </c>
    </row>
    <row r="85" spans="1:119">
      <c r="A85" s="18">
        <v>80</v>
      </c>
      <c r="B85" s="318"/>
      <c r="C85" s="318"/>
      <c r="D85" s="324"/>
      <c r="E85" s="324"/>
      <c r="F85" s="318"/>
      <c r="G85" s="318"/>
      <c r="H85" s="318"/>
      <c r="I85" s="318"/>
      <c r="J85" s="285" t="s">
        <v>4397</v>
      </c>
      <c r="K85" s="314" t="s">
        <v>4380</v>
      </c>
      <c r="L85" s="312" t="s">
        <v>5786</v>
      </c>
      <c r="M85" s="314" t="s">
        <v>4504</v>
      </c>
      <c r="N85" s="312" t="s">
        <v>4697</v>
      </c>
      <c r="O85" s="18" t="s">
        <v>4503</v>
      </c>
      <c r="P85" s="312" t="s">
        <v>4417</v>
      </c>
      <c r="Q85" s="312" t="s">
        <v>4417</v>
      </c>
      <c r="R85" s="312" t="s">
        <v>6156</v>
      </c>
      <c r="S85" s="312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12" t="s">
        <v>4417</v>
      </c>
      <c r="Y85" s="312" t="s">
        <v>5786</v>
      </c>
      <c r="Z85" s="312" t="s">
        <v>4555</v>
      </c>
      <c r="AA85" s="18">
        <v>8</v>
      </c>
      <c r="AB85" s="223">
        <v>0</v>
      </c>
      <c r="AC85" s="139">
        <v>0</v>
      </c>
      <c r="AD85" s="314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2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14" t="s">
        <v>5801</v>
      </c>
      <c r="AX85" s="312" t="s">
        <v>6121</v>
      </c>
      <c r="AY85" s="312">
        <v>185</v>
      </c>
      <c r="AZ85" s="312">
        <v>22</v>
      </c>
      <c r="BA85" s="312">
        <f t="shared" si="19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12" t="s">
        <v>6197</v>
      </c>
      <c r="BI85" s="312" t="s">
        <v>6196</v>
      </c>
      <c r="BJ85" s="312">
        <v>6</v>
      </c>
      <c r="BK85" s="312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12" t="s">
        <v>4510</v>
      </c>
      <c r="DH85" s="307">
        <v>660</v>
      </c>
      <c r="DI85" s="32">
        <v>730</v>
      </c>
      <c r="DJ85" s="307">
        <v>830</v>
      </c>
      <c r="DK85" s="32">
        <v>940</v>
      </c>
      <c r="DL85" s="59">
        <v>200000</v>
      </c>
      <c r="DM85" s="29" t="s">
        <v>5833</v>
      </c>
      <c r="DN85" s="307" t="s">
        <v>6045</v>
      </c>
      <c r="DO85" s="301" t="s">
        <v>6080</v>
      </c>
    </row>
    <row r="86" spans="1:119" ht="16.2" thickBot="1">
      <c r="A86" s="14">
        <v>81</v>
      </c>
      <c r="B86" s="319"/>
      <c r="C86" s="319"/>
      <c r="D86" s="325"/>
      <c r="E86" s="325"/>
      <c r="F86" s="319"/>
      <c r="G86" s="319"/>
      <c r="H86" s="319"/>
      <c r="I86" s="319"/>
      <c r="J86" s="284" t="s">
        <v>4398</v>
      </c>
      <c r="K86" s="310" t="s">
        <v>4380</v>
      </c>
      <c r="L86" s="313" t="s">
        <v>5786</v>
      </c>
      <c r="M86" s="310" t="s">
        <v>4504</v>
      </c>
      <c r="N86" s="313" t="s">
        <v>4697</v>
      </c>
      <c r="O86" s="14" t="s">
        <v>4503</v>
      </c>
      <c r="P86" s="313" t="s">
        <v>4417</v>
      </c>
      <c r="Q86" s="313" t="s">
        <v>4417</v>
      </c>
      <c r="R86" s="313" t="s">
        <v>6156</v>
      </c>
      <c r="S86" s="313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13" t="s">
        <v>4417</v>
      </c>
      <c r="Y86" s="313" t="s">
        <v>5786</v>
      </c>
      <c r="Z86" s="313" t="s">
        <v>4555</v>
      </c>
      <c r="AA86" s="14">
        <v>8</v>
      </c>
      <c r="AB86" s="225">
        <v>0</v>
      </c>
      <c r="AC86" s="152">
        <v>0</v>
      </c>
      <c r="AD86" s="31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3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10" t="s">
        <v>5801</v>
      </c>
      <c r="AX86" s="313" t="s">
        <v>6121</v>
      </c>
      <c r="AY86" s="313">
        <v>185</v>
      </c>
      <c r="AZ86" s="313">
        <v>22</v>
      </c>
      <c r="BA86" s="313">
        <f t="shared" si="19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13" t="s">
        <v>6197</v>
      </c>
      <c r="BI86" s="313" t="s">
        <v>6196</v>
      </c>
      <c r="BJ86" s="313">
        <v>6</v>
      </c>
      <c r="BK86" s="313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13" t="s">
        <v>4510</v>
      </c>
      <c r="DH86" s="308">
        <v>660</v>
      </c>
      <c r="DI86" s="34">
        <v>730</v>
      </c>
      <c r="DJ86" s="308">
        <v>830</v>
      </c>
      <c r="DK86" s="34">
        <v>940</v>
      </c>
      <c r="DL86" s="75">
        <v>200000</v>
      </c>
      <c r="DM86" s="27" t="s">
        <v>5826</v>
      </c>
      <c r="DN86" s="308" t="s">
        <v>6045</v>
      </c>
      <c r="DO86" s="302" t="s">
        <v>6079</v>
      </c>
    </row>
    <row r="87" spans="1:119" ht="15.6" customHeight="1">
      <c r="A87" s="18">
        <v>82</v>
      </c>
      <c r="B87" s="317">
        <v>9</v>
      </c>
      <c r="C87" s="317">
        <v>1983</v>
      </c>
      <c r="D87" s="329" t="s">
        <v>4513</v>
      </c>
      <c r="E87" s="329" t="s">
        <v>4864</v>
      </c>
      <c r="F87" s="317">
        <v>14</v>
      </c>
      <c r="G87" s="317" t="s">
        <v>5899</v>
      </c>
      <c r="H87" s="317" t="s">
        <v>5898</v>
      </c>
      <c r="I87" s="317" t="s">
        <v>6213</v>
      </c>
      <c r="J87" s="285" t="s">
        <v>4514</v>
      </c>
      <c r="K87" s="314" t="s">
        <v>4380</v>
      </c>
      <c r="L87" s="312" t="s">
        <v>5786</v>
      </c>
      <c r="M87" s="314" t="s">
        <v>4548</v>
      </c>
      <c r="N87" s="312" t="s">
        <v>4703</v>
      </c>
      <c r="O87" s="18" t="s">
        <v>4503</v>
      </c>
      <c r="P87" s="312" t="s">
        <v>4417</v>
      </c>
      <c r="Q87" s="312" t="s">
        <v>4417</v>
      </c>
      <c r="R87" s="312" t="s">
        <v>4417</v>
      </c>
      <c r="S87" s="312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12" t="s">
        <v>4417</v>
      </c>
      <c r="Y87" s="312" t="s">
        <v>5786</v>
      </c>
      <c r="Z87" s="312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314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0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1">AL87</f>
        <v>152.39999999999998</v>
      </c>
      <c r="AT87" s="21">
        <f t="shared" ref="AT87:AT108" si="22">AK87</f>
        <v>406.4</v>
      </c>
      <c r="AU87" s="312">
        <v>0</v>
      </c>
      <c r="AV87" s="312">
        <v>0</v>
      </c>
      <c r="AW87" s="314" t="s">
        <v>5801</v>
      </c>
      <c r="AX87" s="311" t="s">
        <v>6121</v>
      </c>
      <c r="AY87" s="311" t="s">
        <v>6121</v>
      </c>
      <c r="AZ87" s="21">
        <f>3/4*25.4</f>
        <v>19.049999999999997</v>
      </c>
      <c r="BA87" s="312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3">AT87-AU87-AV87-BB87-BC87-BD87</f>
        <v>317.5</v>
      </c>
      <c r="BG87" s="312" t="s">
        <v>4467</v>
      </c>
      <c r="BH87" s="312" t="s">
        <v>6196</v>
      </c>
      <c r="BI87" s="312" t="s">
        <v>6196</v>
      </c>
      <c r="BJ87" s="312">
        <v>2</v>
      </c>
      <c r="BK87" s="312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314" t="s">
        <v>4532</v>
      </c>
      <c r="CN87" s="312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12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12" t="s">
        <v>4419</v>
      </c>
      <c r="DH87" s="312">
        <v>640</v>
      </c>
      <c r="DI87" s="32">
        <v>730</v>
      </c>
      <c r="DJ87" s="312">
        <v>800</v>
      </c>
      <c r="DK87" s="32">
        <v>940</v>
      </c>
      <c r="DL87" s="59">
        <v>200000</v>
      </c>
      <c r="DM87" s="149" t="s">
        <v>5830</v>
      </c>
      <c r="DN87" s="312" t="s">
        <v>4432</v>
      </c>
      <c r="DO87" s="301" t="s">
        <v>4562</v>
      </c>
    </row>
    <row r="88" spans="1:119">
      <c r="A88" s="18">
        <v>83</v>
      </c>
      <c r="B88" s="318"/>
      <c r="C88" s="318"/>
      <c r="D88" s="330"/>
      <c r="E88" s="330"/>
      <c r="F88" s="318"/>
      <c r="G88" s="318"/>
      <c r="H88" s="318"/>
      <c r="I88" s="318"/>
      <c r="J88" s="285" t="s">
        <v>4515</v>
      </c>
      <c r="K88" s="314" t="s">
        <v>4380</v>
      </c>
      <c r="L88" s="312" t="s">
        <v>5786</v>
      </c>
      <c r="M88" s="314" t="s">
        <v>4548</v>
      </c>
      <c r="N88" s="312" t="s">
        <v>4703</v>
      </c>
      <c r="O88" s="18" t="s">
        <v>4503</v>
      </c>
      <c r="P88" s="312" t="s">
        <v>4417</v>
      </c>
      <c r="Q88" s="312" t="s">
        <v>4417</v>
      </c>
      <c r="R88" s="312" t="s">
        <v>4417</v>
      </c>
      <c r="S88" s="312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12" t="s">
        <v>4417</v>
      </c>
      <c r="Y88" s="312" t="s">
        <v>5786</v>
      </c>
      <c r="Z88" s="312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314" t="s">
        <v>4805</v>
      </c>
      <c r="AK88" s="21">
        <f t="shared" ref="AK88:AK100" si="24">16*25.4</f>
        <v>406.4</v>
      </c>
      <c r="AL88" s="21">
        <f t="shared" ref="AL88:AL100" si="25">6*25.4</f>
        <v>152.39999999999998</v>
      </c>
      <c r="AM88" s="21">
        <f t="shared" ref="AM88:AN100" si="26">0.25*25.4</f>
        <v>6.35</v>
      </c>
      <c r="AN88" s="21">
        <f t="shared" si="26"/>
        <v>6.35</v>
      </c>
      <c r="AO88" s="21">
        <f>287*25.4/2</f>
        <v>3644.8999999999996</v>
      </c>
      <c r="AP88" s="21">
        <f t="shared" si="20"/>
        <v>109736597.1258291</v>
      </c>
      <c r="AQ88" s="18">
        <v>638018</v>
      </c>
      <c r="AR88" s="21">
        <f>0.383*25.4</f>
        <v>9.7281999999999993</v>
      </c>
      <c r="AS88" s="21">
        <f t="shared" si="21"/>
        <v>152.39999999999998</v>
      </c>
      <c r="AT88" s="21">
        <f t="shared" si="22"/>
        <v>406.4</v>
      </c>
      <c r="AU88" s="312">
        <v>0</v>
      </c>
      <c r="AV88" s="312">
        <v>0</v>
      </c>
      <c r="AW88" s="314" t="s">
        <v>5801</v>
      </c>
      <c r="AX88" s="312" t="s">
        <v>6121</v>
      </c>
      <c r="AY88" s="312" t="s">
        <v>6121</v>
      </c>
      <c r="AZ88" s="21">
        <f>3/4*25.4</f>
        <v>19.049999999999997</v>
      </c>
      <c r="BA88" s="312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3"/>
        <v>317.5</v>
      </c>
      <c r="BG88" s="312" t="s">
        <v>4467</v>
      </c>
      <c r="BH88" s="312" t="s">
        <v>6196</v>
      </c>
      <c r="BI88" s="312" t="s">
        <v>6196</v>
      </c>
      <c r="BJ88" s="312">
        <v>2</v>
      </c>
      <c r="BK88" s="312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314" t="s">
        <v>4532</v>
      </c>
      <c r="CN88" s="312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12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12" t="s">
        <v>4419</v>
      </c>
      <c r="DH88" s="312">
        <v>640</v>
      </c>
      <c r="DI88" s="32">
        <v>730</v>
      </c>
      <c r="DJ88" s="312">
        <v>800</v>
      </c>
      <c r="DK88" s="32">
        <v>940</v>
      </c>
      <c r="DL88" s="59">
        <v>200000</v>
      </c>
      <c r="DM88" s="149" t="s">
        <v>5830</v>
      </c>
      <c r="DN88" s="312" t="s">
        <v>4432</v>
      </c>
      <c r="DO88" s="301" t="s">
        <v>4562</v>
      </c>
    </row>
    <row r="89" spans="1:119">
      <c r="A89" s="18">
        <v>84</v>
      </c>
      <c r="B89" s="318"/>
      <c r="C89" s="318"/>
      <c r="D89" s="330"/>
      <c r="E89" s="330"/>
      <c r="F89" s="318"/>
      <c r="G89" s="318"/>
      <c r="H89" s="318"/>
      <c r="I89" s="318"/>
      <c r="J89" s="285" t="s">
        <v>4516</v>
      </c>
      <c r="K89" s="314" t="s">
        <v>4380</v>
      </c>
      <c r="L89" s="312" t="s">
        <v>5786</v>
      </c>
      <c r="M89" s="314" t="s">
        <v>4548</v>
      </c>
      <c r="N89" s="312" t="s">
        <v>4703</v>
      </c>
      <c r="O89" s="18" t="s">
        <v>4503</v>
      </c>
      <c r="P89" s="312" t="s">
        <v>4417</v>
      </c>
      <c r="Q89" s="312" t="s">
        <v>4417</v>
      </c>
      <c r="R89" s="312" t="s">
        <v>4417</v>
      </c>
      <c r="S89" s="312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12" t="s">
        <v>4417</v>
      </c>
      <c r="Y89" s="312" t="s">
        <v>5786</v>
      </c>
      <c r="Z89" s="312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314" t="s">
        <v>4805</v>
      </c>
      <c r="AK89" s="21">
        <f t="shared" si="24"/>
        <v>406.4</v>
      </c>
      <c r="AL89" s="21">
        <f t="shared" si="25"/>
        <v>152.39999999999998</v>
      </c>
      <c r="AM89" s="21">
        <f t="shared" si="26"/>
        <v>6.35</v>
      </c>
      <c r="AN89" s="21">
        <f t="shared" si="26"/>
        <v>6.35</v>
      </c>
      <c r="AO89" s="21">
        <f>287*25.4/2</f>
        <v>3644.8999999999996</v>
      </c>
      <c r="AP89" s="21">
        <f t="shared" si="20"/>
        <v>109736597.1258291</v>
      </c>
      <c r="AQ89" s="18">
        <v>638018</v>
      </c>
      <c r="AR89" s="21">
        <f>0.508*25.4</f>
        <v>12.9032</v>
      </c>
      <c r="AS89" s="21">
        <f t="shared" si="21"/>
        <v>152.39999999999998</v>
      </c>
      <c r="AT89" s="21">
        <f t="shared" si="22"/>
        <v>406.4</v>
      </c>
      <c r="AU89" s="312">
        <v>0</v>
      </c>
      <c r="AV89" s="312">
        <v>0</v>
      </c>
      <c r="AW89" s="314" t="s">
        <v>5801</v>
      </c>
      <c r="AX89" s="312" t="s">
        <v>6121</v>
      </c>
      <c r="AY89" s="312" t="s">
        <v>6121</v>
      </c>
      <c r="AZ89" s="21">
        <f>5/8*25.4</f>
        <v>15.875</v>
      </c>
      <c r="BA89" s="312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3"/>
        <v>298.44999999999993</v>
      </c>
      <c r="BG89" s="312" t="s">
        <v>4467</v>
      </c>
      <c r="BH89" s="312" t="s">
        <v>6196</v>
      </c>
      <c r="BI89" s="312" t="s">
        <v>6196</v>
      </c>
      <c r="BJ89" s="312">
        <v>2</v>
      </c>
      <c r="BK89" s="312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314" t="s">
        <v>4532</v>
      </c>
      <c r="CN89" s="312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12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12" t="s">
        <v>4419</v>
      </c>
      <c r="DH89" s="312">
        <v>640</v>
      </c>
      <c r="DI89" s="32">
        <v>730</v>
      </c>
      <c r="DJ89" s="312">
        <v>800</v>
      </c>
      <c r="DK89" s="32">
        <v>940</v>
      </c>
      <c r="DL89" s="59">
        <v>200000</v>
      </c>
      <c r="DM89" s="149" t="s">
        <v>5830</v>
      </c>
      <c r="DN89" s="312" t="s">
        <v>4432</v>
      </c>
      <c r="DO89" s="301" t="s">
        <v>4562</v>
      </c>
    </row>
    <row r="90" spans="1:119">
      <c r="A90" s="18">
        <v>85</v>
      </c>
      <c r="B90" s="318"/>
      <c r="C90" s="318"/>
      <c r="D90" s="330"/>
      <c r="E90" s="330"/>
      <c r="F90" s="318"/>
      <c r="G90" s="318"/>
      <c r="H90" s="318"/>
      <c r="I90" s="318"/>
      <c r="J90" s="285" t="s">
        <v>4517</v>
      </c>
      <c r="K90" s="314" t="s">
        <v>4380</v>
      </c>
      <c r="L90" s="312" t="s">
        <v>5786</v>
      </c>
      <c r="M90" s="314" t="s">
        <v>4548</v>
      </c>
      <c r="N90" s="312" t="s">
        <v>4703</v>
      </c>
      <c r="O90" s="18" t="s">
        <v>4503</v>
      </c>
      <c r="P90" s="312" t="s">
        <v>4417</v>
      </c>
      <c r="Q90" s="312" t="s">
        <v>4417</v>
      </c>
      <c r="R90" s="312" t="s">
        <v>4417</v>
      </c>
      <c r="S90" s="312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12" t="s">
        <v>4417</v>
      </c>
      <c r="Y90" s="312" t="s">
        <v>5786</v>
      </c>
      <c r="Z90" s="312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314" t="s">
        <v>4805</v>
      </c>
      <c r="AK90" s="21">
        <f t="shared" si="24"/>
        <v>406.4</v>
      </c>
      <c r="AL90" s="21">
        <f t="shared" si="25"/>
        <v>152.39999999999998</v>
      </c>
      <c r="AM90" s="21">
        <f t="shared" si="26"/>
        <v>6.35</v>
      </c>
      <c r="AN90" s="21">
        <f t="shared" si="26"/>
        <v>6.35</v>
      </c>
      <c r="AO90" s="21">
        <f>287*25.4/2</f>
        <v>3644.8999999999996</v>
      </c>
      <c r="AP90" s="21">
        <f t="shared" si="20"/>
        <v>109736597.1258291</v>
      </c>
      <c r="AQ90" s="18">
        <v>638018</v>
      </c>
      <c r="AR90" s="21">
        <f>0.385*25.4</f>
        <v>9.7789999999999999</v>
      </c>
      <c r="AS90" s="21">
        <f t="shared" si="21"/>
        <v>152.39999999999998</v>
      </c>
      <c r="AT90" s="21">
        <f t="shared" si="22"/>
        <v>406.4</v>
      </c>
      <c r="AU90" s="312">
        <v>0</v>
      </c>
      <c r="AV90" s="312">
        <v>0</v>
      </c>
      <c r="AW90" s="314" t="s">
        <v>5801</v>
      </c>
      <c r="AX90" s="312" t="s">
        <v>6121</v>
      </c>
      <c r="AY90" s="312" t="s">
        <v>6121</v>
      </c>
      <c r="AZ90" s="21">
        <f>5/8*25.4</f>
        <v>15.875</v>
      </c>
      <c r="BA90" s="312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3"/>
        <v>323.85000000000002</v>
      </c>
      <c r="BG90" s="312" t="s">
        <v>4467</v>
      </c>
      <c r="BH90" s="312" t="s">
        <v>6196</v>
      </c>
      <c r="BI90" s="312" t="s">
        <v>6196</v>
      </c>
      <c r="BJ90" s="312">
        <v>2</v>
      </c>
      <c r="BK90" s="312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314" t="s">
        <v>4532</v>
      </c>
      <c r="CN90" s="312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12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12" t="s">
        <v>4419</v>
      </c>
      <c r="DH90" s="312">
        <v>640</v>
      </c>
      <c r="DI90" s="32">
        <v>730</v>
      </c>
      <c r="DJ90" s="312">
        <v>800</v>
      </c>
      <c r="DK90" s="32">
        <v>940</v>
      </c>
      <c r="DL90" s="59">
        <v>200000</v>
      </c>
      <c r="DM90" s="149" t="s">
        <v>5830</v>
      </c>
      <c r="DN90" s="312" t="s">
        <v>4432</v>
      </c>
      <c r="DO90" s="301" t="s">
        <v>4562</v>
      </c>
    </row>
    <row r="91" spans="1:119">
      <c r="A91" s="18">
        <v>86</v>
      </c>
      <c r="B91" s="318"/>
      <c r="C91" s="318"/>
      <c r="D91" s="330"/>
      <c r="E91" s="330"/>
      <c r="F91" s="318"/>
      <c r="G91" s="318"/>
      <c r="H91" s="318"/>
      <c r="I91" s="318"/>
      <c r="J91" s="285" t="s">
        <v>4518</v>
      </c>
      <c r="K91" s="314" t="s">
        <v>4380</v>
      </c>
      <c r="L91" s="312" t="s">
        <v>5786</v>
      </c>
      <c r="M91" s="314" t="s">
        <v>4548</v>
      </c>
      <c r="N91" s="312" t="s">
        <v>4703</v>
      </c>
      <c r="O91" s="18" t="s">
        <v>4503</v>
      </c>
      <c r="P91" s="312" t="s">
        <v>4417</v>
      </c>
      <c r="Q91" s="312" t="s">
        <v>4417</v>
      </c>
      <c r="R91" s="312" t="s">
        <v>4417</v>
      </c>
      <c r="S91" s="312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12" t="s">
        <v>4417</v>
      </c>
      <c r="Y91" s="312" t="s">
        <v>5786</v>
      </c>
      <c r="Z91" s="312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314" t="s">
        <v>4808</v>
      </c>
      <c r="AK91" s="21">
        <f>10*25.4</f>
        <v>254</v>
      </c>
      <c r="AL91" s="21">
        <f>5*25.4</f>
        <v>127</v>
      </c>
      <c r="AM91" s="21">
        <f t="shared" si="26"/>
        <v>6.35</v>
      </c>
      <c r="AN91" s="21">
        <f t="shared" si="26"/>
        <v>6.35</v>
      </c>
      <c r="AO91" s="21">
        <f>288*25.4/2</f>
        <v>3657.6</v>
      </c>
      <c r="AP91" s="21">
        <f t="shared" si="20"/>
        <v>32170136.667662472</v>
      </c>
      <c r="AQ91" s="18">
        <v>292150</v>
      </c>
      <c r="AR91" s="21">
        <f>0.384*25.4</f>
        <v>9.7536000000000005</v>
      </c>
      <c r="AS91" s="21">
        <f t="shared" si="21"/>
        <v>127</v>
      </c>
      <c r="AT91" s="21">
        <f t="shared" si="22"/>
        <v>254</v>
      </c>
      <c r="AU91" s="312">
        <v>0</v>
      </c>
      <c r="AV91" s="312">
        <v>0</v>
      </c>
      <c r="AW91" s="314" t="s">
        <v>5801</v>
      </c>
      <c r="AX91" s="312" t="s">
        <v>6121</v>
      </c>
      <c r="AY91" s="312" t="s">
        <v>6121</v>
      </c>
      <c r="AZ91" s="21">
        <f>5/8*25.4</f>
        <v>15.875</v>
      </c>
      <c r="BA91" s="312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3"/>
        <v>177.8</v>
      </c>
      <c r="BG91" s="312" t="s">
        <v>4467</v>
      </c>
      <c r="BH91" s="312" t="s">
        <v>6196</v>
      </c>
      <c r="BI91" s="312" t="s">
        <v>6196</v>
      </c>
      <c r="BJ91" s="312">
        <v>2</v>
      </c>
      <c r="BK91" s="312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314" t="s">
        <v>4532</v>
      </c>
      <c r="CN91" s="312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12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12" t="s">
        <v>4419</v>
      </c>
      <c r="DH91" s="312">
        <v>640</v>
      </c>
      <c r="DI91" s="32">
        <v>730</v>
      </c>
      <c r="DJ91" s="312">
        <v>800</v>
      </c>
      <c r="DK91" s="32">
        <v>940</v>
      </c>
      <c r="DL91" s="59">
        <v>200000</v>
      </c>
      <c r="DM91" s="149" t="s">
        <v>5830</v>
      </c>
      <c r="DN91" s="312" t="s">
        <v>4432</v>
      </c>
      <c r="DO91" s="301" t="s">
        <v>4562</v>
      </c>
    </row>
    <row r="92" spans="1:119">
      <c r="A92" s="18">
        <v>87</v>
      </c>
      <c r="B92" s="318"/>
      <c r="C92" s="318"/>
      <c r="D92" s="330"/>
      <c r="E92" s="330"/>
      <c r="F92" s="318"/>
      <c r="G92" s="318"/>
      <c r="H92" s="318"/>
      <c r="I92" s="318"/>
      <c r="J92" s="285" t="s">
        <v>4519</v>
      </c>
      <c r="K92" s="314" t="s">
        <v>4380</v>
      </c>
      <c r="L92" s="312" t="s">
        <v>5786</v>
      </c>
      <c r="M92" s="314" t="s">
        <v>4548</v>
      </c>
      <c r="N92" s="312" t="s">
        <v>4703</v>
      </c>
      <c r="O92" s="18" t="s">
        <v>4503</v>
      </c>
      <c r="P92" s="312" t="s">
        <v>4417</v>
      </c>
      <c r="Q92" s="312" t="s">
        <v>4417</v>
      </c>
      <c r="R92" s="312" t="s">
        <v>4417</v>
      </c>
      <c r="S92" s="312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12" t="s">
        <v>4417</v>
      </c>
      <c r="Y92" s="312" t="s">
        <v>5786</v>
      </c>
      <c r="Z92" s="312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314" t="s">
        <v>4808</v>
      </c>
      <c r="AK92" s="21">
        <f>10*25.4</f>
        <v>254</v>
      </c>
      <c r="AL92" s="21">
        <f>5*25.4</f>
        <v>127</v>
      </c>
      <c r="AM92" s="21">
        <f t="shared" si="26"/>
        <v>6.35</v>
      </c>
      <c r="AN92" s="21">
        <f t="shared" si="26"/>
        <v>6.35</v>
      </c>
      <c r="AO92" s="21">
        <f>288*25.4/2</f>
        <v>3657.6</v>
      </c>
      <c r="AP92" s="21">
        <f t="shared" si="20"/>
        <v>32170136.667662472</v>
      </c>
      <c r="AQ92" s="18">
        <v>292150</v>
      </c>
      <c r="AR92" s="21">
        <f>0.506*25.4</f>
        <v>12.852399999999999</v>
      </c>
      <c r="AS92" s="21">
        <f t="shared" si="21"/>
        <v>127</v>
      </c>
      <c r="AT92" s="21">
        <f t="shared" si="22"/>
        <v>254</v>
      </c>
      <c r="AU92" s="312">
        <v>0</v>
      </c>
      <c r="AV92" s="312">
        <v>0</v>
      </c>
      <c r="AW92" s="314" t="s">
        <v>5801</v>
      </c>
      <c r="AX92" s="312" t="s">
        <v>6121</v>
      </c>
      <c r="AY92" s="312" t="s">
        <v>6121</v>
      </c>
      <c r="AZ92" s="21">
        <f>5/8*25.4</f>
        <v>15.875</v>
      </c>
      <c r="BA92" s="312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3"/>
        <v>165.10000000000002</v>
      </c>
      <c r="BG92" s="312" t="s">
        <v>4467</v>
      </c>
      <c r="BH92" s="312" t="s">
        <v>6196</v>
      </c>
      <c r="BI92" s="312" t="s">
        <v>6196</v>
      </c>
      <c r="BJ92" s="312">
        <v>2</v>
      </c>
      <c r="BK92" s="312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314" t="s">
        <v>4532</v>
      </c>
      <c r="CN92" s="312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12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12" t="s">
        <v>4419</v>
      </c>
      <c r="DH92" s="312">
        <v>640</v>
      </c>
      <c r="DI92" s="32">
        <v>730</v>
      </c>
      <c r="DJ92" s="312">
        <v>800</v>
      </c>
      <c r="DK92" s="32">
        <v>940</v>
      </c>
      <c r="DL92" s="59">
        <v>200000</v>
      </c>
      <c r="DM92" s="149" t="s">
        <v>5830</v>
      </c>
      <c r="DN92" s="312" t="s">
        <v>4432</v>
      </c>
      <c r="DO92" s="301" t="s">
        <v>4562</v>
      </c>
    </row>
    <row r="93" spans="1:119">
      <c r="A93" s="18">
        <v>88</v>
      </c>
      <c r="B93" s="318"/>
      <c r="C93" s="318"/>
      <c r="D93" s="330"/>
      <c r="E93" s="330"/>
      <c r="F93" s="318"/>
      <c r="G93" s="318"/>
      <c r="H93" s="318"/>
      <c r="I93" s="318"/>
      <c r="J93" s="285" t="s">
        <v>4520</v>
      </c>
      <c r="K93" s="314" t="s">
        <v>4380</v>
      </c>
      <c r="L93" s="312" t="s">
        <v>5786</v>
      </c>
      <c r="M93" s="314" t="s">
        <v>4548</v>
      </c>
      <c r="N93" s="312" t="s">
        <v>4703</v>
      </c>
      <c r="O93" s="18" t="s">
        <v>4503</v>
      </c>
      <c r="P93" s="312" t="s">
        <v>4417</v>
      </c>
      <c r="Q93" s="312" t="s">
        <v>4417</v>
      </c>
      <c r="R93" s="312" t="s">
        <v>4417</v>
      </c>
      <c r="S93" s="312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12" t="s">
        <v>4417</v>
      </c>
      <c r="Y93" s="312" t="s">
        <v>5786</v>
      </c>
      <c r="Z93" s="312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314" t="s">
        <v>4806</v>
      </c>
      <c r="AK93" s="21">
        <f>24*25.4</f>
        <v>609.59999999999991</v>
      </c>
      <c r="AL93" s="21">
        <f t="shared" si="25"/>
        <v>152.39999999999998</v>
      </c>
      <c r="AM93" s="21">
        <f t="shared" si="26"/>
        <v>6.35</v>
      </c>
      <c r="AN93" s="21">
        <f t="shared" si="26"/>
        <v>6.35</v>
      </c>
      <c r="AO93" s="21">
        <f>288*25.4/2</f>
        <v>3657.6</v>
      </c>
      <c r="AP93" s="21">
        <f t="shared" si="20"/>
        <v>288629395.25349665</v>
      </c>
      <c r="AQ93" s="18">
        <v>1149399</v>
      </c>
      <c r="AR93" s="21">
        <f>0.504*25.4</f>
        <v>12.801599999999999</v>
      </c>
      <c r="AS93" s="21">
        <f t="shared" si="21"/>
        <v>152.39999999999998</v>
      </c>
      <c r="AT93" s="21">
        <f t="shared" si="22"/>
        <v>609.59999999999991</v>
      </c>
      <c r="AU93" s="312">
        <v>0</v>
      </c>
      <c r="AV93" s="312">
        <v>0</v>
      </c>
      <c r="AW93" s="314" t="s">
        <v>5801</v>
      </c>
      <c r="AX93" s="312" t="s">
        <v>6121</v>
      </c>
      <c r="AY93" s="312" t="s">
        <v>6121</v>
      </c>
      <c r="AZ93" s="21">
        <f>3/4*25.4</f>
        <v>19.049999999999997</v>
      </c>
      <c r="BA93" s="312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3"/>
        <v>507.99999999999994</v>
      </c>
      <c r="BG93" s="312" t="s">
        <v>4467</v>
      </c>
      <c r="BH93" s="312" t="s">
        <v>6196</v>
      </c>
      <c r="BI93" s="312" t="s">
        <v>6196</v>
      </c>
      <c r="BJ93" s="312">
        <v>2</v>
      </c>
      <c r="BK93" s="312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314" t="s">
        <v>4532</v>
      </c>
      <c r="CN93" s="312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12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12" t="s">
        <v>4419</v>
      </c>
      <c r="DH93" s="312">
        <v>640</v>
      </c>
      <c r="DI93" s="32">
        <v>730</v>
      </c>
      <c r="DJ93" s="312">
        <v>800</v>
      </c>
      <c r="DK93" s="32">
        <v>940</v>
      </c>
      <c r="DL93" s="59">
        <v>200000</v>
      </c>
      <c r="DM93" s="149" t="s">
        <v>5830</v>
      </c>
      <c r="DN93" s="312" t="s">
        <v>4432</v>
      </c>
      <c r="DO93" s="301" t="s">
        <v>4562</v>
      </c>
    </row>
    <row r="94" spans="1:119">
      <c r="A94" s="18">
        <v>89</v>
      </c>
      <c r="B94" s="318"/>
      <c r="C94" s="318"/>
      <c r="D94" s="330"/>
      <c r="E94" s="330"/>
      <c r="F94" s="318"/>
      <c r="G94" s="318"/>
      <c r="H94" s="318"/>
      <c r="I94" s="318"/>
      <c r="J94" s="285" t="s">
        <v>4521</v>
      </c>
      <c r="K94" s="314" t="s">
        <v>4380</v>
      </c>
      <c r="L94" s="312" t="s">
        <v>5786</v>
      </c>
      <c r="M94" s="314" t="s">
        <v>4548</v>
      </c>
      <c r="N94" s="312" t="s">
        <v>4703</v>
      </c>
      <c r="O94" s="18" t="s">
        <v>4503</v>
      </c>
      <c r="P94" s="312" t="s">
        <v>4417</v>
      </c>
      <c r="Q94" s="312" t="s">
        <v>4417</v>
      </c>
      <c r="R94" s="312" t="s">
        <v>4417</v>
      </c>
      <c r="S94" s="312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12" t="s">
        <v>4417</v>
      </c>
      <c r="Y94" s="312" t="s">
        <v>5786</v>
      </c>
      <c r="Z94" s="312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314" t="s">
        <v>4806</v>
      </c>
      <c r="AK94" s="21">
        <f>24*25.4</f>
        <v>609.59999999999991</v>
      </c>
      <c r="AL94" s="21">
        <f t="shared" si="25"/>
        <v>152.39999999999998</v>
      </c>
      <c r="AM94" s="21">
        <f t="shared" si="26"/>
        <v>6.35</v>
      </c>
      <c r="AN94" s="21">
        <f t="shared" si="26"/>
        <v>6.35</v>
      </c>
      <c r="AO94" s="21">
        <f>288*25.4/2</f>
        <v>3657.6</v>
      </c>
      <c r="AP94" s="21">
        <f t="shared" si="20"/>
        <v>288629395.25349665</v>
      </c>
      <c r="AQ94" s="18">
        <v>1149399</v>
      </c>
      <c r="AR94" s="21">
        <f>0.502*25.4</f>
        <v>12.7508</v>
      </c>
      <c r="AS94" s="21">
        <f t="shared" si="21"/>
        <v>152.39999999999998</v>
      </c>
      <c r="AT94" s="21">
        <f t="shared" si="22"/>
        <v>609.59999999999991</v>
      </c>
      <c r="AU94" s="312">
        <v>0</v>
      </c>
      <c r="AV94" s="312">
        <v>0</v>
      </c>
      <c r="AW94" s="314" t="s">
        <v>5801</v>
      </c>
      <c r="AX94" s="312" t="s">
        <v>6121</v>
      </c>
      <c r="AY94" s="312" t="s">
        <v>6121</v>
      </c>
      <c r="AZ94" s="21">
        <f>3/4*25.4</f>
        <v>19.049999999999997</v>
      </c>
      <c r="BA94" s="312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3"/>
        <v>527.04999999999995</v>
      </c>
      <c r="BG94" s="312" t="s">
        <v>4467</v>
      </c>
      <c r="BH94" s="312" t="s">
        <v>6196</v>
      </c>
      <c r="BI94" s="312" t="s">
        <v>6196</v>
      </c>
      <c r="BJ94" s="312">
        <v>2</v>
      </c>
      <c r="BK94" s="312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314" t="s">
        <v>4532</v>
      </c>
      <c r="CN94" s="312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12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12" t="s">
        <v>4419</v>
      </c>
      <c r="DH94" s="312">
        <v>640</v>
      </c>
      <c r="DI94" s="32">
        <v>730</v>
      </c>
      <c r="DJ94" s="312">
        <v>800</v>
      </c>
      <c r="DK94" s="32">
        <v>940</v>
      </c>
      <c r="DL94" s="59">
        <v>200000</v>
      </c>
      <c r="DM94" s="149" t="s">
        <v>5830</v>
      </c>
      <c r="DN94" s="312" t="s">
        <v>4432</v>
      </c>
      <c r="DO94" s="301" t="s">
        <v>4562</v>
      </c>
    </row>
    <row r="95" spans="1:119">
      <c r="A95" s="18">
        <v>90</v>
      </c>
      <c r="B95" s="318"/>
      <c r="C95" s="318"/>
      <c r="D95" s="330"/>
      <c r="E95" s="330"/>
      <c r="F95" s="318"/>
      <c r="G95" s="318"/>
      <c r="H95" s="318"/>
      <c r="I95" s="318"/>
      <c r="J95" s="285" t="s">
        <v>4522</v>
      </c>
      <c r="K95" s="314" t="s">
        <v>4380</v>
      </c>
      <c r="L95" s="312" t="s">
        <v>5786</v>
      </c>
      <c r="M95" s="314" t="s">
        <v>4548</v>
      </c>
      <c r="N95" s="312" t="s">
        <v>4703</v>
      </c>
      <c r="O95" s="18" t="s">
        <v>4503</v>
      </c>
      <c r="P95" s="312" t="s">
        <v>4417</v>
      </c>
      <c r="Q95" s="312" t="s">
        <v>4417</v>
      </c>
      <c r="R95" s="312" t="s">
        <v>4417</v>
      </c>
      <c r="S95" s="312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12" t="s">
        <v>4417</v>
      </c>
      <c r="Y95" s="312" t="s">
        <v>5786</v>
      </c>
      <c r="Z95" s="312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314" t="s">
        <v>4805</v>
      </c>
      <c r="AK95" s="21">
        <f t="shared" si="24"/>
        <v>406.4</v>
      </c>
      <c r="AL95" s="21">
        <f t="shared" si="25"/>
        <v>152.39999999999998</v>
      </c>
      <c r="AM95" s="21">
        <f t="shared" si="26"/>
        <v>6.35</v>
      </c>
      <c r="AN95" s="21">
        <f t="shared" si="26"/>
        <v>6.35</v>
      </c>
      <c r="AO95" s="21">
        <f>286*25.4/2</f>
        <v>3632.2</v>
      </c>
      <c r="AP95" s="21">
        <f t="shared" si="20"/>
        <v>109736597.1258291</v>
      </c>
      <c r="AQ95" s="18">
        <v>638018</v>
      </c>
      <c r="AR95" s="21">
        <f>0.489*25.4</f>
        <v>12.420599999999999</v>
      </c>
      <c r="AS95" s="21">
        <f t="shared" si="21"/>
        <v>152.39999999999998</v>
      </c>
      <c r="AT95" s="21">
        <f t="shared" si="22"/>
        <v>406.4</v>
      </c>
      <c r="AU95" s="312">
        <v>0</v>
      </c>
      <c r="AV95" s="312">
        <v>0</v>
      </c>
      <c r="AW95" s="314" t="s">
        <v>5801</v>
      </c>
      <c r="AX95" s="312" t="s">
        <v>6121</v>
      </c>
      <c r="AY95" s="312" t="s">
        <v>6121</v>
      </c>
      <c r="AZ95" s="21">
        <f>5/8*25.4</f>
        <v>15.875</v>
      </c>
      <c r="BA95" s="312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3"/>
        <v>234.94999999999993</v>
      </c>
      <c r="BG95" s="312" t="s">
        <v>4417</v>
      </c>
      <c r="BH95" s="312" t="s">
        <v>4462</v>
      </c>
      <c r="BI95" s="312" t="s">
        <v>6196</v>
      </c>
      <c r="BJ95" s="312">
        <v>4</v>
      </c>
      <c r="BK95" s="312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314" t="s">
        <v>4532</v>
      </c>
      <c r="CN95" s="312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12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12" t="s">
        <v>4419</v>
      </c>
      <c r="DH95" s="312">
        <v>640</v>
      </c>
      <c r="DI95" s="32">
        <v>730</v>
      </c>
      <c r="DJ95" s="312">
        <v>800</v>
      </c>
      <c r="DK95" s="32">
        <v>940</v>
      </c>
      <c r="DL95" s="59">
        <v>200000</v>
      </c>
      <c r="DM95" s="149" t="s">
        <v>5830</v>
      </c>
      <c r="DN95" s="312" t="s">
        <v>4432</v>
      </c>
      <c r="DO95" s="301" t="s">
        <v>4562</v>
      </c>
    </row>
    <row r="96" spans="1:119">
      <c r="A96" s="18">
        <v>91</v>
      </c>
      <c r="B96" s="318"/>
      <c r="C96" s="318"/>
      <c r="D96" s="330"/>
      <c r="E96" s="330"/>
      <c r="F96" s="318"/>
      <c r="G96" s="318"/>
      <c r="H96" s="318"/>
      <c r="I96" s="318"/>
      <c r="J96" s="285" t="s">
        <v>4523</v>
      </c>
      <c r="K96" s="314" t="s">
        <v>4380</v>
      </c>
      <c r="L96" s="312" t="s">
        <v>5786</v>
      </c>
      <c r="M96" s="314" t="s">
        <v>4548</v>
      </c>
      <c r="N96" s="312" t="s">
        <v>4703</v>
      </c>
      <c r="O96" s="18" t="s">
        <v>4503</v>
      </c>
      <c r="P96" s="312" t="s">
        <v>4417</v>
      </c>
      <c r="Q96" s="312" t="s">
        <v>4417</v>
      </c>
      <c r="R96" s="312" t="s">
        <v>4417</v>
      </c>
      <c r="S96" s="312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12" t="s">
        <v>4417</v>
      </c>
      <c r="Y96" s="312" t="s">
        <v>5786</v>
      </c>
      <c r="Z96" s="312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314" t="s">
        <v>4805</v>
      </c>
      <c r="AK96" s="21">
        <f t="shared" si="24"/>
        <v>406.4</v>
      </c>
      <c r="AL96" s="21">
        <f t="shared" si="25"/>
        <v>152.39999999999998</v>
      </c>
      <c r="AM96" s="21">
        <f t="shared" si="26"/>
        <v>6.35</v>
      </c>
      <c r="AN96" s="21">
        <f t="shared" si="26"/>
        <v>6.35</v>
      </c>
      <c r="AO96" s="21">
        <f>286*25.4/2</f>
        <v>3632.2</v>
      </c>
      <c r="AP96" s="21">
        <f t="shared" si="20"/>
        <v>109736597.1258291</v>
      </c>
      <c r="AQ96" s="18">
        <v>638018</v>
      </c>
      <c r="AR96" s="21">
        <f>0.372*25.4</f>
        <v>9.4487999999999985</v>
      </c>
      <c r="AS96" s="21">
        <f t="shared" si="21"/>
        <v>152.39999999999998</v>
      </c>
      <c r="AT96" s="21">
        <f t="shared" si="22"/>
        <v>406.4</v>
      </c>
      <c r="AU96" s="312">
        <v>0</v>
      </c>
      <c r="AV96" s="312">
        <v>0</v>
      </c>
      <c r="AW96" s="314" t="s">
        <v>5801</v>
      </c>
      <c r="AX96" s="312" t="s">
        <v>6121</v>
      </c>
      <c r="AY96" s="312" t="s">
        <v>6121</v>
      </c>
      <c r="AZ96" s="21">
        <f>5/8*25.4</f>
        <v>15.875</v>
      </c>
      <c r="BA96" s="312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7">2.5*25.4</f>
        <v>63.5</v>
      </c>
      <c r="BE96" s="21">
        <f>2.75*25.4</f>
        <v>69.849999999999994</v>
      </c>
      <c r="BF96" s="21">
        <f t="shared" si="23"/>
        <v>260.35000000000002</v>
      </c>
      <c r="BG96" s="312" t="s">
        <v>4417</v>
      </c>
      <c r="BH96" s="312" t="s">
        <v>4462</v>
      </c>
      <c r="BI96" s="312" t="s">
        <v>6196</v>
      </c>
      <c r="BJ96" s="312">
        <v>4</v>
      </c>
      <c r="BK96" s="312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314" t="s">
        <v>4532</v>
      </c>
      <c r="CN96" s="312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12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12" t="s">
        <v>4419</v>
      </c>
      <c r="DH96" s="312">
        <v>640</v>
      </c>
      <c r="DI96" s="32">
        <v>730</v>
      </c>
      <c r="DJ96" s="312">
        <v>800</v>
      </c>
      <c r="DK96" s="32">
        <v>940</v>
      </c>
      <c r="DL96" s="59">
        <v>200000</v>
      </c>
      <c r="DM96" s="149" t="s">
        <v>5830</v>
      </c>
      <c r="DN96" s="312" t="s">
        <v>4432</v>
      </c>
      <c r="DO96" s="301" t="s">
        <v>4562</v>
      </c>
    </row>
    <row r="97" spans="1:119">
      <c r="A97" s="18">
        <v>92</v>
      </c>
      <c r="B97" s="318"/>
      <c r="C97" s="318"/>
      <c r="D97" s="330"/>
      <c r="E97" s="330"/>
      <c r="F97" s="318"/>
      <c r="G97" s="318"/>
      <c r="H97" s="318"/>
      <c r="I97" s="318"/>
      <c r="J97" s="285" t="s">
        <v>4527</v>
      </c>
      <c r="K97" s="314" t="s">
        <v>4380</v>
      </c>
      <c r="L97" s="312" t="s">
        <v>5786</v>
      </c>
      <c r="M97" s="314" t="s">
        <v>4548</v>
      </c>
      <c r="N97" s="312" t="s">
        <v>4703</v>
      </c>
      <c r="O97" s="18" t="s">
        <v>4503</v>
      </c>
      <c r="P97" s="312" t="s">
        <v>4417</v>
      </c>
      <c r="Q97" s="312" t="s">
        <v>4417</v>
      </c>
      <c r="R97" s="312" t="s">
        <v>4417</v>
      </c>
      <c r="S97" s="312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12" t="s">
        <v>4417</v>
      </c>
      <c r="Y97" s="312" t="s">
        <v>5786</v>
      </c>
      <c r="Z97" s="312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314" t="s">
        <v>4806</v>
      </c>
      <c r="AK97" s="21">
        <f>24*25.4</f>
        <v>609.59999999999991</v>
      </c>
      <c r="AL97" s="21">
        <f t="shared" si="25"/>
        <v>152.39999999999998</v>
      </c>
      <c r="AM97" s="21">
        <f t="shared" si="26"/>
        <v>6.35</v>
      </c>
      <c r="AN97" s="21">
        <f t="shared" si="26"/>
        <v>6.35</v>
      </c>
      <c r="AO97" s="21">
        <f>290*25.4/2</f>
        <v>3683</v>
      </c>
      <c r="AP97" s="21">
        <f t="shared" si="20"/>
        <v>288629395.25349665</v>
      </c>
      <c r="AQ97" s="18">
        <v>1149399</v>
      </c>
      <c r="AR97" s="21">
        <f>0.486*25.4</f>
        <v>12.344399999999998</v>
      </c>
      <c r="AS97" s="21">
        <f t="shared" si="21"/>
        <v>152.39999999999998</v>
      </c>
      <c r="AT97" s="21">
        <f t="shared" si="22"/>
        <v>609.59999999999991</v>
      </c>
      <c r="AU97" s="312">
        <v>0</v>
      </c>
      <c r="AV97" s="312">
        <v>0</v>
      </c>
      <c r="AW97" s="314" t="s">
        <v>5801</v>
      </c>
      <c r="AX97" s="312" t="s">
        <v>6121</v>
      </c>
      <c r="AY97" s="312" t="s">
        <v>6121</v>
      </c>
      <c r="AZ97" s="21">
        <f>3/4*25.4</f>
        <v>19.049999999999997</v>
      </c>
      <c r="BA97" s="312">
        <v>241</v>
      </c>
      <c r="BB97" s="21">
        <f>1.75*25.4+AM97</f>
        <v>50.8</v>
      </c>
      <c r="BC97" s="21">
        <f>1.75*25.4+AM97</f>
        <v>50.8</v>
      </c>
      <c r="BD97" s="33">
        <f t="shared" si="27"/>
        <v>63.5</v>
      </c>
      <c r="BE97" s="21">
        <f>3.25*25.4</f>
        <v>82.55</v>
      </c>
      <c r="BF97" s="21">
        <f t="shared" si="23"/>
        <v>444.49999999999994</v>
      </c>
      <c r="BG97" s="312" t="s">
        <v>4417</v>
      </c>
      <c r="BH97" s="312" t="s">
        <v>4462</v>
      </c>
      <c r="BI97" s="312" t="s">
        <v>6196</v>
      </c>
      <c r="BJ97" s="312">
        <v>4</v>
      </c>
      <c r="BK97" s="312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314" t="s">
        <v>4532</v>
      </c>
      <c r="CN97" s="312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12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12" t="s">
        <v>4419</v>
      </c>
      <c r="DH97" s="312">
        <v>640</v>
      </c>
      <c r="DI97" s="32">
        <v>730</v>
      </c>
      <c r="DJ97" s="312">
        <v>800</v>
      </c>
      <c r="DK97" s="32">
        <v>940</v>
      </c>
      <c r="DL97" s="59">
        <v>200000</v>
      </c>
      <c r="DM97" s="149" t="s">
        <v>5830</v>
      </c>
      <c r="DN97" s="312" t="s">
        <v>4432</v>
      </c>
      <c r="DO97" s="301" t="s">
        <v>4562</v>
      </c>
    </row>
    <row r="98" spans="1:119">
      <c r="A98" s="18">
        <v>93</v>
      </c>
      <c r="B98" s="318"/>
      <c r="C98" s="318"/>
      <c r="D98" s="330"/>
      <c r="E98" s="330"/>
      <c r="F98" s="318"/>
      <c r="G98" s="318"/>
      <c r="H98" s="318"/>
      <c r="I98" s="318"/>
      <c r="J98" s="285" t="s">
        <v>4524</v>
      </c>
      <c r="K98" s="314" t="s">
        <v>4380</v>
      </c>
      <c r="L98" s="312" t="s">
        <v>5786</v>
      </c>
      <c r="M98" s="314" t="s">
        <v>4548</v>
      </c>
      <c r="N98" s="312" t="s">
        <v>4703</v>
      </c>
      <c r="O98" s="18" t="s">
        <v>4503</v>
      </c>
      <c r="P98" s="312" t="s">
        <v>4417</v>
      </c>
      <c r="Q98" s="312" t="s">
        <v>4417</v>
      </c>
      <c r="R98" s="312" t="s">
        <v>4417</v>
      </c>
      <c r="S98" s="312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12" t="s">
        <v>4417</v>
      </c>
      <c r="Y98" s="312" t="s">
        <v>5786</v>
      </c>
      <c r="Z98" s="312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314" t="s">
        <v>4806</v>
      </c>
      <c r="AK98" s="21">
        <f>24*25.4</f>
        <v>609.59999999999991</v>
      </c>
      <c r="AL98" s="21">
        <f t="shared" si="25"/>
        <v>152.39999999999998</v>
      </c>
      <c r="AM98" s="21">
        <f t="shared" si="26"/>
        <v>6.35</v>
      </c>
      <c r="AN98" s="21">
        <f t="shared" si="26"/>
        <v>6.35</v>
      </c>
      <c r="AO98" s="21">
        <f>290*25.4/2</f>
        <v>3683</v>
      </c>
      <c r="AP98" s="21">
        <f t="shared" si="20"/>
        <v>288629395.25349665</v>
      </c>
      <c r="AQ98" s="18">
        <v>1149399</v>
      </c>
      <c r="AR98" s="21">
        <f>0.363*25.4</f>
        <v>9.2201999999999984</v>
      </c>
      <c r="AS98" s="21">
        <f t="shared" si="21"/>
        <v>152.39999999999998</v>
      </c>
      <c r="AT98" s="21">
        <f t="shared" si="22"/>
        <v>609.59999999999991</v>
      </c>
      <c r="AU98" s="312">
        <v>0</v>
      </c>
      <c r="AV98" s="312">
        <v>0</v>
      </c>
      <c r="AW98" s="314" t="s">
        <v>5801</v>
      </c>
      <c r="AX98" s="312" t="s">
        <v>6121</v>
      </c>
      <c r="AY98" s="312" t="s">
        <v>6121</v>
      </c>
      <c r="AZ98" s="21">
        <f t="shared" ref="AZ98:AZ108" si="28">3/4*25.4</f>
        <v>19.049999999999997</v>
      </c>
      <c r="BA98" s="312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7"/>
        <v>63.5</v>
      </c>
      <c r="BE98" s="21">
        <f>2.75*25.4</f>
        <v>69.849999999999994</v>
      </c>
      <c r="BF98" s="21">
        <f t="shared" si="23"/>
        <v>463.54999999999995</v>
      </c>
      <c r="BG98" s="312" t="s">
        <v>4417</v>
      </c>
      <c r="BH98" s="312" t="s">
        <v>4462</v>
      </c>
      <c r="BI98" s="312" t="s">
        <v>6196</v>
      </c>
      <c r="BJ98" s="312">
        <v>4</v>
      </c>
      <c r="BK98" s="312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314" t="s">
        <v>4532</v>
      </c>
      <c r="CN98" s="312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12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12" t="s">
        <v>4419</v>
      </c>
      <c r="DH98" s="312">
        <v>640</v>
      </c>
      <c r="DI98" s="32">
        <v>730</v>
      </c>
      <c r="DJ98" s="312">
        <v>800</v>
      </c>
      <c r="DK98" s="32">
        <v>940</v>
      </c>
      <c r="DL98" s="59">
        <v>200000</v>
      </c>
      <c r="DM98" s="149" t="s">
        <v>5830</v>
      </c>
      <c r="DN98" s="312" t="s">
        <v>4432</v>
      </c>
      <c r="DO98" s="301" t="s">
        <v>4562</v>
      </c>
    </row>
    <row r="99" spans="1:119">
      <c r="A99" s="18">
        <v>94</v>
      </c>
      <c r="B99" s="318"/>
      <c r="C99" s="318"/>
      <c r="D99" s="330"/>
      <c r="E99" s="330"/>
      <c r="F99" s="318"/>
      <c r="G99" s="318"/>
      <c r="H99" s="318"/>
      <c r="I99" s="318"/>
      <c r="J99" s="285" t="s">
        <v>4525</v>
      </c>
      <c r="K99" s="314" t="s">
        <v>4380</v>
      </c>
      <c r="L99" s="312" t="s">
        <v>5786</v>
      </c>
      <c r="M99" s="314" t="s">
        <v>4548</v>
      </c>
      <c r="N99" s="312" t="s">
        <v>4703</v>
      </c>
      <c r="O99" s="18" t="s">
        <v>4503</v>
      </c>
      <c r="P99" s="312" t="s">
        <v>4417</v>
      </c>
      <c r="Q99" s="312" t="s">
        <v>4417</v>
      </c>
      <c r="R99" s="312" t="s">
        <v>4417</v>
      </c>
      <c r="S99" s="312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12" t="s">
        <v>4417</v>
      </c>
      <c r="Y99" s="312" t="s">
        <v>5786</v>
      </c>
      <c r="Z99" s="312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314" t="s">
        <v>4805</v>
      </c>
      <c r="AK99" s="21">
        <f t="shared" si="24"/>
        <v>406.4</v>
      </c>
      <c r="AL99" s="21">
        <f t="shared" si="25"/>
        <v>152.39999999999998</v>
      </c>
      <c r="AM99" s="21">
        <f t="shared" si="26"/>
        <v>6.35</v>
      </c>
      <c r="AN99" s="21">
        <f t="shared" si="26"/>
        <v>6.35</v>
      </c>
      <c r="AO99" s="21">
        <f>283*25.4/2</f>
        <v>3594.1</v>
      </c>
      <c r="AP99" s="21">
        <f t="shared" si="20"/>
        <v>109736597.1258291</v>
      </c>
      <c r="AQ99" s="18">
        <v>638018</v>
      </c>
      <c r="AR99" s="21">
        <f>0.486*25.4</f>
        <v>12.344399999999998</v>
      </c>
      <c r="AS99" s="21">
        <f t="shared" si="21"/>
        <v>152.39999999999998</v>
      </c>
      <c r="AT99" s="21">
        <f t="shared" si="22"/>
        <v>406.4</v>
      </c>
      <c r="AU99" s="312">
        <v>0</v>
      </c>
      <c r="AV99" s="312">
        <v>0</v>
      </c>
      <c r="AW99" s="314" t="s">
        <v>5801</v>
      </c>
      <c r="AX99" s="312" t="s">
        <v>6121</v>
      </c>
      <c r="AY99" s="312" t="s">
        <v>6121</v>
      </c>
      <c r="AZ99" s="21">
        <f t="shared" si="28"/>
        <v>19.049999999999997</v>
      </c>
      <c r="BA99" s="312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7"/>
        <v>63.5</v>
      </c>
      <c r="BE99" s="21">
        <f>3.5*25.4</f>
        <v>88.899999999999991</v>
      </c>
      <c r="BF99" s="21">
        <f t="shared" si="23"/>
        <v>254</v>
      </c>
      <c r="BG99" s="312" t="s">
        <v>4417</v>
      </c>
      <c r="BH99" s="312" t="s">
        <v>4462</v>
      </c>
      <c r="BI99" s="312" t="s">
        <v>6196</v>
      </c>
      <c r="BJ99" s="312">
        <v>4</v>
      </c>
      <c r="BK99" s="312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314" t="s">
        <v>4532</v>
      </c>
      <c r="CN99" s="312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12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12" t="s">
        <v>4419</v>
      </c>
      <c r="DH99" s="312">
        <v>640</v>
      </c>
      <c r="DI99" s="32">
        <v>730</v>
      </c>
      <c r="DJ99" s="312">
        <v>800</v>
      </c>
      <c r="DK99" s="32">
        <v>940</v>
      </c>
      <c r="DL99" s="59">
        <v>200000</v>
      </c>
      <c r="DM99" s="149" t="s">
        <v>5830</v>
      </c>
      <c r="DN99" s="312" t="s">
        <v>4432</v>
      </c>
      <c r="DO99" s="301" t="s">
        <v>4562</v>
      </c>
    </row>
    <row r="100" spans="1:119" ht="16.2" thickBot="1">
      <c r="A100" s="18">
        <v>95</v>
      </c>
      <c r="B100" s="319"/>
      <c r="C100" s="319"/>
      <c r="D100" s="330"/>
      <c r="E100" s="330"/>
      <c r="F100" s="318"/>
      <c r="G100" s="318"/>
      <c r="H100" s="318"/>
      <c r="I100" s="318"/>
      <c r="J100" s="285" t="s">
        <v>4526</v>
      </c>
      <c r="K100" s="314" t="s">
        <v>4380</v>
      </c>
      <c r="L100" s="312" t="s">
        <v>5786</v>
      </c>
      <c r="M100" s="314" t="s">
        <v>4548</v>
      </c>
      <c r="N100" s="312" t="s">
        <v>4703</v>
      </c>
      <c r="O100" s="18" t="s">
        <v>4503</v>
      </c>
      <c r="P100" s="312" t="s">
        <v>4417</v>
      </c>
      <c r="Q100" s="312" t="s">
        <v>4417</v>
      </c>
      <c r="R100" s="312" t="s">
        <v>4417</v>
      </c>
      <c r="S100" s="312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12" t="s">
        <v>4417</v>
      </c>
      <c r="Y100" s="312" t="s">
        <v>5786</v>
      </c>
      <c r="Z100" s="312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314" t="s">
        <v>4805</v>
      </c>
      <c r="AK100" s="21">
        <f t="shared" si="24"/>
        <v>406.4</v>
      </c>
      <c r="AL100" s="21">
        <f t="shared" si="25"/>
        <v>152.39999999999998</v>
      </c>
      <c r="AM100" s="21">
        <f t="shared" si="26"/>
        <v>6.35</v>
      </c>
      <c r="AN100" s="21">
        <f t="shared" si="26"/>
        <v>6.35</v>
      </c>
      <c r="AO100" s="21">
        <f>283*25.4/2</f>
        <v>3594.1</v>
      </c>
      <c r="AP100" s="21">
        <f t="shared" si="20"/>
        <v>109736597.1258291</v>
      </c>
      <c r="AQ100" s="18">
        <v>638018</v>
      </c>
      <c r="AR100" s="21">
        <f>0.385*25.4</f>
        <v>9.7789999999999999</v>
      </c>
      <c r="AS100" s="21">
        <f t="shared" si="21"/>
        <v>152.39999999999998</v>
      </c>
      <c r="AT100" s="21">
        <f t="shared" si="22"/>
        <v>406.4</v>
      </c>
      <c r="AU100" s="312">
        <v>0</v>
      </c>
      <c r="AV100" s="312">
        <v>0</v>
      </c>
      <c r="AW100" s="314" t="s">
        <v>5801</v>
      </c>
      <c r="AX100" s="312" t="s">
        <v>6121</v>
      </c>
      <c r="AY100" s="312" t="s">
        <v>6121</v>
      </c>
      <c r="AZ100" s="21">
        <f t="shared" si="28"/>
        <v>19.049999999999997</v>
      </c>
      <c r="BA100" s="312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7"/>
        <v>63.5</v>
      </c>
      <c r="BE100" s="21">
        <f>3.5*25.4</f>
        <v>88.899999999999991</v>
      </c>
      <c r="BF100" s="21">
        <f t="shared" si="23"/>
        <v>254</v>
      </c>
      <c r="BG100" s="312" t="s">
        <v>4417</v>
      </c>
      <c r="BH100" s="312" t="s">
        <v>4462</v>
      </c>
      <c r="BI100" s="312" t="s">
        <v>6196</v>
      </c>
      <c r="BJ100" s="312">
        <v>4</v>
      </c>
      <c r="BK100" s="312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314" t="s">
        <v>4532</v>
      </c>
      <c r="CN100" s="312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12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12" t="s">
        <v>4419</v>
      </c>
      <c r="DH100" s="312">
        <v>640</v>
      </c>
      <c r="DI100" s="32">
        <v>730</v>
      </c>
      <c r="DJ100" s="312">
        <v>800</v>
      </c>
      <c r="DK100" s="32">
        <v>940</v>
      </c>
      <c r="DL100" s="59">
        <v>200000</v>
      </c>
      <c r="DM100" s="150" t="s">
        <v>5830</v>
      </c>
      <c r="DN100" s="312" t="s">
        <v>4432</v>
      </c>
      <c r="DO100" s="301" t="s">
        <v>4562</v>
      </c>
    </row>
    <row r="101" spans="1:119" ht="15.6" customHeight="1">
      <c r="A101" s="17">
        <v>96</v>
      </c>
      <c r="B101" s="317">
        <v>10</v>
      </c>
      <c r="C101" s="317">
        <v>1985</v>
      </c>
      <c r="D101" s="329" t="s">
        <v>4528</v>
      </c>
      <c r="E101" s="329" t="s">
        <v>4863</v>
      </c>
      <c r="F101" s="317">
        <v>8</v>
      </c>
      <c r="G101" s="317" t="s">
        <v>5899</v>
      </c>
      <c r="H101" s="317" t="s">
        <v>5898</v>
      </c>
      <c r="I101" s="317" t="s">
        <v>6214</v>
      </c>
      <c r="J101" s="283" t="s">
        <v>4540</v>
      </c>
      <c r="K101" s="309" t="s">
        <v>4380</v>
      </c>
      <c r="L101" s="311" t="s">
        <v>5786</v>
      </c>
      <c r="M101" s="309" t="s">
        <v>4548</v>
      </c>
      <c r="N101" s="311" t="s">
        <v>4703</v>
      </c>
      <c r="O101" s="17" t="s">
        <v>4503</v>
      </c>
      <c r="P101" s="311" t="s">
        <v>4417</v>
      </c>
      <c r="Q101" s="311" t="s">
        <v>4417</v>
      </c>
      <c r="R101" s="311" t="s">
        <v>4417</v>
      </c>
      <c r="S101" s="311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311" t="s">
        <v>4417</v>
      </c>
      <c r="Y101" s="311" t="s">
        <v>5786</v>
      </c>
      <c r="Z101" s="311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30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0"/>
        <v>109736597.1258291</v>
      </c>
      <c r="AQ101" s="17">
        <v>638018</v>
      </c>
      <c r="AR101" s="16">
        <f>0.379*25.4</f>
        <v>9.6265999999999998</v>
      </c>
      <c r="AS101" s="16">
        <f t="shared" si="21"/>
        <v>152.39999999999998</v>
      </c>
      <c r="AT101" s="16">
        <f t="shared" si="22"/>
        <v>406.4</v>
      </c>
      <c r="AU101" s="311">
        <v>0</v>
      </c>
      <c r="AV101" s="311">
        <v>0</v>
      </c>
      <c r="AW101" s="309" t="s">
        <v>5801</v>
      </c>
      <c r="AX101" s="311" t="s">
        <v>6121</v>
      </c>
      <c r="AY101" s="311" t="s">
        <v>6121</v>
      </c>
      <c r="AZ101" s="16">
        <f t="shared" si="28"/>
        <v>19.049999999999997</v>
      </c>
      <c r="BA101" s="311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7"/>
        <v>63.5</v>
      </c>
      <c r="BE101" s="16">
        <f>3.5*25.4</f>
        <v>88.899999999999991</v>
      </c>
      <c r="BF101" s="16">
        <f t="shared" si="23"/>
        <v>254</v>
      </c>
      <c r="BG101" s="311" t="s">
        <v>4417</v>
      </c>
      <c r="BH101" s="311" t="s">
        <v>4462</v>
      </c>
      <c r="BI101" s="311" t="s">
        <v>6196</v>
      </c>
      <c r="BJ101" s="311">
        <v>4</v>
      </c>
      <c r="BK101" s="311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309" t="s">
        <v>4532</v>
      </c>
      <c r="CN101" s="311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311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311" t="s">
        <v>4419</v>
      </c>
      <c r="DH101" s="311">
        <v>640</v>
      </c>
      <c r="DI101" s="30">
        <v>730</v>
      </c>
      <c r="DJ101" s="311">
        <v>800</v>
      </c>
      <c r="DK101" s="30">
        <v>940</v>
      </c>
      <c r="DL101" s="74">
        <v>200000</v>
      </c>
      <c r="DM101" s="148" t="s">
        <v>5830</v>
      </c>
      <c r="DN101" s="311" t="s">
        <v>4432</v>
      </c>
      <c r="DO101" s="300" t="s">
        <v>4562</v>
      </c>
    </row>
    <row r="102" spans="1:119">
      <c r="A102" s="18">
        <v>97</v>
      </c>
      <c r="B102" s="318"/>
      <c r="C102" s="318"/>
      <c r="D102" s="330"/>
      <c r="E102" s="330"/>
      <c r="F102" s="318"/>
      <c r="G102" s="318"/>
      <c r="H102" s="318"/>
      <c r="I102" s="318"/>
      <c r="J102" s="285" t="s">
        <v>4541</v>
      </c>
      <c r="K102" s="314" t="s">
        <v>4380</v>
      </c>
      <c r="L102" s="312" t="s">
        <v>5786</v>
      </c>
      <c r="M102" s="314" t="s">
        <v>4548</v>
      </c>
      <c r="N102" s="312" t="s">
        <v>4703</v>
      </c>
      <c r="O102" s="18" t="s">
        <v>4503</v>
      </c>
      <c r="P102" s="312" t="s">
        <v>4417</v>
      </c>
      <c r="Q102" s="312" t="s">
        <v>4417</v>
      </c>
      <c r="R102" s="312" t="s">
        <v>4417</v>
      </c>
      <c r="S102" s="312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12" t="s">
        <v>4417</v>
      </c>
      <c r="Y102" s="312" t="s">
        <v>5786</v>
      </c>
      <c r="Z102" s="312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314" t="s">
        <v>4805</v>
      </c>
      <c r="AK102" s="21">
        <f>16*25.4</f>
        <v>406.4</v>
      </c>
      <c r="AL102" s="21">
        <f t="shared" ref="AL102:AL108" si="29">6*25.4</f>
        <v>152.39999999999998</v>
      </c>
      <c r="AM102" s="21">
        <f t="shared" ref="AM102:AN106" si="30">0.25*25.4</f>
        <v>6.35</v>
      </c>
      <c r="AN102" s="21">
        <f t="shared" si="30"/>
        <v>6.35</v>
      </c>
      <c r="AO102" s="21">
        <f>330*25.4/2</f>
        <v>4191</v>
      </c>
      <c r="AP102" s="21">
        <f t="shared" si="20"/>
        <v>109736597.1258291</v>
      </c>
      <c r="AQ102" s="18">
        <v>638018</v>
      </c>
      <c r="AR102" s="21">
        <f>0.379*25.4</f>
        <v>9.6265999999999998</v>
      </c>
      <c r="AS102" s="21">
        <f t="shared" si="21"/>
        <v>152.39999999999998</v>
      </c>
      <c r="AT102" s="21">
        <f t="shared" si="22"/>
        <v>406.4</v>
      </c>
      <c r="AU102" s="312">
        <v>0</v>
      </c>
      <c r="AV102" s="312">
        <v>0</v>
      </c>
      <c r="AW102" s="314" t="s">
        <v>5801</v>
      </c>
      <c r="AX102" s="312" t="s">
        <v>6121</v>
      </c>
      <c r="AY102" s="312" t="s">
        <v>6121</v>
      </c>
      <c r="AZ102" s="21">
        <f t="shared" si="28"/>
        <v>19.049999999999997</v>
      </c>
      <c r="BA102" s="312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7"/>
        <v>63.5</v>
      </c>
      <c r="BE102" s="21">
        <f>3.5*25.4</f>
        <v>88.899999999999991</v>
      </c>
      <c r="BF102" s="21">
        <f t="shared" si="23"/>
        <v>254</v>
      </c>
      <c r="BG102" s="312" t="s">
        <v>4417</v>
      </c>
      <c r="BH102" s="312" t="s">
        <v>4462</v>
      </c>
      <c r="BI102" s="312" t="s">
        <v>6196</v>
      </c>
      <c r="BJ102" s="312">
        <v>4</v>
      </c>
      <c r="BK102" s="312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314" t="s">
        <v>4532</v>
      </c>
      <c r="CN102" s="312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12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31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12" t="s">
        <v>4419</v>
      </c>
      <c r="DH102" s="312">
        <v>640</v>
      </c>
      <c r="DI102" s="32">
        <v>730</v>
      </c>
      <c r="DJ102" s="312">
        <v>800</v>
      </c>
      <c r="DK102" s="32">
        <v>940</v>
      </c>
      <c r="DL102" s="59">
        <v>200000</v>
      </c>
      <c r="DM102" s="149" t="s">
        <v>5830</v>
      </c>
      <c r="DN102" s="312" t="s">
        <v>4432</v>
      </c>
      <c r="DO102" s="301" t="s">
        <v>4562</v>
      </c>
    </row>
    <row r="103" spans="1:119">
      <c r="A103" s="18">
        <v>98</v>
      </c>
      <c r="B103" s="318"/>
      <c r="C103" s="318"/>
      <c r="D103" s="330"/>
      <c r="E103" s="330"/>
      <c r="F103" s="318"/>
      <c r="G103" s="318"/>
      <c r="H103" s="318"/>
      <c r="I103" s="318"/>
      <c r="J103" s="285" t="s">
        <v>4542</v>
      </c>
      <c r="K103" s="314" t="s">
        <v>4380</v>
      </c>
      <c r="L103" s="312" t="s">
        <v>5786</v>
      </c>
      <c r="M103" s="314" t="s">
        <v>4548</v>
      </c>
      <c r="N103" s="312" t="s">
        <v>4703</v>
      </c>
      <c r="O103" s="18" t="s">
        <v>4503</v>
      </c>
      <c r="P103" s="312" t="s">
        <v>4417</v>
      </c>
      <c r="Q103" s="312" t="s">
        <v>4417</v>
      </c>
      <c r="R103" s="312" t="s">
        <v>4417</v>
      </c>
      <c r="S103" s="312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12" t="s">
        <v>4417</v>
      </c>
      <c r="Y103" s="312" t="s">
        <v>5786</v>
      </c>
      <c r="Z103" s="312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314" t="s">
        <v>4806</v>
      </c>
      <c r="AK103" s="21">
        <f>24*25.4</f>
        <v>609.59999999999991</v>
      </c>
      <c r="AL103" s="21">
        <f t="shared" si="29"/>
        <v>152.39999999999998</v>
      </c>
      <c r="AM103" s="21">
        <f t="shared" si="30"/>
        <v>6.35</v>
      </c>
      <c r="AN103" s="21">
        <f t="shared" si="30"/>
        <v>6.35</v>
      </c>
      <c r="AO103" s="21">
        <f>336*25.4/2</f>
        <v>4267.2</v>
      </c>
      <c r="AP103" s="21">
        <f t="shared" si="20"/>
        <v>288629395.25349665</v>
      </c>
      <c r="AQ103" s="18">
        <v>1149399</v>
      </c>
      <c r="AR103" s="21">
        <f>0.366*25.4</f>
        <v>9.2963999999999984</v>
      </c>
      <c r="AS103" s="21">
        <f t="shared" si="21"/>
        <v>152.39999999999998</v>
      </c>
      <c r="AT103" s="21">
        <f t="shared" si="22"/>
        <v>609.59999999999991</v>
      </c>
      <c r="AU103" s="312">
        <v>0</v>
      </c>
      <c r="AV103" s="312">
        <v>0</v>
      </c>
      <c r="AW103" s="314" t="s">
        <v>5801</v>
      </c>
      <c r="AX103" s="312" t="s">
        <v>6121</v>
      </c>
      <c r="AY103" s="312" t="s">
        <v>6121</v>
      </c>
      <c r="AZ103" s="21">
        <f t="shared" si="28"/>
        <v>19.049999999999997</v>
      </c>
      <c r="BA103" s="312">
        <v>241</v>
      </c>
      <c r="BB103" s="21">
        <f>1.75*25.4+AM103</f>
        <v>50.8</v>
      </c>
      <c r="BC103" s="21">
        <f>1.75*25.4+AM103</f>
        <v>50.8</v>
      </c>
      <c r="BD103" s="33">
        <f t="shared" si="27"/>
        <v>63.5</v>
      </c>
      <c r="BE103" s="21">
        <f>3.25*25.4</f>
        <v>82.55</v>
      </c>
      <c r="BF103" s="21">
        <f t="shared" si="23"/>
        <v>444.49999999999994</v>
      </c>
      <c r="BG103" s="312" t="s">
        <v>4417</v>
      </c>
      <c r="BH103" s="312" t="s">
        <v>4462</v>
      </c>
      <c r="BI103" s="312" t="s">
        <v>6196</v>
      </c>
      <c r="BJ103" s="312">
        <v>4</v>
      </c>
      <c r="BK103" s="312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314" t="s">
        <v>4532</v>
      </c>
      <c r="CN103" s="312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12" t="s">
        <v>4532</v>
      </c>
      <c r="CT103" s="58">
        <v>345</v>
      </c>
      <c r="CU103" s="21">
        <v>364.2</v>
      </c>
      <c r="CV103" s="58">
        <v>450</v>
      </c>
      <c r="CW103" s="33">
        <f t="shared" si="31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12" t="s">
        <v>4419</v>
      </c>
      <c r="DH103" s="312">
        <v>640</v>
      </c>
      <c r="DI103" s="32">
        <v>730</v>
      </c>
      <c r="DJ103" s="312">
        <v>800</v>
      </c>
      <c r="DK103" s="32">
        <v>940</v>
      </c>
      <c r="DL103" s="59">
        <v>200000</v>
      </c>
      <c r="DM103" s="149" t="s">
        <v>5830</v>
      </c>
      <c r="DN103" s="312" t="s">
        <v>4432</v>
      </c>
      <c r="DO103" s="301" t="s">
        <v>4562</v>
      </c>
    </row>
    <row r="104" spans="1:119">
      <c r="A104" s="18">
        <v>99</v>
      </c>
      <c r="B104" s="318"/>
      <c r="C104" s="318"/>
      <c r="D104" s="330"/>
      <c r="E104" s="330"/>
      <c r="F104" s="318"/>
      <c r="G104" s="318"/>
      <c r="H104" s="318"/>
      <c r="I104" s="318"/>
      <c r="J104" s="285" t="s">
        <v>4543</v>
      </c>
      <c r="K104" s="314" t="s">
        <v>4380</v>
      </c>
      <c r="L104" s="312" t="s">
        <v>5786</v>
      </c>
      <c r="M104" s="314" t="s">
        <v>4548</v>
      </c>
      <c r="N104" s="312" t="s">
        <v>4703</v>
      </c>
      <c r="O104" s="18" t="s">
        <v>4503</v>
      </c>
      <c r="P104" s="312" t="s">
        <v>4417</v>
      </c>
      <c r="Q104" s="312" t="s">
        <v>4417</v>
      </c>
      <c r="R104" s="312" t="s">
        <v>4417</v>
      </c>
      <c r="S104" s="312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12" t="s">
        <v>4417</v>
      </c>
      <c r="Y104" s="312" t="s">
        <v>5786</v>
      </c>
      <c r="Z104" s="312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314" t="s">
        <v>4806</v>
      </c>
      <c r="AK104" s="21">
        <f>24*25.4</f>
        <v>609.59999999999991</v>
      </c>
      <c r="AL104" s="21">
        <f t="shared" si="29"/>
        <v>152.39999999999998</v>
      </c>
      <c r="AM104" s="21">
        <f t="shared" si="30"/>
        <v>6.35</v>
      </c>
      <c r="AN104" s="21">
        <f t="shared" si="30"/>
        <v>6.35</v>
      </c>
      <c r="AO104" s="21">
        <f>336*25.4/2</f>
        <v>4267.2</v>
      </c>
      <c r="AP104" s="21">
        <f t="shared" si="20"/>
        <v>288629395.25349665</v>
      </c>
      <c r="AQ104" s="18">
        <v>1149399</v>
      </c>
      <c r="AR104" s="21">
        <f>0.366*25.4</f>
        <v>9.2963999999999984</v>
      </c>
      <c r="AS104" s="21">
        <f t="shared" si="21"/>
        <v>152.39999999999998</v>
      </c>
      <c r="AT104" s="21">
        <f t="shared" si="22"/>
        <v>609.59999999999991</v>
      </c>
      <c r="AU104" s="312">
        <v>0</v>
      </c>
      <c r="AV104" s="312">
        <v>0</v>
      </c>
      <c r="AW104" s="314" t="s">
        <v>5801</v>
      </c>
      <c r="AX104" s="312" t="s">
        <v>6121</v>
      </c>
      <c r="AY104" s="312" t="s">
        <v>6121</v>
      </c>
      <c r="AZ104" s="21">
        <f t="shared" si="28"/>
        <v>19.049999999999997</v>
      </c>
      <c r="BA104" s="312">
        <v>241</v>
      </c>
      <c r="BB104" s="21">
        <f>1.75*25.4+AM104</f>
        <v>50.8</v>
      </c>
      <c r="BC104" s="21">
        <f>1.75*25.4+AM104</f>
        <v>50.8</v>
      </c>
      <c r="BD104" s="33">
        <f t="shared" si="27"/>
        <v>63.5</v>
      </c>
      <c r="BE104" s="21">
        <f>3.25*25.4</f>
        <v>82.55</v>
      </c>
      <c r="BF104" s="21">
        <f t="shared" si="23"/>
        <v>444.49999999999994</v>
      </c>
      <c r="BG104" s="312" t="s">
        <v>4417</v>
      </c>
      <c r="BH104" s="312" t="s">
        <v>4462</v>
      </c>
      <c r="BI104" s="312" t="s">
        <v>6196</v>
      </c>
      <c r="BJ104" s="312">
        <v>4</v>
      </c>
      <c r="BK104" s="312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314" t="s">
        <v>4532</v>
      </c>
      <c r="CN104" s="312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12" t="s">
        <v>4532</v>
      </c>
      <c r="CT104" s="58">
        <v>345</v>
      </c>
      <c r="CU104" s="21">
        <v>364.2</v>
      </c>
      <c r="CV104" s="58">
        <v>450</v>
      </c>
      <c r="CW104" s="33">
        <f t="shared" si="31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12" t="s">
        <v>4419</v>
      </c>
      <c r="DH104" s="312">
        <v>640</v>
      </c>
      <c r="DI104" s="32">
        <v>730</v>
      </c>
      <c r="DJ104" s="312">
        <v>800</v>
      </c>
      <c r="DK104" s="32">
        <v>940</v>
      </c>
      <c r="DL104" s="59">
        <v>200000</v>
      </c>
      <c r="DM104" s="149" t="s">
        <v>5830</v>
      </c>
      <c r="DN104" s="312" t="s">
        <v>4432</v>
      </c>
      <c r="DO104" s="301" t="s">
        <v>4562</v>
      </c>
    </row>
    <row r="105" spans="1:119">
      <c r="A105" s="18">
        <v>100</v>
      </c>
      <c r="B105" s="318"/>
      <c r="C105" s="318"/>
      <c r="D105" s="330"/>
      <c r="E105" s="330"/>
      <c r="F105" s="318"/>
      <c r="G105" s="318"/>
      <c r="H105" s="318"/>
      <c r="I105" s="318"/>
      <c r="J105" s="285" t="s">
        <v>4544</v>
      </c>
      <c r="K105" s="314" t="s">
        <v>4380</v>
      </c>
      <c r="L105" s="312" t="s">
        <v>5786</v>
      </c>
      <c r="M105" s="314" t="s">
        <v>4548</v>
      </c>
      <c r="N105" s="312" t="s">
        <v>4703</v>
      </c>
      <c r="O105" s="18" t="s">
        <v>4503</v>
      </c>
      <c r="P105" s="312" t="s">
        <v>4417</v>
      </c>
      <c r="Q105" s="312" t="s">
        <v>4417</v>
      </c>
      <c r="R105" s="312" t="s">
        <v>4417</v>
      </c>
      <c r="S105" s="312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12" t="s">
        <v>4417</v>
      </c>
      <c r="Y105" s="312" t="s">
        <v>5786</v>
      </c>
      <c r="Z105" s="312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314" t="s">
        <v>4805</v>
      </c>
      <c r="AK105" s="21">
        <f>16*25.4</f>
        <v>406.4</v>
      </c>
      <c r="AL105" s="21">
        <f t="shared" si="29"/>
        <v>152.39999999999998</v>
      </c>
      <c r="AM105" s="21">
        <f t="shared" si="30"/>
        <v>6.35</v>
      </c>
      <c r="AN105" s="21">
        <f t="shared" si="30"/>
        <v>6.35</v>
      </c>
      <c r="AO105" s="21">
        <f>321*25.4/2</f>
        <v>4076.7</v>
      </c>
      <c r="AP105" s="21">
        <f t="shared" si="20"/>
        <v>109736597.1258291</v>
      </c>
      <c r="AQ105" s="18">
        <v>638018</v>
      </c>
      <c r="AR105" s="21">
        <f>0.381*25.4</f>
        <v>9.6774000000000004</v>
      </c>
      <c r="AS105" s="21">
        <f t="shared" si="21"/>
        <v>152.39999999999998</v>
      </c>
      <c r="AT105" s="21">
        <f t="shared" si="22"/>
        <v>406.4</v>
      </c>
      <c r="AU105" s="312">
        <v>0</v>
      </c>
      <c r="AV105" s="312">
        <v>0</v>
      </c>
      <c r="AW105" s="314" t="s">
        <v>5801</v>
      </c>
      <c r="AX105" s="312" t="s">
        <v>6121</v>
      </c>
      <c r="AY105" s="312" t="s">
        <v>6121</v>
      </c>
      <c r="AZ105" s="21">
        <f>5/8*25.4</f>
        <v>15.875</v>
      </c>
      <c r="BA105" s="312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7"/>
        <v>63.5</v>
      </c>
      <c r="BE105" s="21">
        <f>2.75*25.4</f>
        <v>69.849999999999994</v>
      </c>
      <c r="BF105" s="21">
        <f t="shared" si="23"/>
        <v>260.35000000000002</v>
      </c>
      <c r="BG105" s="312" t="s">
        <v>4417</v>
      </c>
      <c r="BH105" s="312" t="s">
        <v>4462</v>
      </c>
      <c r="BI105" s="312" t="s">
        <v>6196</v>
      </c>
      <c r="BJ105" s="312">
        <v>4</v>
      </c>
      <c r="BK105" s="312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314" t="s">
        <v>4532</v>
      </c>
      <c r="CN105" s="312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12" t="s">
        <v>4532</v>
      </c>
      <c r="CT105" s="58">
        <v>345</v>
      </c>
      <c r="CU105" s="21">
        <v>385.4</v>
      </c>
      <c r="CV105" s="58">
        <v>450</v>
      </c>
      <c r="CW105" s="33">
        <f t="shared" si="31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12" t="s">
        <v>4419</v>
      </c>
      <c r="DH105" s="312">
        <v>640</v>
      </c>
      <c r="DI105" s="32">
        <v>730</v>
      </c>
      <c r="DJ105" s="312">
        <v>800</v>
      </c>
      <c r="DK105" s="32">
        <v>940</v>
      </c>
      <c r="DL105" s="59">
        <v>200000</v>
      </c>
      <c r="DM105" s="149" t="s">
        <v>5830</v>
      </c>
      <c r="DN105" s="312" t="s">
        <v>4432</v>
      </c>
      <c r="DO105" s="301" t="s">
        <v>4562</v>
      </c>
    </row>
    <row r="106" spans="1:119">
      <c r="A106" s="18">
        <v>101</v>
      </c>
      <c r="B106" s="318"/>
      <c r="C106" s="318"/>
      <c r="D106" s="330"/>
      <c r="E106" s="330"/>
      <c r="F106" s="318"/>
      <c r="G106" s="318"/>
      <c r="H106" s="318"/>
      <c r="I106" s="318"/>
      <c r="J106" s="285" t="s">
        <v>4545</v>
      </c>
      <c r="K106" s="314" t="s">
        <v>4380</v>
      </c>
      <c r="L106" s="312" t="s">
        <v>5786</v>
      </c>
      <c r="M106" s="314" t="s">
        <v>4548</v>
      </c>
      <c r="N106" s="312" t="s">
        <v>4703</v>
      </c>
      <c r="O106" s="18" t="s">
        <v>4503</v>
      </c>
      <c r="P106" s="312" t="s">
        <v>4417</v>
      </c>
      <c r="Q106" s="312" t="s">
        <v>4417</v>
      </c>
      <c r="R106" s="312" t="s">
        <v>4417</v>
      </c>
      <c r="S106" s="312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12" t="s">
        <v>4417</v>
      </c>
      <c r="Y106" s="312" t="s">
        <v>5786</v>
      </c>
      <c r="Z106" s="312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314" t="s">
        <v>4805</v>
      </c>
      <c r="AK106" s="21">
        <f>16*25.4</f>
        <v>406.4</v>
      </c>
      <c r="AL106" s="21">
        <f t="shared" si="29"/>
        <v>152.39999999999998</v>
      </c>
      <c r="AM106" s="21">
        <f t="shared" si="30"/>
        <v>6.35</v>
      </c>
      <c r="AN106" s="21">
        <f t="shared" si="30"/>
        <v>6.35</v>
      </c>
      <c r="AO106" s="21">
        <f>314*25.4/2</f>
        <v>3987.7999999999997</v>
      </c>
      <c r="AP106" s="21">
        <f t="shared" si="20"/>
        <v>109736597.1258291</v>
      </c>
      <c r="AQ106" s="18">
        <v>638018</v>
      </c>
      <c r="AR106" s="21">
        <f>0.381*25.4</f>
        <v>9.6774000000000004</v>
      </c>
      <c r="AS106" s="21">
        <f t="shared" si="21"/>
        <v>152.39999999999998</v>
      </c>
      <c r="AT106" s="21">
        <f t="shared" si="22"/>
        <v>406.4</v>
      </c>
      <c r="AU106" s="312">
        <v>0</v>
      </c>
      <c r="AV106" s="312">
        <v>0</v>
      </c>
      <c r="AW106" s="314" t="s">
        <v>5801</v>
      </c>
      <c r="AX106" s="312" t="s">
        <v>6121</v>
      </c>
      <c r="AY106" s="312" t="s">
        <v>6121</v>
      </c>
      <c r="AZ106" s="21">
        <f>5/8*25.4</f>
        <v>15.875</v>
      </c>
      <c r="BA106" s="312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7"/>
        <v>63.5</v>
      </c>
      <c r="BE106" s="21">
        <f>2.75*25.4</f>
        <v>69.849999999999994</v>
      </c>
      <c r="BF106" s="21">
        <f t="shared" si="23"/>
        <v>260.35000000000002</v>
      </c>
      <c r="BG106" s="312" t="s">
        <v>4417</v>
      </c>
      <c r="BH106" s="312" t="s">
        <v>4462</v>
      </c>
      <c r="BI106" s="312" t="s">
        <v>6196</v>
      </c>
      <c r="BJ106" s="312">
        <v>4</v>
      </c>
      <c r="BK106" s="312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314" t="s">
        <v>4532</v>
      </c>
      <c r="CN106" s="312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12" t="s">
        <v>4532</v>
      </c>
      <c r="CT106" s="58">
        <v>345</v>
      </c>
      <c r="CU106" s="21">
        <v>385.4</v>
      </c>
      <c r="CV106" s="58">
        <v>450</v>
      </c>
      <c r="CW106" s="33">
        <f t="shared" si="31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12" t="s">
        <v>4419</v>
      </c>
      <c r="DH106" s="312">
        <v>640</v>
      </c>
      <c r="DI106" s="32">
        <v>730</v>
      </c>
      <c r="DJ106" s="312">
        <v>800</v>
      </c>
      <c r="DK106" s="32">
        <v>940</v>
      </c>
      <c r="DL106" s="59">
        <v>200000</v>
      </c>
      <c r="DM106" s="149" t="s">
        <v>5830</v>
      </c>
      <c r="DN106" s="312" t="s">
        <v>4432</v>
      </c>
      <c r="DO106" s="301" t="s">
        <v>4562</v>
      </c>
    </row>
    <row r="107" spans="1:119">
      <c r="A107" s="18">
        <v>102</v>
      </c>
      <c r="B107" s="318"/>
      <c r="C107" s="318"/>
      <c r="D107" s="330"/>
      <c r="E107" s="330"/>
      <c r="F107" s="318"/>
      <c r="G107" s="318"/>
      <c r="H107" s="318"/>
      <c r="I107" s="318"/>
      <c r="J107" s="285" t="s">
        <v>4547</v>
      </c>
      <c r="K107" s="314" t="s">
        <v>4380</v>
      </c>
      <c r="L107" s="312" t="s">
        <v>5786</v>
      </c>
      <c r="M107" s="314" t="s">
        <v>4548</v>
      </c>
      <c r="N107" s="312" t="s">
        <v>4703</v>
      </c>
      <c r="O107" s="18" t="s">
        <v>4503</v>
      </c>
      <c r="P107" s="312" t="s">
        <v>4417</v>
      </c>
      <c r="Q107" s="312" t="s">
        <v>4417</v>
      </c>
      <c r="R107" s="312" t="s">
        <v>4417</v>
      </c>
      <c r="S107" s="312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12" t="s">
        <v>4417</v>
      </c>
      <c r="Y107" s="312" t="s">
        <v>5786</v>
      </c>
      <c r="Z107" s="312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314" t="s">
        <v>4807</v>
      </c>
      <c r="AK107" s="21">
        <f>23*25.4</f>
        <v>584.19999999999993</v>
      </c>
      <c r="AL107" s="21">
        <f t="shared" si="29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0"/>
        <v>382996525.04624367</v>
      </c>
      <c r="AQ107" s="18">
        <v>1594762</v>
      </c>
      <c r="AR107" s="21">
        <f>0.507*25.4</f>
        <v>12.877799999999999</v>
      </c>
      <c r="AS107" s="21">
        <f t="shared" si="21"/>
        <v>152.39999999999998</v>
      </c>
      <c r="AT107" s="21">
        <f t="shared" si="22"/>
        <v>584.19999999999993</v>
      </c>
      <c r="AU107" s="312">
        <v>0</v>
      </c>
      <c r="AV107" s="312">
        <v>0</v>
      </c>
      <c r="AW107" s="314" t="s">
        <v>5801</v>
      </c>
      <c r="AX107" s="312" t="s">
        <v>6121</v>
      </c>
      <c r="AY107" s="312" t="s">
        <v>6121</v>
      </c>
      <c r="AZ107" s="21">
        <f t="shared" si="28"/>
        <v>19.049999999999997</v>
      </c>
      <c r="BA107" s="312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7"/>
        <v>63.5</v>
      </c>
      <c r="BE107" s="21">
        <f>3.25*25.4</f>
        <v>82.55</v>
      </c>
      <c r="BF107" s="21">
        <f t="shared" si="23"/>
        <v>412.74999999999989</v>
      </c>
      <c r="BG107" s="312" t="s">
        <v>4417</v>
      </c>
      <c r="BH107" s="312" t="s">
        <v>4462</v>
      </c>
      <c r="BI107" s="312" t="s">
        <v>6196</v>
      </c>
      <c r="BJ107" s="312">
        <v>4</v>
      </c>
      <c r="BK107" s="312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314" t="s">
        <v>4532</v>
      </c>
      <c r="CN107" s="312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12" t="s">
        <v>4532</v>
      </c>
      <c r="CT107" s="58">
        <v>345</v>
      </c>
      <c r="CU107" s="21">
        <v>345.2</v>
      </c>
      <c r="CV107" s="58">
        <v>450</v>
      </c>
      <c r="CW107" s="33">
        <f t="shared" si="31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12" t="s">
        <v>4419</v>
      </c>
      <c r="DH107" s="312">
        <v>640</v>
      </c>
      <c r="DI107" s="32">
        <v>730</v>
      </c>
      <c r="DJ107" s="312">
        <v>800</v>
      </c>
      <c r="DK107" s="32">
        <v>940</v>
      </c>
      <c r="DL107" s="59">
        <v>200000</v>
      </c>
      <c r="DM107" s="149" t="s">
        <v>5830</v>
      </c>
      <c r="DN107" s="312" t="s">
        <v>4432</v>
      </c>
      <c r="DO107" s="301" t="s">
        <v>4562</v>
      </c>
    </row>
    <row r="108" spans="1:119" ht="16.2" thickBot="1">
      <c r="A108" s="14">
        <v>103</v>
      </c>
      <c r="B108" s="319"/>
      <c r="C108" s="319"/>
      <c r="D108" s="331"/>
      <c r="E108" s="331"/>
      <c r="F108" s="319"/>
      <c r="G108" s="319"/>
      <c r="H108" s="319"/>
      <c r="I108" s="319"/>
      <c r="J108" s="284" t="s">
        <v>4546</v>
      </c>
      <c r="K108" s="310" t="s">
        <v>4380</v>
      </c>
      <c r="L108" s="313" t="s">
        <v>5786</v>
      </c>
      <c r="M108" s="310" t="s">
        <v>4548</v>
      </c>
      <c r="N108" s="313" t="s">
        <v>4703</v>
      </c>
      <c r="O108" s="14" t="s">
        <v>4503</v>
      </c>
      <c r="P108" s="313" t="s">
        <v>4417</v>
      </c>
      <c r="Q108" s="313" t="s">
        <v>4417</v>
      </c>
      <c r="R108" s="313" t="s">
        <v>4417</v>
      </c>
      <c r="S108" s="313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13" t="s">
        <v>4417</v>
      </c>
      <c r="Y108" s="313" t="s">
        <v>5786</v>
      </c>
      <c r="Z108" s="313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310" t="s">
        <v>4807</v>
      </c>
      <c r="AK108" s="23">
        <f>23*25.4</f>
        <v>584.19999999999993</v>
      </c>
      <c r="AL108" s="23">
        <f t="shared" si="29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0"/>
        <v>382996525.04624367</v>
      </c>
      <c r="AQ108" s="14">
        <v>1594762</v>
      </c>
      <c r="AR108" s="23">
        <f>0.507*25.4</f>
        <v>12.877799999999999</v>
      </c>
      <c r="AS108" s="23">
        <f t="shared" si="21"/>
        <v>152.39999999999998</v>
      </c>
      <c r="AT108" s="23">
        <f t="shared" si="22"/>
        <v>584.19999999999993</v>
      </c>
      <c r="AU108" s="313">
        <v>0</v>
      </c>
      <c r="AV108" s="313">
        <v>0</v>
      </c>
      <c r="AW108" s="310" t="s">
        <v>5801</v>
      </c>
      <c r="AX108" s="313" t="s">
        <v>6121</v>
      </c>
      <c r="AY108" s="313" t="s">
        <v>6121</v>
      </c>
      <c r="AZ108" s="23">
        <f t="shared" si="28"/>
        <v>19.049999999999997</v>
      </c>
      <c r="BA108" s="313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7"/>
        <v>63.5</v>
      </c>
      <c r="BE108" s="23">
        <f>3.25*25.4</f>
        <v>82.55</v>
      </c>
      <c r="BF108" s="23">
        <f t="shared" si="23"/>
        <v>412.74999999999989</v>
      </c>
      <c r="BG108" s="313" t="s">
        <v>4417</v>
      </c>
      <c r="BH108" s="313" t="s">
        <v>4462</v>
      </c>
      <c r="BI108" s="313" t="s">
        <v>6196</v>
      </c>
      <c r="BJ108" s="313">
        <v>4</v>
      </c>
      <c r="BK108" s="313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310" t="s">
        <v>4532</v>
      </c>
      <c r="CN108" s="313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13" t="s">
        <v>4532</v>
      </c>
      <c r="CT108" s="85">
        <v>345</v>
      </c>
      <c r="CU108" s="23">
        <v>345.2</v>
      </c>
      <c r="CV108" s="85">
        <v>450</v>
      </c>
      <c r="CW108" s="35">
        <f t="shared" si="31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13" t="s">
        <v>4419</v>
      </c>
      <c r="DH108" s="313">
        <v>640</v>
      </c>
      <c r="DI108" s="34">
        <v>730</v>
      </c>
      <c r="DJ108" s="313">
        <v>800</v>
      </c>
      <c r="DK108" s="34">
        <v>940</v>
      </c>
      <c r="DL108" s="75">
        <v>200000</v>
      </c>
      <c r="DM108" s="150" t="s">
        <v>5830</v>
      </c>
      <c r="DN108" s="313" t="s">
        <v>4432</v>
      </c>
      <c r="DO108" s="301" t="s">
        <v>4562</v>
      </c>
    </row>
    <row r="109" spans="1:119" ht="15.6" customHeight="1">
      <c r="A109" s="18">
        <v>104</v>
      </c>
      <c r="B109" s="318">
        <v>11</v>
      </c>
      <c r="C109" s="318">
        <v>1985</v>
      </c>
      <c r="D109" s="330" t="s">
        <v>4509</v>
      </c>
      <c r="E109" s="330" t="s">
        <v>4862</v>
      </c>
      <c r="F109" s="318">
        <v>6</v>
      </c>
      <c r="G109" s="318" t="s">
        <v>5900</v>
      </c>
      <c r="H109" s="318" t="s">
        <v>5896</v>
      </c>
      <c r="I109" s="318" t="s">
        <v>6211</v>
      </c>
      <c r="J109" s="285" t="s">
        <v>4508</v>
      </c>
      <c r="K109" s="314" t="s">
        <v>4380</v>
      </c>
      <c r="L109" s="312" t="s">
        <v>5786</v>
      </c>
      <c r="M109" s="309" t="s">
        <v>4504</v>
      </c>
      <c r="N109" s="311" t="s">
        <v>4746</v>
      </c>
      <c r="O109" s="18" t="s">
        <v>4503</v>
      </c>
      <c r="P109" s="312" t="s">
        <v>4417</v>
      </c>
      <c r="Q109" s="312" t="s">
        <v>4417</v>
      </c>
      <c r="R109" s="312" t="s">
        <v>6156</v>
      </c>
      <c r="S109" s="312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12" t="s">
        <v>4417</v>
      </c>
      <c r="Y109" s="312" t="s">
        <v>5786</v>
      </c>
      <c r="Z109" s="312" t="s">
        <v>4555</v>
      </c>
      <c r="AA109" s="18">
        <v>10</v>
      </c>
      <c r="AB109" s="223">
        <v>0</v>
      </c>
      <c r="AC109" s="139">
        <v>0</v>
      </c>
      <c r="AD109" s="314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14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14" t="s">
        <v>5801</v>
      </c>
      <c r="AX109" s="58" t="s">
        <v>6121</v>
      </c>
      <c r="AY109" s="312">
        <v>25</v>
      </c>
      <c r="AZ109" s="312">
        <v>20</v>
      </c>
      <c r="BA109" s="312">
        <f t="shared" ref="BA109:BA131" si="32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12" t="s">
        <v>6196</v>
      </c>
      <c r="BI109" s="312" t="s">
        <v>6196</v>
      </c>
      <c r="BJ109" s="312">
        <v>2</v>
      </c>
      <c r="BK109" s="312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12">
        <v>8.8000000000000007</v>
      </c>
      <c r="DH109" s="312">
        <v>640</v>
      </c>
      <c r="DI109" s="32">
        <v>730</v>
      </c>
      <c r="DJ109" s="312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300" t="s">
        <v>4562</v>
      </c>
    </row>
    <row r="110" spans="1:119">
      <c r="A110" s="18">
        <v>105</v>
      </c>
      <c r="B110" s="318"/>
      <c r="C110" s="318"/>
      <c r="D110" s="330"/>
      <c r="E110" s="330"/>
      <c r="F110" s="318"/>
      <c r="G110" s="318"/>
      <c r="H110" s="318"/>
      <c r="I110" s="318"/>
      <c r="J110" s="285" t="s">
        <v>4395</v>
      </c>
      <c r="K110" s="314" t="s">
        <v>4380</v>
      </c>
      <c r="L110" s="312" t="s">
        <v>5786</v>
      </c>
      <c r="M110" s="314" t="s">
        <v>4504</v>
      </c>
      <c r="N110" s="312" t="s">
        <v>4746</v>
      </c>
      <c r="O110" s="18" t="s">
        <v>4503</v>
      </c>
      <c r="P110" s="312" t="s">
        <v>4417</v>
      </c>
      <c r="Q110" s="312" t="s">
        <v>4417</v>
      </c>
      <c r="R110" s="312" t="s">
        <v>6156</v>
      </c>
      <c r="S110" s="312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12" t="s">
        <v>4417</v>
      </c>
      <c r="Y110" s="312" t="s">
        <v>5786</v>
      </c>
      <c r="Z110" s="312" t="s">
        <v>4555</v>
      </c>
      <c r="AA110" s="18">
        <v>10</v>
      </c>
      <c r="AB110" s="223">
        <v>0</v>
      </c>
      <c r="AC110" s="139">
        <v>0</v>
      </c>
      <c r="AD110" s="314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14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14" t="s">
        <v>5801</v>
      </c>
      <c r="AX110" s="58" t="s">
        <v>6121</v>
      </c>
      <c r="AY110" s="312">
        <v>25</v>
      </c>
      <c r="AZ110" s="312">
        <v>20</v>
      </c>
      <c r="BA110" s="312">
        <f t="shared" si="32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12" t="s">
        <v>4462</v>
      </c>
      <c r="BI110" s="312" t="s">
        <v>6196</v>
      </c>
      <c r="BJ110" s="312">
        <v>4</v>
      </c>
      <c r="BK110" s="312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12">
        <v>8.8000000000000007</v>
      </c>
      <c r="DH110" s="312">
        <v>640</v>
      </c>
      <c r="DI110" s="32">
        <v>730</v>
      </c>
      <c r="DJ110" s="312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301" t="s">
        <v>4562</v>
      </c>
    </row>
    <row r="111" spans="1:119">
      <c r="A111" s="18">
        <v>106</v>
      </c>
      <c r="B111" s="318"/>
      <c r="C111" s="318"/>
      <c r="D111" s="330"/>
      <c r="E111" s="330"/>
      <c r="F111" s="318"/>
      <c r="G111" s="318"/>
      <c r="H111" s="318"/>
      <c r="I111" s="318"/>
      <c r="J111" s="285" t="s">
        <v>4397</v>
      </c>
      <c r="K111" s="314" t="s">
        <v>4380</v>
      </c>
      <c r="L111" s="312" t="s">
        <v>5786</v>
      </c>
      <c r="M111" s="314" t="s">
        <v>4504</v>
      </c>
      <c r="N111" s="312" t="s">
        <v>4746</v>
      </c>
      <c r="O111" s="18" t="s">
        <v>4503</v>
      </c>
      <c r="P111" s="312" t="s">
        <v>4417</v>
      </c>
      <c r="Q111" s="312" t="s">
        <v>4417</v>
      </c>
      <c r="R111" s="312" t="s">
        <v>6156</v>
      </c>
      <c r="S111" s="312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12" t="s">
        <v>4417</v>
      </c>
      <c r="Y111" s="312" t="s">
        <v>5786</v>
      </c>
      <c r="Z111" s="312" t="s">
        <v>4555</v>
      </c>
      <c r="AA111" s="18">
        <v>10</v>
      </c>
      <c r="AB111" s="223">
        <v>0</v>
      </c>
      <c r="AC111" s="139">
        <v>0</v>
      </c>
      <c r="AD111" s="314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14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14" t="s">
        <v>5801</v>
      </c>
      <c r="AX111" s="58" t="s">
        <v>6121</v>
      </c>
      <c r="AY111" s="312">
        <v>25</v>
      </c>
      <c r="AZ111" s="312">
        <v>20</v>
      </c>
      <c r="BA111" s="312">
        <f t="shared" si="32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12" t="s">
        <v>4462</v>
      </c>
      <c r="BI111" s="312" t="s">
        <v>6196</v>
      </c>
      <c r="BJ111" s="312">
        <v>4</v>
      </c>
      <c r="BK111" s="312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12">
        <v>8.8000000000000007</v>
      </c>
      <c r="DH111" s="312">
        <v>640</v>
      </c>
      <c r="DI111" s="32">
        <v>730</v>
      </c>
      <c r="DJ111" s="312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301" t="s">
        <v>4562</v>
      </c>
    </row>
    <row r="112" spans="1:119">
      <c r="A112" s="18">
        <v>107</v>
      </c>
      <c r="B112" s="318"/>
      <c r="C112" s="318"/>
      <c r="D112" s="330"/>
      <c r="E112" s="330"/>
      <c r="F112" s="318"/>
      <c r="G112" s="318"/>
      <c r="H112" s="318"/>
      <c r="I112" s="318"/>
      <c r="J112" s="285" t="s">
        <v>4404</v>
      </c>
      <c r="K112" s="314" t="s">
        <v>4380</v>
      </c>
      <c r="L112" s="312" t="s">
        <v>5786</v>
      </c>
      <c r="M112" s="314" t="s">
        <v>4504</v>
      </c>
      <c r="N112" s="312" t="s">
        <v>4746</v>
      </c>
      <c r="O112" s="18" t="s">
        <v>4503</v>
      </c>
      <c r="P112" s="312" t="s">
        <v>4417</v>
      </c>
      <c r="Q112" s="312" t="s">
        <v>4417</v>
      </c>
      <c r="R112" s="312" t="s">
        <v>6156</v>
      </c>
      <c r="S112" s="312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12" t="s">
        <v>4417</v>
      </c>
      <c r="Y112" s="312" t="s">
        <v>5786</v>
      </c>
      <c r="Z112" s="312" t="s">
        <v>4555</v>
      </c>
      <c r="AA112" s="18">
        <v>10</v>
      </c>
      <c r="AB112" s="223">
        <v>0</v>
      </c>
      <c r="AC112" s="139">
        <v>0</v>
      </c>
      <c r="AD112" s="314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14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14" t="s">
        <v>5801</v>
      </c>
      <c r="AX112" s="58" t="s">
        <v>6121</v>
      </c>
      <c r="AY112" s="312">
        <v>25</v>
      </c>
      <c r="AZ112" s="312">
        <v>20</v>
      </c>
      <c r="BA112" s="312">
        <f t="shared" si="32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12" t="s">
        <v>4462</v>
      </c>
      <c r="BI112" s="312" t="s">
        <v>6196</v>
      </c>
      <c r="BJ112" s="312">
        <v>4</v>
      </c>
      <c r="BK112" s="312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12">
        <v>8.8000000000000007</v>
      </c>
      <c r="DH112" s="312">
        <v>640</v>
      </c>
      <c r="DI112" s="32">
        <v>730</v>
      </c>
      <c r="DJ112" s="312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301" t="s">
        <v>4562</v>
      </c>
    </row>
    <row r="113" spans="1:119">
      <c r="A113" s="18">
        <v>108</v>
      </c>
      <c r="B113" s="318"/>
      <c r="C113" s="318"/>
      <c r="D113" s="330"/>
      <c r="E113" s="330"/>
      <c r="F113" s="318"/>
      <c r="G113" s="318"/>
      <c r="H113" s="318"/>
      <c r="I113" s="318"/>
      <c r="J113" s="285" t="s">
        <v>4408</v>
      </c>
      <c r="K113" s="314" t="s">
        <v>4380</v>
      </c>
      <c r="L113" s="312" t="s">
        <v>5786</v>
      </c>
      <c r="M113" s="314" t="s">
        <v>4504</v>
      </c>
      <c r="N113" s="312" t="s">
        <v>4746</v>
      </c>
      <c r="O113" s="18" t="s">
        <v>4503</v>
      </c>
      <c r="P113" s="312" t="s">
        <v>4417</v>
      </c>
      <c r="Q113" s="312" t="s">
        <v>4417</v>
      </c>
      <c r="R113" s="312" t="s">
        <v>6156</v>
      </c>
      <c r="S113" s="312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12" t="s">
        <v>4417</v>
      </c>
      <c r="Y113" s="312" t="s">
        <v>5786</v>
      </c>
      <c r="Z113" s="312" t="s">
        <v>4555</v>
      </c>
      <c r="AA113" s="18">
        <v>10</v>
      </c>
      <c r="AB113" s="223">
        <v>0</v>
      </c>
      <c r="AC113" s="139">
        <v>0</v>
      </c>
      <c r="AD113" s="314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14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14" t="s">
        <v>5801</v>
      </c>
      <c r="AX113" s="58" t="s">
        <v>6121</v>
      </c>
      <c r="AY113" s="312">
        <v>25</v>
      </c>
      <c r="AZ113" s="312">
        <v>20</v>
      </c>
      <c r="BA113" s="312">
        <f t="shared" si="32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12" t="s">
        <v>4462</v>
      </c>
      <c r="BI113" s="312" t="s">
        <v>6196</v>
      </c>
      <c r="BJ113" s="312">
        <v>4</v>
      </c>
      <c r="BK113" s="312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12">
        <v>8.8000000000000007</v>
      </c>
      <c r="DH113" s="312">
        <v>640</v>
      </c>
      <c r="DI113" s="32">
        <v>730</v>
      </c>
      <c r="DJ113" s="312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301" t="s">
        <v>4562</v>
      </c>
    </row>
    <row r="114" spans="1:119" ht="16.2" thickBot="1">
      <c r="A114" s="18">
        <v>109</v>
      </c>
      <c r="B114" s="319"/>
      <c r="C114" s="319"/>
      <c r="D114" s="331"/>
      <c r="E114" s="331"/>
      <c r="F114" s="318"/>
      <c r="G114" s="319"/>
      <c r="H114" s="319"/>
      <c r="I114" s="319"/>
      <c r="J114" s="285" t="s">
        <v>4409</v>
      </c>
      <c r="K114" s="314" t="s">
        <v>4380</v>
      </c>
      <c r="L114" s="312" t="s">
        <v>5786</v>
      </c>
      <c r="M114" s="314" t="s">
        <v>4504</v>
      </c>
      <c r="N114" s="312" t="s">
        <v>4746</v>
      </c>
      <c r="O114" s="18" t="s">
        <v>4503</v>
      </c>
      <c r="P114" s="312" t="s">
        <v>4417</v>
      </c>
      <c r="Q114" s="312" t="s">
        <v>4417</v>
      </c>
      <c r="R114" s="312" t="s">
        <v>6156</v>
      </c>
      <c r="S114" s="312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12" t="s">
        <v>4417</v>
      </c>
      <c r="Y114" s="312" t="s">
        <v>5786</v>
      </c>
      <c r="Z114" s="312" t="s">
        <v>4555</v>
      </c>
      <c r="AA114" s="18">
        <v>10</v>
      </c>
      <c r="AB114" s="223">
        <v>0</v>
      </c>
      <c r="AC114" s="139">
        <v>0</v>
      </c>
      <c r="AD114" s="314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14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14" t="s">
        <v>5801</v>
      </c>
      <c r="AX114" s="58" t="s">
        <v>6121</v>
      </c>
      <c r="AY114" s="312">
        <v>25</v>
      </c>
      <c r="AZ114" s="312">
        <v>20</v>
      </c>
      <c r="BA114" s="312">
        <f t="shared" si="32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12" t="s">
        <v>4462</v>
      </c>
      <c r="BI114" s="312" t="s">
        <v>6196</v>
      </c>
      <c r="BJ114" s="312">
        <v>4</v>
      </c>
      <c r="BK114" s="312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12">
        <v>8.8000000000000007</v>
      </c>
      <c r="DH114" s="312">
        <v>640</v>
      </c>
      <c r="DI114" s="32">
        <v>730</v>
      </c>
      <c r="DJ114" s="312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302" t="s">
        <v>4562</v>
      </c>
    </row>
    <row r="115" spans="1:119" ht="15.6" customHeight="1">
      <c r="A115" s="17">
        <v>110</v>
      </c>
      <c r="B115" s="318">
        <v>12</v>
      </c>
      <c r="C115" s="318">
        <v>1986</v>
      </c>
      <c r="D115" s="330" t="s">
        <v>4664</v>
      </c>
      <c r="E115" s="330" t="s">
        <v>4861</v>
      </c>
      <c r="F115" s="317">
        <v>4</v>
      </c>
      <c r="G115" s="318" t="s">
        <v>5900</v>
      </c>
      <c r="H115" s="318" t="s">
        <v>5896</v>
      </c>
      <c r="I115" s="318" t="s">
        <v>5681</v>
      </c>
      <c r="J115" s="283" t="s">
        <v>4454</v>
      </c>
      <c r="K115" s="309" t="s">
        <v>4380</v>
      </c>
      <c r="L115" s="30" t="s">
        <v>5786</v>
      </c>
      <c r="M115" s="309" t="s">
        <v>4504</v>
      </c>
      <c r="N115" s="311" t="s">
        <v>4746</v>
      </c>
      <c r="O115" s="17" t="s">
        <v>4503</v>
      </c>
      <c r="P115" s="311" t="s">
        <v>4417</v>
      </c>
      <c r="Q115" s="311" t="s">
        <v>4417</v>
      </c>
      <c r="R115" s="311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311" t="s">
        <v>4417</v>
      </c>
      <c r="Y115" s="311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30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9" t="s">
        <v>5801</v>
      </c>
      <c r="AX115" s="311" t="s">
        <v>4745</v>
      </c>
      <c r="AY115" s="311">
        <v>0</v>
      </c>
      <c r="AZ115" s="311">
        <v>20</v>
      </c>
      <c r="BA115" s="311">
        <f t="shared" si="32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11" t="s">
        <v>4462</v>
      </c>
      <c r="BI115" s="311" t="s">
        <v>6196</v>
      </c>
      <c r="BJ115" s="311">
        <v>4</v>
      </c>
      <c r="BK115" s="311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311" t="s">
        <v>4419</v>
      </c>
      <c r="DH115" s="311">
        <v>640</v>
      </c>
      <c r="DI115" s="30">
        <v>730</v>
      </c>
      <c r="DJ115" s="311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300" t="s">
        <v>4562</v>
      </c>
    </row>
    <row r="116" spans="1:119">
      <c r="A116" s="18">
        <v>111</v>
      </c>
      <c r="B116" s="318"/>
      <c r="C116" s="318"/>
      <c r="D116" s="330"/>
      <c r="E116" s="330"/>
      <c r="F116" s="318"/>
      <c r="G116" s="318"/>
      <c r="H116" s="318"/>
      <c r="I116" s="318"/>
      <c r="J116" s="285" t="s">
        <v>4455</v>
      </c>
      <c r="K116" s="314" t="s">
        <v>4380</v>
      </c>
      <c r="L116" s="32" t="s">
        <v>5786</v>
      </c>
      <c r="M116" s="314" t="s">
        <v>4504</v>
      </c>
      <c r="N116" s="312" t="s">
        <v>4746</v>
      </c>
      <c r="O116" s="18" t="s">
        <v>4503</v>
      </c>
      <c r="P116" s="312" t="s">
        <v>4417</v>
      </c>
      <c r="Q116" s="312" t="s">
        <v>4417</v>
      </c>
      <c r="R116" s="312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12" t="s">
        <v>4417</v>
      </c>
      <c r="Y116" s="312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314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14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14" t="s">
        <v>5801</v>
      </c>
      <c r="AX116" s="312" t="s">
        <v>4745</v>
      </c>
      <c r="AY116" s="312">
        <v>0</v>
      </c>
      <c r="AZ116" s="312">
        <v>20</v>
      </c>
      <c r="BA116" s="312">
        <f t="shared" si="32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12" t="s">
        <v>4462</v>
      </c>
      <c r="BI116" s="312" t="s">
        <v>6196</v>
      </c>
      <c r="BJ116" s="312">
        <v>4</v>
      </c>
      <c r="BK116" s="312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12" t="s">
        <v>4419</v>
      </c>
      <c r="DH116" s="312">
        <v>640</v>
      </c>
      <c r="DI116" s="32">
        <v>730</v>
      </c>
      <c r="DJ116" s="312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301" t="s">
        <v>4562</v>
      </c>
    </row>
    <row r="117" spans="1:119">
      <c r="A117" s="18">
        <v>112</v>
      </c>
      <c r="B117" s="318"/>
      <c r="C117" s="318"/>
      <c r="D117" s="330"/>
      <c r="E117" s="330"/>
      <c r="F117" s="318"/>
      <c r="G117" s="318"/>
      <c r="H117" s="318"/>
      <c r="I117" s="318"/>
      <c r="J117" s="285" t="s">
        <v>4456</v>
      </c>
      <c r="K117" s="314" t="s">
        <v>4380</v>
      </c>
      <c r="L117" s="32" t="s">
        <v>5786</v>
      </c>
      <c r="M117" s="314" t="s">
        <v>4504</v>
      </c>
      <c r="N117" s="312" t="s">
        <v>4746</v>
      </c>
      <c r="O117" s="18" t="s">
        <v>4503</v>
      </c>
      <c r="P117" s="312" t="s">
        <v>4417</v>
      </c>
      <c r="Q117" s="312" t="s">
        <v>4417</v>
      </c>
      <c r="R117" s="312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12" t="s">
        <v>4417</v>
      </c>
      <c r="Y117" s="312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314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14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14" t="s">
        <v>5801</v>
      </c>
      <c r="AX117" s="312" t="s">
        <v>4745</v>
      </c>
      <c r="AY117" s="312">
        <v>0</v>
      </c>
      <c r="AZ117" s="312">
        <v>20</v>
      </c>
      <c r="BA117" s="312">
        <f t="shared" si="32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12" t="s">
        <v>4462</v>
      </c>
      <c r="BI117" s="312" t="s">
        <v>6196</v>
      </c>
      <c r="BJ117" s="312">
        <v>4</v>
      </c>
      <c r="BK117" s="312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12" t="s">
        <v>4419</v>
      </c>
      <c r="DH117" s="312">
        <v>640</v>
      </c>
      <c r="DI117" s="32">
        <v>730</v>
      </c>
      <c r="DJ117" s="312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301" t="s">
        <v>4562</v>
      </c>
    </row>
    <row r="118" spans="1:119" ht="16.2" thickBot="1">
      <c r="A118" s="18">
        <v>113</v>
      </c>
      <c r="B118" s="319"/>
      <c r="C118" s="319"/>
      <c r="D118" s="331"/>
      <c r="E118" s="331"/>
      <c r="F118" s="319"/>
      <c r="G118" s="319"/>
      <c r="H118" s="319"/>
      <c r="I118" s="319"/>
      <c r="J118" s="285" t="s">
        <v>4457</v>
      </c>
      <c r="K118" s="314" t="s">
        <v>4380</v>
      </c>
      <c r="L118" s="32" t="s">
        <v>5786</v>
      </c>
      <c r="M118" s="314" t="s">
        <v>4504</v>
      </c>
      <c r="N118" s="312" t="s">
        <v>4746</v>
      </c>
      <c r="O118" s="18" t="s">
        <v>4503</v>
      </c>
      <c r="P118" s="312" t="s">
        <v>4417</v>
      </c>
      <c r="Q118" s="312" t="s">
        <v>4417</v>
      </c>
      <c r="R118" s="312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12" t="s">
        <v>4417</v>
      </c>
      <c r="Y118" s="312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314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14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14" t="s">
        <v>5801</v>
      </c>
      <c r="AX118" s="312" t="s">
        <v>4745</v>
      </c>
      <c r="AY118" s="312">
        <v>0</v>
      </c>
      <c r="AZ118" s="312">
        <v>20</v>
      </c>
      <c r="BA118" s="312">
        <f t="shared" si="32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12" t="s">
        <v>4462</v>
      </c>
      <c r="BI118" s="312" t="s">
        <v>6196</v>
      </c>
      <c r="BJ118" s="312">
        <v>4</v>
      </c>
      <c r="BK118" s="312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12" t="s">
        <v>4419</v>
      </c>
      <c r="DH118" s="312">
        <v>640</v>
      </c>
      <c r="DI118" s="32">
        <v>730</v>
      </c>
      <c r="DJ118" s="312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301" t="s">
        <v>4562</v>
      </c>
    </row>
    <row r="119" spans="1:119" ht="15.6" customHeight="1">
      <c r="A119" s="17">
        <v>114</v>
      </c>
      <c r="B119" s="317">
        <v>13</v>
      </c>
      <c r="C119" s="317">
        <v>1986</v>
      </c>
      <c r="D119" s="329" t="s">
        <v>4665</v>
      </c>
      <c r="E119" s="329" t="s">
        <v>4860</v>
      </c>
      <c r="F119" s="317">
        <v>3</v>
      </c>
      <c r="G119" s="317" t="s">
        <v>5902</v>
      </c>
      <c r="H119" s="317" t="s">
        <v>5901</v>
      </c>
      <c r="I119" s="317" t="s">
        <v>6215</v>
      </c>
      <c r="J119" s="283" t="s">
        <v>4472</v>
      </c>
      <c r="K119" s="309" t="s">
        <v>4380</v>
      </c>
      <c r="L119" s="311" t="s">
        <v>5786</v>
      </c>
      <c r="M119" s="309" t="s">
        <v>4505</v>
      </c>
      <c r="N119" s="311" t="s">
        <v>4699</v>
      </c>
      <c r="O119" s="17" t="s">
        <v>4503</v>
      </c>
      <c r="P119" s="311" t="s">
        <v>4417</v>
      </c>
      <c r="Q119" s="311" t="s">
        <v>4417</v>
      </c>
      <c r="R119" s="311" t="s">
        <v>4417</v>
      </c>
      <c r="S119" s="311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311" t="s">
        <v>4417</v>
      </c>
      <c r="Y119" s="311" t="s">
        <v>5786</v>
      </c>
      <c r="Z119" s="311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30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9" t="s">
        <v>5801</v>
      </c>
      <c r="AX119" s="63" t="s">
        <v>6121</v>
      </c>
      <c r="AY119" s="311">
        <v>40</v>
      </c>
      <c r="AZ119" s="311">
        <v>20</v>
      </c>
      <c r="BA119" s="311">
        <f t="shared" si="32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11" t="s">
        <v>6196</v>
      </c>
      <c r="BI119" s="311" t="s">
        <v>6196</v>
      </c>
      <c r="BJ119" s="311">
        <v>2</v>
      </c>
      <c r="BK119" s="311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311">
        <f>(436+458)/2</f>
        <v>447</v>
      </c>
      <c r="CR119" s="64">
        <v>200000</v>
      </c>
      <c r="CS119" s="30" t="s">
        <v>4446</v>
      </c>
      <c r="CT119" s="70">
        <v>235</v>
      </c>
      <c r="CU119" s="311">
        <v>356</v>
      </c>
      <c r="CV119" s="63">
        <v>360</v>
      </c>
      <c r="CW119" s="311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311">
        <v>4.8</v>
      </c>
      <c r="DH119" s="311">
        <v>320</v>
      </c>
      <c r="DI119" s="30">
        <v>360</v>
      </c>
      <c r="DJ119" s="311">
        <v>400</v>
      </c>
      <c r="DK119" s="30">
        <v>440</v>
      </c>
      <c r="DL119" s="74">
        <v>200000</v>
      </c>
      <c r="DM119" s="28" t="s">
        <v>12</v>
      </c>
      <c r="DN119" s="311" t="s">
        <v>6045</v>
      </c>
      <c r="DO119" s="300" t="s">
        <v>4562</v>
      </c>
    </row>
    <row r="120" spans="1:119">
      <c r="A120" s="18">
        <v>115</v>
      </c>
      <c r="B120" s="318"/>
      <c r="C120" s="318"/>
      <c r="D120" s="330"/>
      <c r="E120" s="330"/>
      <c r="F120" s="318"/>
      <c r="G120" s="318"/>
      <c r="H120" s="318"/>
      <c r="I120" s="318"/>
      <c r="J120" s="285" t="s">
        <v>4473</v>
      </c>
      <c r="K120" s="314" t="s">
        <v>4380</v>
      </c>
      <c r="L120" s="312" t="s">
        <v>5786</v>
      </c>
      <c r="M120" s="314" t="s">
        <v>4505</v>
      </c>
      <c r="N120" s="312" t="s">
        <v>4699</v>
      </c>
      <c r="O120" s="18" t="s">
        <v>4503</v>
      </c>
      <c r="P120" s="312" t="s">
        <v>4417</v>
      </c>
      <c r="Q120" s="312" t="s">
        <v>4417</v>
      </c>
      <c r="R120" s="312" t="s">
        <v>4417</v>
      </c>
      <c r="S120" s="312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12" t="s">
        <v>4417</v>
      </c>
      <c r="Y120" s="312" t="s">
        <v>5786</v>
      </c>
      <c r="Z120" s="312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314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14" t="s">
        <v>5801</v>
      </c>
      <c r="AX120" s="58" t="s">
        <v>6121</v>
      </c>
      <c r="AY120" s="312">
        <v>40</v>
      </c>
      <c r="AZ120" s="312">
        <v>20</v>
      </c>
      <c r="BA120" s="312">
        <f t="shared" si="32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12" t="s">
        <v>4462</v>
      </c>
      <c r="BI120" s="312" t="s">
        <v>6196</v>
      </c>
      <c r="BJ120" s="312">
        <v>4</v>
      </c>
      <c r="BK120" s="312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12">
        <f>(436+458)/2</f>
        <v>447</v>
      </c>
      <c r="CR120" s="65">
        <v>200000</v>
      </c>
      <c r="CS120" s="32" t="s">
        <v>4446</v>
      </c>
      <c r="CT120" s="46">
        <v>235</v>
      </c>
      <c r="CU120" s="312">
        <v>356</v>
      </c>
      <c r="CV120" s="58">
        <v>360</v>
      </c>
      <c r="CW120" s="312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12">
        <v>4.8</v>
      </c>
      <c r="DH120" s="312">
        <v>320</v>
      </c>
      <c r="DI120" s="32">
        <v>360</v>
      </c>
      <c r="DJ120" s="312">
        <v>400</v>
      </c>
      <c r="DK120" s="32">
        <v>440</v>
      </c>
      <c r="DL120" s="59">
        <v>200000</v>
      </c>
      <c r="DM120" s="29" t="s">
        <v>12</v>
      </c>
      <c r="DN120" s="312" t="s">
        <v>6045</v>
      </c>
      <c r="DO120" s="301" t="s">
        <v>4562</v>
      </c>
    </row>
    <row r="121" spans="1:119" ht="16.2" thickBot="1">
      <c r="A121" s="14">
        <v>116</v>
      </c>
      <c r="B121" s="319"/>
      <c r="C121" s="319"/>
      <c r="D121" s="331"/>
      <c r="E121" s="331"/>
      <c r="F121" s="319"/>
      <c r="G121" s="319"/>
      <c r="H121" s="319"/>
      <c r="I121" s="319"/>
      <c r="J121" s="284" t="s">
        <v>4474</v>
      </c>
      <c r="K121" s="310" t="s">
        <v>4380</v>
      </c>
      <c r="L121" s="313" t="s">
        <v>5786</v>
      </c>
      <c r="M121" s="310" t="s">
        <v>4505</v>
      </c>
      <c r="N121" s="313" t="s">
        <v>4699</v>
      </c>
      <c r="O121" s="14" t="s">
        <v>4503</v>
      </c>
      <c r="P121" s="313" t="s">
        <v>4417</v>
      </c>
      <c r="Q121" s="313" t="s">
        <v>4417</v>
      </c>
      <c r="R121" s="313" t="s">
        <v>4417</v>
      </c>
      <c r="S121" s="313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13" t="s">
        <v>4417</v>
      </c>
      <c r="Y121" s="313" t="s">
        <v>5786</v>
      </c>
      <c r="Z121" s="313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31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10" t="s">
        <v>5801</v>
      </c>
      <c r="AX121" s="85" t="s">
        <v>6121</v>
      </c>
      <c r="AY121" s="313">
        <v>40</v>
      </c>
      <c r="AZ121" s="313">
        <v>20</v>
      </c>
      <c r="BA121" s="313">
        <f t="shared" si="32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13" t="s">
        <v>4462</v>
      </c>
      <c r="BI121" s="313" t="s">
        <v>4462</v>
      </c>
      <c r="BJ121" s="313">
        <v>4</v>
      </c>
      <c r="BK121" s="313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13">
        <f>(436+458)/2</f>
        <v>447</v>
      </c>
      <c r="CR121" s="68">
        <v>200000</v>
      </c>
      <c r="CS121" s="34" t="s">
        <v>4446</v>
      </c>
      <c r="CT121" s="83">
        <v>235</v>
      </c>
      <c r="CU121" s="313">
        <v>356</v>
      </c>
      <c r="CV121" s="85">
        <v>360</v>
      </c>
      <c r="CW121" s="313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13">
        <v>4.8</v>
      </c>
      <c r="DH121" s="313">
        <v>320</v>
      </c>
      <c r="DI121" s="34">
        <v>360</v>
      </c>
      <c r="DJ121" s="313">
        <v>400</v>
      </c>
      <c r="DK121" s="34">
        <v>440</v>
      </c>
      <c r="DL121" s="75">
        <v>200000</v>
      </c>
      <c r="DM121" s="27" t="s">
        <v>4754</v>
      </c>
      <c r="DN121" s="312" t="s">
        <v>6045</v>
      </c>
      <c r="DO121" s="302" t="s">
        <v>4562</v>
      </c>
    </row>
    <row r="122" spans="1:119" ht="15.6" customHeight="1">
      <c r="A122" s="17">
        <v>117</v>
      </c>
      <c r="B122" s="317">
        <v>14</v>
      </c>
      <c r="C122" s="317">
        <v>1987</v>
      </c>
      <c r="D122" s="329" t="s">
        <v>4476</v>
      </c>
      <c r="E122" s="329" t="s">
        <v>4859</v>
      </c>
      <c r="F122" s="317">
        <v>6</v>
      </c>
      <c r="G122" s="317" t="s">
        <v>5900</v>
      </c>
      <c r="H122" s="317" t="s">
        <v>5896</v>
      </c>
      <c r="I122" s="317" t="s">
        <v>6216</v>
      </c>
      <c r="J122" s="283" t="s">
        <v>4411</v>
      </c>
      <c r="K122" s="309" t="s">
        <v>4380</v>
      </c>
      <c r="L122" s="311" t="s">
        <v>5786</v>
      </c>
      <c r="M122" s="309" t="s">
        <v>4505</v>
      </c>
      <c r="N122" s="311" t="s">
        <v>4697</v>
      </c>
      <c r="O122" s="17" t="s">
        <v>4503</v>
      </c>
      <c r="P122" s="311" t="s">
        <v>4417</v>
      </c>
      <c r="Q122" s="311" t="s">
        <v>4417</v>
      </c>
      <c r="R122" s="311" t="s">
        <v>6156</v>
      </c>
      <c r="S122" s="311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311" t="s">
        <v>4417</v>
      </c>
      <c r="Y122" s="311" t="s">
        <v>5786</v>
      </c>
      <c r="Z122" s="311" t="s">
        <v>4555</v>
      </c>
      <c r="AA122" s="17">
        <v>10</v>
      </c>
      <c r="AB122" s="224">
        <v>0</v>
      </c>
      <c r="AC122" s="151">
        <v>0</v>
      </c>
      <c r="AD122" s="30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3">(AT122-AK122)-AV122</f>
        <v>15.399999999999977</v>
      </c>
      <c r="AV122" s="16">
        <v>15</v>
      </c>
      <c r="AW122" s="309" t="s">
        <v>5801</v>
      </c>
      <c r="AX122" s="63" t="s">
        <v>6121</v>
      </c>
      <c r="AY122" s="311">
        <v>25</v>
      </c>
      <c r="AZ122" s="311">
        <v>20</v>
      </c>
      <c r="BA122" s="311">
        <f t="shared" si="32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11" t="s">
        <v>4462</v>
      </c>
      <c r="BI122" s="311" t="s">
        <v>6196</v>
      </c>
      <c r="BJ122" s="311">
        <v>4</v>
      </c>
      <c r="BK122" s="311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311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311">
        <v>8.8000000000000007</v>
      </c>
      <c r="DH122" s="311">
        <v>640</v>
      </c>
      <c r="DI122" s="30">
        <v>730</v>
      </c>
      <c r="DJ122" s="311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300" t="s">
        <v>4562</v>
      </c>
    </row>
    <row r="123" spans="1:119">
      <c r="A123" s="18">
        <v>118</v>
      </c>
      <c r="B123" s="318"/>
      <c r="C123" s="318"/>
      <c r="D123" s="330"/>
      <c r="E123" s="330"/>
      <c r="F123" s="318"/>
      <c r="G123" s="318"/>
      <c r="H123" s="318"/>
      <c r="I123" s="318"/>
      <c r="J123" s="285" t="s">
        <v>4412</v>
      </c>
      <c r="K123" s="314" t="s">
        <v>4380</v>
      </c>
      <c r="L123" s="312" t="s">
        <v>5786</v>
      </c>
      <c r="M123" s="314" t="s">
        <v>4505</v>
      </c>
      <c r="N123" s="312" t="s">
        <v>4697</v>
      </c>
      <c r="O123" s="18" t="s">
        <v>4503</v>
      </c>
      <c r="P123" s="312" t="s">
        <v>4417</v>
      </c>
      <c r="Q123" s="312" t="s">
        <v>4417</v>
      </c>
      <c r="R123" s="312" t="s">
        <v>6156</v>
      </c>
      <c r="S123" s="312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12" t="s">
        <v>4417</v>
      </c>
      <c r="Y123" s="312" t="s">
        <v>5786</v>
      </c>
      <c r="Z123" s="312" t="s">
        <v>4555</v>
      </c>
      <c r="AA123" s="18">
        <v>10</v>
      </c>
      <c r="AB123" s="223">
        <v>0</v>
      </c>
      <c r="AC123" s="139">
        <v>0</v>
      </c>
      <c r="AD123" s="314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14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3"/>
        <v>15.399999999999977</v>
      </c>
      <c r="AV123" s="21">
        <v>15</v>
      </c>
      <c r="AW123" s="314" t="s">
        <v>5801</v>
      </c>
      <c r="AX123" s="58" t="s">
        <v>6121</v>
      </c>
      <c r="AY123" s="312">
        <v>25</v>
      </c>
      <c r="AZ123" s="312">
        <v>20</v>
      </c>
      <c r="BA123" s="312">
        <f t="shared" si="32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12" t="s">
        <v>4462</v>
      </c>
      <c r="BI123" s="312" t="s">
        <v>6196</v>
      </c>
      <c r="BJ123" s="312">
        <v>4</v>
      </c>
      <c r="BK123" s="312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12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12">
        <v>8.8000000000000007</v>
      </c>
      <c r="DH123" s="312">
        <v>640</v>
      </c>
      <c r="DI123" s="32">
        <v>730</v>
      </c>
      <c r="DJ123" s="312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301" t="s">
        <v>4562</v>
      </c>
    </row>
    <row r="124" spans="1:119">
      <c r="A124" s="18">
        <v>119</v>
      </c>
      <c r="B124" s="318"/>
      <c r="C124" s="318"/>
      <c r="D124" s="330"/>
      <c r="E124" s="330"/>
      <c r="F124" s="318"/>
      <c r="G124" s="318"/>
      <c r="H124" s="318"/>
      <c r="I124" s="318"/>
      <c r="J124" s="285" t="s">
        <v>4413</v>
      </c>
      <c r="K124" s="314" t="s">
        <v>4380</v>
      </c>
      <c r="L124" s="312" t="s">
        <v>5786</v>
      </c>
      <c r="M124" s="314" t="s">
        <v>4505</v>
      </c>
      <c r="N124" s="312" t="s">
        <v>4697</v>
      </c>
      <c r="O124" s="18" t="s">
        <v>4503</v>
      </c>
      <c r="P124" s="312" t="s">
        <v>4417</v>
      </c>
      <c r="Q124" s="312" t="s">
        <v>4417</v>
      </c>
      <c r="R124" s="312" t="s">
        <v>6156</v>
      </c>
      <c r="S124" s="312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12" t="s">
        <v>4417</v>
      </c>
      <c r="Y124" s="312" t="s">
        <v>5786</v>
      </c>
      <c r="Z124" s="312" t="s">
        <v>4555</v>
      </c>
      <c r="AA124" s="18">
        <v>10</v>
      </c>
      <c r="AB124" s="223">
        <v>0</v>
      </c>
      <c r="AC124" s="139">
        <v>0</v>
      </c>
      <c r="AD124" s="314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14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3"/>
        <v>15.399999999999977</v>
      </c>
      <c r="AV124" s="21">
        <v>15</v>
      </c>
      <c r="AW124" s="314" t="s">
        <v>5801</v>
      </c>
      <c r="AX124" s="58" t="s">
        <v>6121</v>
      </c>
      <c r="AY124" s="312">
        <v>25</v>
      </c>
      <c r="AZ124" s="312">
        <v>20</v>
      </c>
      <c r="BA124" s="312">
        <f t="shared" si="32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12" t="s">
        <v>4462</v>
      </c>
      <c r="BI124" s="312" t="s">
        <v>6196</v>
      </c>
      <c r="BJ124" s="312">
        <v>4</v>
      </c>
      <c r="BK124" s="312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12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12">
        <v>8.8000000000000007</v>
      </c>
      <c r="DH124" s="312">
        <v>640</v>
      </c>
      <c r="DI124" s="32">
        <v>730</v>
      </c>
      <c r="DJ124" s="312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301" t="s">
        <v>4562</v>
      </c>
    </row>
    <row r="125" spans="1:119">
      <c r="A125" s="18">
        <v>120</v>
      </c>
      <c r="B125" s="318"/>
      <c r="C125" s="318"/>
      <c r="D125" s="330"/>
      <c r="E125" s="330"/>
      <c r="F125" s="318"/>
      <c r="G125" s="318"/>
      <c r="H125" s="318"/>
      <c r="I125" s="318"/>
      <c r="J125" s="285" t="s">
        <v>4416</v>
      </c>
      <c r="K125" s="314" t="s">
        <v>4380</v>
      </c>
      <c r="L125" s="312" t="s">
        <v>5786</v>
      </c>
      <c r="M125" s="314" t="s">
        <v>4505</v>
      </c>
      <c r="N125" s="312" t="s">
        <v>4697</v>
      </c>
      <c r="O125" s="18" t="s">
        <v>4503</v>
      </c>
      <c r="P125" s="312" t="s">
        <v>4417</v>
      </c>
      <c r="Q125" s="312" t="s">
        <v>4417</v>
      </c>
      <c r="R125" s="312" t="s">
        <v>6156</v>
      </c>
      <c r="S125" s="312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12" t="s">
        <v>4417</v>
      </c>
      <c r="Y125" s="312" t="s">
        <v>5786</v>
      </c>
      <c r="Z125" s="312" t="s">
        <v>4555</v>
      </c>
      <c r="AA125" s="18">
        <v>10</v>
      </c>
      <c r="AB125" s="223">
        <v>0</v>
      </c>
      <c r="AC125" s="139">
        <v>0</v>
      </c>
      <c r="AD125" s="314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14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3"/>
        <v>15.399999999999977</v>
      </c>
      <c r="AV125" s="21">
        <v>15</v>
      </c>
      <c r="AW125" s="314" t="s">
        <v>5801</v>
      </c>
      <c r="AX125" s="58" t="s">
        <v>6121</v>
      </c>
      <c r="AY125" s="312">
        <v>100</v>
      </c>
      <c r="AZ125" s="312">
        <v>20</v>
      </c>
      <c r="BA125" s="312">
        <f t="shared" si="32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12" t="s">
        <v>4462</v>
      </c>
      <c r="BI125" s="312" t="s">
        <v>6196</v>
      </c>
      <c r="BJ125" s="312">
        <v>4</v>
      </c>
      <c r="BK125" s="312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12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12">
        <v>8.8000000000000007</v>
      </c>
      <c r="DH125" s="312">
        <v>640</v>
      </c>
      <c r="DI125" s="32">
        <v>730</v>
      </c>
      <c r="DJ125" s="312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301" t="s">
        <v>4562</v>
      </c>
    </row>
    <row r="126" spans="1:119">
      <c r="A126" s="18">
        <v>121</v>
      </c>
      <c r="B126" s="318"/>
      <c r="C126" s="318"/>
      <c r="D126" s="330"/>
      <c r="E126" s="330"/>
      <c r="F126" s="318"/>
      <c r="G126" s="318"/>
      <c r="H126" s="318"/>
      <c r="I126" s="318"/>
      <c r="J126" s="285" t="s">
        <v>4477</v>
      </c>
      <c r="K126" s="314" t="s">
        <v>4380</v>
      </c>
      <c r="L126" s="312" t="s">
        <v>5786</v>
      </c>
      <c r="M126" s="314" t="s">
        <v>4505</v>
      </c>
      <c r="N126" s="312" t="s">
        <v>4697</v>
      </c>
      <c r="O126" s="18" t="s">
        <v>4503</v>
      </c>
      <c r="P126" s="312" t="s">
        <v>4417</v>
      </c>
      <c r="Q126" s="312" t="s">
        <v>4417</v>
      </c>
      <c r="R126" s="312" t="s">
        <v>6156</v>
      </c>
      <c r="S126" s="312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12" t="s">
        <v>4417</v>
      </c>
      <c r="Y126" s="312" t="s">
        <v>5786</v>
      </c>
      <c r="Z126" s="312" t="s">
        <v>4555</v>
      </c>
      <c r="AA126" s="18">
        <v>10</v>
      </c>
      <c r="AB126" s="223">
        <v>0</v>
      </c>
      <c r="AC126" s="139">
        <v>0</v>
      </c>
      <c r="AD126" s="314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14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3"/>
        <v>15.399999999999977</v>
      </c>
      <c r="AV126" s="21">
        <v>15</v>
      </c>
      <c r="AW126" s="314" t="s">
        <v>5801</v>
      </c>
      <c r="AX126" s="58" t="s">
        <v>6121</v>
      </c>
      <c r="AY126" s="312">
        <v>100</v>
      </c>
      <c r="AZ126" s="312">
        <v>20</v>
      </c>
      <c r="BA126" s="312">
        <f t="shared" si="32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12" t="s">
        <v>4462</v>
      </c>
      <c r="BI126" s="312" t="s">
        <v>6196</v>
      </c>
      <c r="BJ126" s="312">
        <v>4</v>
      </c>
      <c r="BK126" s="312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12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12">
        <v>8.8000000000000007</v>
      </c>
      <c r="DH126" s="312">
        <v>640</v>
      </c>
      <c r="DI126" s="32">
        <v>730</v>
      </c>
      <c r="DJ126" s="312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301" t="s">
        <v>4562</v>
      </c>
    </row>
    <row r="127" spans="1:119" ht="16.2" thickBot="1">
      <c r="A127" s="14">
        <v>122</v>
      </c>
      <c r="B127" s="318"/>
      <c r="C127" s="318"/>
      <c r="D127" s="330"/>
      <c r="E127" s="330"/>
      <c r="F127" s="318"/>
      <c r="G127" s="318"/>
      <c r="H127" s="318"/>
      <c r="I127" s="318"/>
      <c r="J127" s="284" t="s">
        <v>4478</v>
      </c>
      <c r="K127" s="310" t="s">
        <v>4380</v>
      </c>
      <c r="L127" s="313" t="s">
        <v>5786</v>
      </c>
      <c r="M127" s="310" t="s">
        <v>4505</v>
      </c>
      <c r="N127" s="313" t="s">
        <v>4697</v>
      </c>
      <c r="O127" s="14" t="s">
        <v>4503</v>
      </c>
      <c r="P127" s="313" t="s">
        <v>4417</v>
      </c>
      <c r="Q127" s="313" t="s">
        <v>4417</v>
      </c>
      <c r="R127" s="313" t="s">
        <v>6156</v>
      </c>
      <c r="S127" s="313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13" t="s">
        <v>4417</v>
      </c>
      <c r="Y127" s="313" t="s">
        <v>5786</v>
      </c>
      <c r="Z127" s="313" t="s">
        <v>4555</v>
      </c>
      <c r="AA127" s="14">
        <v>10</v>
      </c>
      <c r="AB127" s="225">
        <v>0</v>
      </c>
      <c r="AC127" s="152">
        <v>0</v>
      </c>
      <c r="AD127" s="31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1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3"/>
        <v>15.399999999999977</v>
      </c>
      <c r="AV127" s="23">
        <v>15</v>
      </c>
      <c r="AW127" s="310" t="s">
        <v>5801</v>
      </c>
      <c r="AX127" s="85" t="s">
        <v>6121</v>
      </c>
      <c r="AY127" s="313">
        <v>100</v>
      </c>
      <c r="AZ127" s="313">
        <v>20</v>
      </c>
      <c r="BA127" s="313">
        <f t="shared" si="32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13" t="s">
        <v>6196</v>
      </c>
      <c r="BJ127" s="313">
        <v>4</v>
      </c>
      <c r="BK127" s="313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13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13">
        <v>8.8000000000000007</v>
      </c>
      <c r="DH127" s="313">
        <v>640</v>
      </c>
      <c r="DI127" s="34">
        <v>730</v>
      </c>
      <c r="DJ127" s="313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302" t="s">
        <v>4562</v>
      </c>
    </row>
    <row r="128" spans="1:119" ht="15.6" customHeight="1">
      <c r="A128" s="18">
        <v>123</v>
      </c>
      <c r="B128" s="326">
        <v>15</v>
      </c>
      <c r="C128" s="326">
        <v>1987</v>
      </c>
      <c r="D128" s="329" t="s">
        <v>4666</v>
      </c>
      <c r="E128" s="329" t="s">
        <v>4858</v>
      </c>
      <c r="F128" s="412">
        <v>3</v>
      </c>
      <c r="G128" s="326" t="s">
        <v>5903</v>
      </c>
      <c r="H128" s="326" t="s">
        <v>5896</v>
      </c>
      <c r="I128" s="326" t="s">
        <v>6217</v>
      </c>
      <c r="J128" s="285" t="s">
        <v>4423</v>
      </c>
      <c r="K128" s="309" t="s">
        <v>4380</v>
      </c>
      <c r="L128" s="312" t="s">
        <v>5786</v>
      </c>
      <c r="M128" s="314" t="s">
        <v>4504</v>
      </c>
      <c r="N128" s="312" t="s">
        <v>4697</v>
      </c>
      <c r="O128" s="18" t="s">
        <v>4502</v>
      </c>
      <c r="P128" s="312" t="s">
        <v>6325</v>
      </c>
      <c r="Q128" s="312" t="s">
        <v>4417</v>
      </c>
      <c r="R128" s="312" t="s">
        <v>6325</v>
      </c>
      <c r="S128" s="312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12" t="s">
        <v>4417</v>
      </c>
      <c r="Y128" s="312" t="s">
        <v>5786</v>
      </c>
      <c r="Z128" s="312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3"/>
        <v>5.5</v>
      </c>
      <c r="AV128" s="21">
        <f>(AT128-AK128)/2</f>
        <v>5.5</v>
      </c>
      <c r="AW128" s="314" t="s">
        <v>5801</v>
      </c>
      <c r="AX128" s="10" t="s">
        <v>4496</v>
      </c>
      <c r="AY128" s="21">
        <f>0.5*DH128*BA128/1000</f>
        <v>18.84</v>
      </c>
      <c r="AZ128" s="312">
        <v>16</v>
      </c>
      <c r="BA128" s="312">
        <f t="shared" si="32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6325</v>
      </c>
      <c r="BH128" s="21" t="s">
        <v>4462</v>
      </c>
      <c r="BI128" s="312" t="s">
        <v>6196</v>
      </c>
      <c r="BJ128" s="312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12" t="s">
        <v>6327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12" t="s">
        <v>6327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12" t="s">
        <v>6327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311">
        <v>4.5999999999999996</v>
      </c>
      <c r="DH128" s="311">
        <v>240</v>
      </c>
      <c r="DI128" s="30">
        <v>260</v>
      </c>
      <c r="DJ128" s="311">
        <v>400</v>
      </c>
      <c r="DK128" s="32">
        <v>440</v>
      </c>
      <c r="DL128" s="59">
        <v>200000</v>
      </c>
      <c r="DM128" s="29" t="s">
        <v>4765</v>
      </c>
      <c r="DN128" s="311" t="s">
        <v>6045</v>
      </c>
      <c r="DO128" s="300" t="s">
        <v>4562</v>
      </c>
    </row>
    <row r="129" spans="1:119">
      <c r="A129" s="18">
        <v>124</v>
      </c>
      <c r="B129" s="327"/>
      <c r="C129" s="327"/>
      <c r="D129" s="330"/>
      <c r="E129" s="330"/>
      <c r="F129" s="413"/>
      <c r="G129" s="327"/>
      <c r="H129" s="327"/>
      <c r="I129" s="327"/>
      <c r="J129" s="285" t="s">
        <v>4424</v>
      </c>
      <c r="K129" s="314" t="s">
        <v>4380</v>
      </c>
      <c r="L129" s="312" t="s">
        <v>5786</v>
      </c>
      <c r="M129" s="314" t="s">
        <v>4504</v>
      </c>
      <c r="N129" s="312" t="s">
        <v>4697</v>
      </c>
      <c r="O129" s="18" t="s">
        <v>4502</v>
      </c>
      <c r="P129" s="312" t="s">
        <v>6325</v>
      </c>
      <c r="Q129" s="312" t="s">
        <v>4417</v>
      </c>
      <c r="R129" s="312" t="s">
        <v>6325</v>
      </c>
      <c r="S129" s="312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12" t="s">
        <v>4417</v>
      </c>
      <c r="Y129" s="312" t="s">
        <v>5786</v>
      </c>
      <c r="Z129" s="312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3"/>
        <v>5.5</v>
      </c>
      <c r="AV129" s="21">
        <f>(AT129-AK129)/2</f>
        <v>5.5</v>
      </c>
      <c r="AW129" s="314" t="s">
        <v>5801</v>
      </c>
      <c r="AX129" s="312" t="s">
        <v>4496</v>
      </c>
      <c r="AY129" s="21">
        <f t="shared" ref="AY129:AY130" si="34">0.5*DH129*BA129/1000</f>
        <v>18.84</v>
      </c>
      <c r="AZ129" s="312">
        <v>16</v>
      </c>
      <c r="BA129" s="312">
        <f t="shared" si="32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6325</v>
      </c>
      <c r="BH129" s="21" t="s">
        <v>4462</v>
      </c>
      <c r="BI129" s="312" t="s">
        <v>6196</v>
      </c>
      <c r="BJ129" s="312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12" t="s">
        <v>6327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12" t="s">
        <v>6327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12" t="s">
        <v>6327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12">
        <v>4.5999999999999996</v>
      </c>
      <c r="DH129" s="312">
        <v>240</v>
      </c>
      <c r="DI129" s="32">
        <v>260</v>
      </c>
      <c r="DJ129" s="312">
        <v>400</v>
      </c>
      <c r="DK129" s="32">
        <v>440</v>
      </c>
      <c r="DL129" s="59">
        <v>200000</v>
      </c>
      <c r="DM129" s="29" t="s">
        <v>4754</v>
      </c>
      <c r="DN129" s="312" t="s">
        <v>6045</v>
      </c>
      <c r="DO129" s="301" t="s">
        <v>4562</v>
      </c>
    </row>
    <row r="130" spans="1:119" ht="16.2" thickBot="1">
      <c r="A130" s="18">
        <v>125</v>
      </c>
      <c r="B130" s="328"/>
      <c r="C130" s="328"/>
      <c r="D130" s="331"/>
      <c r="E130" s="331"/>
      <c r="F130" s="414"/>
      <c r="G130" s="328"/>
      <c r="H130" s="328"/>
      <c r="I130" s="328"/>
      <c r="J130" s="285" t="s">
        <v>4425</v>
      </c>
      <c r="K130" s="314" t="s">
        <v>4380</v>
      </c>
      <c r="L130" s="312" t="s">
        <v>5786</v>
      </c>
      <c r="M130" s="314" t="s">
        <v>4504</v>
      </c>
      <c r="N130" s="312" t="s">
        <v>4697</v>
      </c>
      <c r="O130" s="18" t="s">
        <v>4503</v>
      </c>
      <c r="P130" s="312" t="s">
        <v>6325</v>
      </c>
      <c r="Q130" s="312" t="s">
        <v>4417</v>
      </c>
      <c r="R130" s="312" t="s">
        <v>6325</v>
      </c>
      <c r="S130" s="312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12" t="s">
        <v>4417</v>
      </c>
      <c r="Y130" s="312" t="s">
        <v>5786</v>
      </c>
      <c r="Z130" s="312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3"/>
        <v>5.5</v>
      </c>
      <c r="AV130" s="21">
        <f>(AT130-AK130)/2</f>
        <v>5.5</v>
      </c>
      <c r="AW130" s="314" t="s">
        <v>5801</v>
      </c>
      <c r="AX130" s="312" t="s">
        <v>4496</v>
      </c>
      <c r="AY130" s="21">
        <f t="shared" si="34"/>
        <v>18.84</v>
      </c>
      <c r="AZ130" s="312">
        <v>16</v>
      </c>
      <c r="BA130" s="312">
        <f t="shared" si="32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6325</v>
      </c>
      <c r="BH130" s="21" t="s">
        <v>4462</v>
      </c>
      <c r="BI130" s="312" t="s">
        <v>6196</v>
      </c>
      <c r="BJ130" s="312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12" t="s">
        <v>6327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12" t="s">
        <v>6327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12" t="s">
        <v>6327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13">
        <v>4.5999999999999996</v>
      </c>
      <c r="DH130" s="313">
        <v>240</v>
      </c>
      <c r="DI130" s="34">
        <v>260</v>
      </c>
      <c r="DJ130" s="313">
        <v>400</v>
      </c>
      <c r="DK130" s="32">
        <v>440</v>
      </c>
      <c r="DL130" s="59">
        <v>200000</v>
      </c>
      <c r="DM130" s="40" t="s">
        <v>4569</v>
      </c>
      <c r="DN130" s="312" t="s">
        <v>6045</v>
      </c>
      <c r="DO130" s="301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286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08">
        <v>12</v>
      </c>
      <c r="AS131" s="108">
        <v>154</v>
      </c>
      <c r="AT131" s="108">
        <v>290</v>
      </c>
      <c r="AU131" s="108">
        <v>15</v>
      </c>
      <c r="AV131" s="108">
        <v>15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2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17">
        <v>17</v>
      </c>
      <c r="C132" s="317">
        <v>1989</v>
      </c>
      <c r="D132" s="329" t="s">
        <v>4529</v>
      </c>
      <c r="E132" s="329" t="s">
        <v>4856</v>
      </c>
      <c r="F132" s="317">
        <v>5</v>
      </c>
      <c r="G132" s="317" t="s">
        <v>5904</v>
      </c>
      <c r="H132" s="317" t="s">
        <v>5898</v>
      </c>
      <c r="I132" s="317" t="s">
        <v>6219</v>
      </c>
      <c r="J132" s="283" t="s">
        <v>4550</v>
      </c>
      <c r="K132" s="309" t="s">
        <v>4380</v>
      </c>
      <c r="L132" s="311" t="s">
        <v>5786</v>
      </c>
      <c r="M132" s="309" t="s">
        <v>4548</v>
      </c>
      <c r="N132" s="311" t="s">
        <v>4703</v>
      </c>
      <c r="O132" s="17" t="s">
        <v>4503</v>
      </c>
      <c r="P132" s="311" t="s">
        <v>4417</v>
      </c>
      <c r="Q132" s="311" t="s">
        <v>4417</v>
      </c>
      <c r="R132" s="311" t="s">
        <v>4417</v>
      </c>
      <c r="S132" s="311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311" t="s">
        <v>4417</v>
      </c>
      <c r="Y132" s="311" t="s">
        <v>5786</v>
      </c>
      <c r="Z132" s="311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30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11">
        <v>0</v>
      </c>
      <c r="AV132" s="311">
        <v>0</v>
      </c>
      <c r="AW132" s="309" t="s">
        <v>5801</v>
      </c>
      <c r="AX132" s="311" t="s">
        <v>4549</v>
      </c>
      <c r="AY132" s="311">
        <v>169</v>
      </c>
      <c r="AZ132" s="16">
        <f>7/8*25.4</f>
        <v>22.224999999999998</v>
      </c>
      <c r="BA132" s="311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11" t="s">
        <v>4417</v>
      </c>
      <c r="BH132" s="311" t="s">
        <v>6197</v>
      </c>
      <c r="BI132" s="311" t="s">
        <v>6196</v>
      </c>
      <c r="BJ132" s="311">
        <v>6</v>
      </c>
      <c r="BK132" s="311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309" t="s">
        <v>4532</v>
      </c>
      <c r="CN132" s="311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311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311" t="s">
        <v>4419</v>
      </c>
      <c r="DH132" s="311">
        <v>640</v>
      </c>
      <c r="DI132" s="30">
        <v>730</v>
      </c>
      <c r="DJ132" s="311">
        <v>800</v>
      </c>
      <c r="DK132" s="30">
        <v>940</v>
      </c>
      <c r="DL132" s="74">
        <v>200000</v>
      </c>
      <c r="DM132" s="42" t="s">
        <v>5832</v>
      </c>
      <c r="DN132" s="311" t="s">
        <v>4432</v>
      </c>
      <c r="DO132" s="300" t="s">
        <v>4562</v>
      </c>
    </row>
    <row r="133" spans="1:119">
      <c r="A133" s="18">
        <v>128</v>
      </c>
      <c r="B133" s="318"/>
      <c r="C133" s="318"/>
      <c r="D133" s="330"/>
      <c r="E133" s="330"/>
      <c r="F133" s="318"/>
      <c r="G133" s="318"/>
      <c r="H133" s="318"/>
      <c r="I133" s="318"/>
      <c r="J133" s="285" t="s">
        <v>4551</v>
      </c>
      <c r="K133" s="314" t="s">
        <v>4380</v>
      </c>
      <c r="L133" s="312" t="s">
        <v>5786</v>
      </c>
      <c r="M133" s="314" t="s">
        <v>4548</v>
      </c>
      <c r="N133" s="312" t="s">
        <v>4703</v>
      </c>
      <c r="O133" s="18" t="s">
        <v>4503</v>
      </c>
      <c r="P133" s="312" t="s">
        <v>4417</v>
      </c>
      <c r="Q133" s="312" t="s">
        <v>4417</v>
      </c>
      <c r="R133" s="312" t="s">
        <v>4417</v>
      </c>
      <c r="S133" s="312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12" t="s">
        <v>4417</v>
      </c>
      <c r="Y133" s="312" t="s">
        <v>5786</v>
      </c>
      <c r="Z133" s="312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314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2">
        <v>0</v>
      </c>
      <c r="AV133" s="312">
        <v>0</v>
      </c>
      <c r="AW133" s="314" t="s">
        <v>5801</v>
      </c>
      <c r="AX133" s="312" t="s">
        <v>4549</v>
      </c>
      <c r="AY133" s="312">
        <v>227</v>
      </c>
      <c r="AZ133" s="21">
        <f>1*25.4</f>
        <v>25.4</v>
      </c>
      <c r="BA133" s="312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2" t="s">
        <v>4417</v>
      </c>
      <c r="BH133" s="312" t="s">
        <v>6197</v>
      </c>
      <c r="BI133" s="312" t="s">
        <v>6196</v>
      </c>
      <c r="BJ133" s="312">
        <v>6</v>
      </c>
      <c r="BK133" s="312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314" t="s">
        <v>4532</v>
      </c>
      <c r="CN133" s="312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12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12" t="s">
        <v>4419</v>
      </c>
      <c r="DH133" s="312">
        <v>640</v>
      </c>
      <c r="DI133" s="32">
        <v>730</v>
      </c>
      <c r="DJ133" s="312">
        <v>800</v>
      </c>
      <c r="DK133" s="32">
        <v>940</v>
      </c>
      <c r="DL133" s="59">
        <v>200000</v>
      </c>
      <c r="DM133" s="40" t="s">
        <v>5832</v>
      </c>
      <c r="DN133" s="312" t="s">
        <v>4432</v>
      </c>
      <c r="DO133" s="301" t="s">
        <v>4562</v>
      </c>
    </row>
    <row r="134" spans="1:119">
      <c r="A134" s="18">
        <v>129</v>
      </c>
      <c r="B134" s="318"/>
      <c r="C134" s="318"/>
      <c r="D134" s="330"/>
      <c r="E134" s="330"/>
      <c r="F134" s="318"/>
      <c r="G134" s="318"/>
      <c r="H134" s="318"/>
      <c r="I134" s="318"/>
      <c r="J134" s="285" t="s">
        <v>4552</v>
      </c>
      <c r="K134" s="314" t="s">
        <v>4380</v>
      </c>
      <c r="L134" s="312" t="s">
        <v>5786</v>
      </c>
      <c r="M134" s="314" t="s">
        <v>4548</v>
      </c>
      <c r="N134" s="312" t="s">
        <v>4703</v>
      </c>
      <c r="O134" s="18" t="s">
        <v>4503</v>
      </c>
      <c r="P134" s="312" t="s">
        <v>4417</v>
      </c>
      <c r="Q134" s="312" t="s">
        <v>4417</v>
      </c>
      <c r="R134" s="312" t="s">
        <v>4417</v>
      </c>
      <c r="S134" s="312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12" t="s">
        <v>4417</v>
      </c>
      <c r="Y134" s="312" t="s">
        <v>5786</v>
      </c>
      <c r="Z134" s="312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314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2">
        <v>0</v>
      </c>
      <c r="AV134" s="312">
        <v>0</v>
      </c>
      <c r="AW134" s="314" t="s">
        <v>5801</v>
      </c>
      <c r="AX134" s="312" t="s">
        <v>4549</v>
      </c>
      <c r="AY134" s="21">
        <v>124.6</v>
      </c>
      <c r="AZ134" s="21">
        <f>3/4*25.4</f>
        <v>19.049999999999997</v>
      </c>
      <c r="BA134" s="312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2" t="s">
        <v>4417</v>
      </c>
      <c r="BH134" s="312" t="s">
        <v>6197</v>
      </c>
      <c r="BI134" s="312" t="s">
        <v>6196</v>
      </c>
      <c r="BJ134" s="312">
        <v>6</v>
      </c>
      <c r="BK134" s="312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314" t="s">
        <v>4532</v>
      </c>
      <c r="CN134" s="312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12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12" t="s">
        <v>4419</v>
      </c>
      <c r="DH134" s="312">
        <v>640</v>
      </c>
      <c r="DI134" s="32">
        <v>730</v>
      </c>
      <c r="DJ134" s="312">
        <v>800</v>
      </c>
      <c r="DK134" s="32">
        <v>940</v>
      </c>
      <c r="DL134" s="59">
        <v>200000</v>
      </c>
      <c r="DM134" s="40" t="s">
        <v>5832</v>
      </c>
      <c r="DN134" s="312" t="s">
        <v>4432</v>
      </c>
      <c r="DO134" s="301" t="s">
        <v>4562</v>
      </c>
    </row>
    <row r="135" spans="1:119">
      <c r="A135" s="18">
        <v>130</v>
      </c>
      <c r="B135" s="318"/>
      <c r="C135" s="318"/>
      <c r="D135" s="330"/>
      <c r="E135" s="330"/>
      <c r="F135" s="318"/>
      <c r="G135" s="318"/>
      <c r="H135" s="318"/>
      <c r="I135" s="318"/>
      <c r="J135" s="285" t="s">
        <v>4553</v>
      </c>
      <c r="K135" s="314" t="s">
        <v>4380</v>
      </c>
      <c r="L135" s="312" t="s">
        <v>5786</v>
      </c>
      <c r="M135" s="314" t="s">
        <v>4548</v>
      </c>
      <c r="N135" s="312" t="s">
        <v>4703</v>
      </c>
      <c r="O135" s="18" t="s">
        <v>4503</v>
      </c>
      <c r="P135" s="312" t="s">
        <v>4417</v>
      </c>
      <c r="Q135" s="312" t="s">
        <v>4417</v>
      </c>
      <c r="R135" s="312" t="s">
        <v>4417</v>
      </c>
      <c r="S135" s="312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12" t="s">
        <v>4417</v>
      </c>
      <c r="Y135" s="312" t="s">
        <v>5786</v>
      </c>
      <c r="Z135" s="312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314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2">
        <v>0</v>
      </c>
      <c r="AV135" s="312">
        <v>0</v>
      </c>
      <c r="AW135" s="314" t="s">
        <v>5801</v>
      </c>
      <c r="AX135" s="312" t="s">
        <v>4549</v>
      </c>
      <c r="AY135" s="21">
        <v>169</v>
      </c>
      <c r="AZ135" s="21">
        <f>7/8*25.4</f>
        <v>22.224999999999998</v>
      </c>
      <c r="BA135" s="312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2" t="s">
        <v>4417</v>
      </c>
      <c r="BH135" s="312" t="s">
        <v>6197</v>
      </c>
      <c r="BI135" s="312" t="s">
        <v>6196</v>
      </c>
      <c r="BJ135" s="312">
        <v>6</v>
      </c>
      <c r="BK135" s="312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314" t="s">
        <v>4532</v>
      </c>
      <c r="CN135" s="312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12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12" t="s">
        <v>4419</v>
      </c>
      <c r="DH135" s="312">
        <v>640</v>
      </c>
      <c r="DI135" s="32">
        <v>730</v>
      </c>
      <c r="DJ135" s="312">
        <v>800</v>
      </c>
      <c r="DK135" s="32">
        <v>940</v>
      </c>
      <c r="DL135" s="59">
        <v>200000</v>
      </c>
      <c r="DM135" s="40" t="s">
        <v>5832</v>
      </c>
      <c r="DN135" s="312" t="s">
        <v>4432</v>
      </c>
      <c r="DO135" s="301" t="s">
        <v>4562</v>
      </c>
    </row>
    <row r="136" spans="1:119" ht="16.2" thickBot="1">
      <c r="A136" s="14">
        <v>131</v>
      </c>
      <c r="B136" s="319"/>
      <c r="C136" s="319"/>
      <c r="D136" s="331"/>
      <c r="E136" s="331"/>
      <c r="F136" s="319"/>
      <c r="G136" s="319"/>
      <c r="H136" s="319"/>
      <c r="I136" s="319"/>
      <c r="J136" s="284" t="s">
        <v>4554</v>
      </c>
      <c r="K136" s="310" t="s">
        <v>4380</v>
      </c>
      <c r="L136" s="313" t="s">
        <v>5786</v>
      </c>
      <c r="M136" s="310" t="s">
        <v>4548</v>
      </c>
      <c r="N136" s="313" t="s">
        <v>4703</v>
      </c>
      <c r="O136" s="14" t="s">
        <v>4503</v>
      </c>
      <c r="P136" s="313" t="s">
        <v>4417</v>
      </c>
      <c r="Q136" s="313" t="s">
        <v>4417</v>
      </c>
      <c r="R136" s="313" t="s">
        <v>4417</v>
      </c>
      <c r="S136" s="313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13" t="s">
        <v>4417</v>
      </c>
      <c r="Y136" s="313" t="s">
        <v>5786</v>
      </c>
      <c r="Z136" s="313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31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3">
        <v>0</v>
      </c>
      <c r="AV136" s="313">
        <v>0</v>
      </c>
      <c r="AW136" s="310" t="s">
        <v>5801</v>
      </c>
      <c r="AX136" s="313" t="s">
        <v>4549</v>
      </c>
      <c r="AY136" s="23">
        <v>169</v>
      </c>
      <c r="AZ136" s="23">
        <f>7/8*25.4</f>
        <v>22.224999999999998</v>
      </c>
      <c r="BA136" s="313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3" t="s">
        <v>4417</v>
      </c>
      <c r="BH136" s="313" t="s">
        <v>6197</v>
      </c>
      <c r="BI136" s="313" t="s">
        <v>6196</v>
      </c>
      <c r="BJ136" s="313">
        <v>6</v>
      </c>
      <c r="BK136" s="313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310" t="s">
        <v>4532</v>
      </c>
      <c r="CN136" s="313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13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13" t="s">
        <v>4419</v>
      </c>
      <c r="DH136" s="313">
        <v>640</v>
      </c>
      <c r="DI136" s="34">
        <v>730</v>
      </c>
      <c r="DJ136" s="313">
        <v>800</v>
      </c>
      <c r="DK136" s="34">
        <v>940</v>
      </c>
      <c r="DL136" s="75">
        <v>200000</v>
      </c>
      <c r="DM136" s="41" t="s">
        <v>4765</v>
      </c>
      <c r="DN136" s="313" t="s">
        <v>4432</v>
      </c>
      <c r="DO136" s="302" t="s">
        <v>4562</v>
      </c>
    </row>
    <row r="137" spans="1:119" ht="15.6" customHeight="1">
      <c r="A137" s="17">
        <v>132</v>
      </c>
      <c r="B137" s="380">
        <v>18</v>
      </c>
      <c r="C137" s="380">
        <v>1991</v>
      </c>
      <c r="D137" s="415" t="s">
        <v>4706</v>
      </c>
      <c r="E137" s="417" t="s">
        <v>6075</v>
      </c>
      <c r="F137" s="317">
        <v>2</v>
      </c>
      <c r="G137" s="317" t="s">
        <v>5902</v>
      </c>
      <c r="H137" s="317" t="s">
        <v>5901</v>
      </c>
      <c r="I137" s="317" t="s">
        <v>4573</v>
      </c>
      <c r="J137" s="283" t="s">
        <v>5797</v>
      </c>
      <c r="K137" s="309" t="s">
        <v>4380</v>
      </c>
      <c r="L137" s="30" t="s">
        <v>5786</v>
      </c>
      <c r="M137" s="309" t="s">
        <v>4504</v>
      </c>
      <c r="N137" s="311" t="s">
        <v>4696</v>
      </c>
      <c r="O137" s="17" t="s">
        <v>4503</v>
      </c>
      <c r="P137" s="311" t="s">
        <v>4467</v>
      </c>
      <c r="Q137" s="311" t="s">
        <v>4417</v>
      </c>
      <c r="R137" s="311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311" t="s">
        <v>4417</v>
      </c>
      <c r="Y137" s="311" t="s">
        <v>5786</v>
      </c>
      <c r="Z137" s="311" t="s">
        <v>4555</v>
      </c>
      <c r="AA137" s="17">
        <v>7</v>
      </c>
      <c r="AB137" s="231">
        <v>0</v>
      </c>
      <c r="AC137" s="17">
        <v>0</v>
      </c>
      <c r="AD137" s="30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30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311">
        <v>0</v>
      </c>
      <c r="AV137" s="311">
        <v>0</v>
      </c>
      <c r="AW137" s="309" t="s">
        <v>5801</v>
      </c>
      <c r="AX137" s="311" t="s">
        <v>6121</v>
      </c>
      <c r="AY137" s="311" t="s">
        <v>6121</v>
      </c>
      <c r="AZ137" s="311">
        <v>20</v>
      </c>
      <c r="BA137" s="311">
        <f t="shared" ref="BA137:BA138" si="35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11" t="s">
        <v>6196</v>
      </c>
      <c r="BI137" s="311" t="s">
        <v>6196</v>
      </c>
      <c r="BJ137" s="311">
        <v>2</v>
      </c>
      <c r="BK137" s="17">
        <v>4</v>
      </c>
      <c r="BL137" s="309">
        <v>120</v>
      </c>
      <c r="BM137" s="311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309" t="s">
        <v>5850</v>
      </c>
      <c r="BU137" s="311" t="s">
        <v>6121</v>
      </c>
      <c r="BV137" s="311">
        <v>1</v>
      </c>
      <c r="BW137" s="311">
        <v>20</v>
      </c>
      <c r="BX137" s="311">
        <v>100</v>
      </c>
      <c r="BY137" s="311" t="s">
        <v>6121</v>
      </c>
      <c r="BZ137" s="17" t="s">
        <v>6121</v>
      </c>
      <c r="CA137" s="311" t="s">
        <v>6073</v>
      </c>
      <c r="CB137" s="311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311">
        <v>338</v>
      </c>
      <c r="CJ137" s="63">
        <v>410</v>
      </c>
      <c r="CK137" s="311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311">
        <v>8.8000000000000007</v>
      </c>
      <c r="DH137" s="311">
        <v>640</v>
      </c>
      <c r="DI137" s="30">
        <v>730</v>
      </c>
      <c r="DJ137" s="311">
        <v>800</v>
      </c>
      <c r="DK137" s="30">
        <v>940</v>
      </c>
      <c r="DL137" s="64">
        <v>200000</v>
      </c>
      <c r="DM137" s="28" t="s">
        <v>6120</v>
      </c>
      <c r="DN137" s="311" t="s">
        <v>4432</v>
      </c>
      <c r="DO137" s="300" t="s">
        <v>4562</v>
      </c>
    </row>
    <row r="138" spans="1:119" ht="16.2" thickBot="1">
      <c r="A138" s="14">
        <v>133</v>
      </c>
      <c r="B138" s="381"/>
      <c r="C138" s="381"/>
      <c r="D138" s="416"/>
      <c r="E138" s="418"/>
      <c r="F138" s="319"/>
      <c r="G138" s="319"/>
      <c r="H138" s="319"/>
      <c r="I138" s="319"/>
      <c r="J138" s="284" t="s">
        <v>6072</v>
      </c>
      <c r="K138" s="310" t="s">
        <v>4380</v>
      </c>
      <c r="L138" s="34" t="s">
        <v>5786</v>
      </c>
      <c r="M138" s="310" t="s">
        <v>4504</v>
      </c>
      <c r="N138" s="313" t="s">
        <v>4696</v>
      </c>
      <c r="O138" s="14" t="s">
        <v>4503</v>
      </c>
      <c r="P138" s="308" t="s">
        <v>4467</v>
      </c>
      <c r="Q138" s="308" t="s">
        <v>4417</v>
      </c>
      <c r="R138" s="313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13" t="s">
        <v>4417</v>
      </c>
      <c r="Y138" s="313" t="s">
        <v>5786</v>
      </c>
      <c r="Z138" s="313" t="s">
        <v>4555</v>
      </c>
      <c r="AA138" s="14">
        <v>7</v>
      </c>
      <c r="AB138" s="227">
        <v>0</v>
      </c>
      <c r="AC138" s="14">
        <v>0</v>
      </c>
      <c r="AD138" s="31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1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12">
        <v>0</v>
      </c>
      <c r="AV138" s="312">
        <v>0</v>
      </c>
      <c r="AW138" s="310" t="s">
        <v>5801</v>
      </c>
      <c r="AX138" s="313" t="s">
        <v>6121</v>
      </c>
      <c r="AY138" s="313" t="s">
        <v>6121</v>
      </c>
      <c r="AZ138" s="313">
        <v>20</v>
      </c>
      <c r="BA138" s="313">
        <f t="shared" si="35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13" t="s">
        <v>6196</v>
      </c>
      <c r="BI138" s="313" t="s">
        <v>6196</v>
      </c>
      <c r="BJ138" s="313">
        <v>2</v>
      </c>
      <c r="BK138" s="14">
        <v>4</v>
      </c>
      <c r="BL138" s="310">
        <v>120</v>
      </c>
      <c r="BM138" s="313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310" t="s">
        <v>5850</v>
      </c>
      <c r="BU138" s="313" t="s">
        <v>6121</v>
      </c>
      <c r="BV138" s="313">
        <v>1</v>
      </c>
      <c r="BW138" s="313">
        <v>20</v>
      </c>
      <c r="BX138" s="313">
        <v>100</v>
      </c>
      <c r="BY138" s="313" t="s">
        <v>6121</v>
      </c>
      <c r="BZ138" s="14" t="s">
        <v>6121</v>
      </c>
      <c r="CA138" s="313" t="s">
        <v>6073</v>
      </c>
      <c r="CB138" s="313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13">
        <v>338</v>
      </c>
      <c r="CJ138" s="58">
        <v>410</v>
      </c>
      <c r="CK138" s="313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13">
        <v>8.8000000000000007</v>
      </c>
      <c r="DH138" s="313">
        <v>640</v>
      </c>
      <c r="DI138" s="34">
        <v>730</v>
      </c>
      <c r="DJ138" s="313">
        <v>800</v>
      </c>
      <c r="DK138" s="34">
        <v>940</v>
      </c>
      <c r="DL138" s="68">
        <v>200000</v>
      </c>
      <c r="DM138" s="27" t="s">
        <v>6065</v>
      </c>
      <c r="DN138" s="310" t="s">
        <v>4432</v>
      </c>
      <c r="DO138" s="302" t="s">
        <v>4562</v>
      </c>
    </row>
    <row r="139" spans="1:119" ht="15.6" customHeight="1">
      <c r="A139" s="17">
        <v>134</v>
      </c>
      <c r="B139" s="317">
        <v>19</v>
      </c>
      <c r="C139" s="317">
        <v>1992</v>
      </c>
      <c r="D139" s="329" t="s">
        <v>4667</v>
      </c>
      <c r="E139" s="329" t="s">
        <v>4855</v>
      </c>
      <c r="F139" s="317">
        <v>7</v>
      </c>
      <c r="G139" s="317" t="s">
        <v>5905</v>
      </c>
      <c r="H139" s="317" t="s">
        <v>4672</v>
      </c>
      <c r="I139" s="317" t="s">
        <v>6220</v>
      </c>
      <c r="J139" s="283" t="s">
        <v>4639</v>
      </c>
      <c r="K139" s="309" t="s">
        <v>4380</v>
      </c>
      <c r="L139" s="30" t="s">
        <v>5786</v>
      </c>
      <c r="M139" s="309" t="s">
        <v>4504</v>
      </c>
      <c r="N139" s="311" t="s">
        <v>4697</v>
      </c>
      <c r="O139" s="17" t="s">
        <v>4503</v>
      </c>
      <c r="P139" s="311" t="s">
        <v>4417</v>
      </c>
      <c r="Q139" s="311" t="s">
        <v>4417</v>
      </c>
      <c r="R139" s="311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311" t="s">
        <v>4417</v>
      </c>
      <c r="Y139" s="311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30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6">(AT139-AK139)/2</f>
        <v>20</v>
      </c>
      <c r="AW139" s="309" t="s">
        <v>5801</v>
      </c>
      <c r="AX139" s="311" t="s">
        <v>6121</v>
      </c>
      <c r="AY139" s="311" t="s">
        <v>6121</v>
      </c>
      <c r="AZ139" s="311">
        <v>18</v>
      </c>
      <c r="BA139" s="311">
        <v>192</v>
      </c>
      <c r="BB139" s="16">
        <v>70</v>
      </c>
      <c r="BC139" s="16">
        <f t="shared" ref="BC139:BC165" si="37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11" t="s">
        <v>6196</v>
      </c>
      <c r="BI139" s="311" t="s">
        <v>6196</v>
      </c>
      <c r="BJ139" s="311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311" t="s">
        <v>4446</v>
      </c>
      <c r="CH139" s="44">
        <v>235</v>
      </c>
      <c r="CI139" s="311">
        <v>310</v>
      </c>
      <c r="CJ139" s="44">
        <v>360</v>
      </c>
      <c r="CK139" s="311">
        <v>435</v>
      </c>
      <c r="CL139" s="64">
        <v>200000</v>
      </c>
      <c r="CM139" s="309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311" t="s">
        <v>4446</v>
      </c>
      <c r="CT139" s="70">
        <v>235</v>
      </c>
      <c r="CU139" s="311">
        <v>310</v>
      </c>
      <c r="CV139" s="70">
        <v>360</v>
      </c>
      <c r="CW139" s="311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311">
        <v>10.9</v>
      </c>
      <c r="DH139" s="306">
        <v>900</v>
      </c>
      <c r="DI139" s="30">
        <v>990</v>
      </c>
      <c r="DJ139" s="306">
        <v>1000</v>
      </c>
      <c r="DK139" s="30">
        <v>1100</v>
      </c>
      <c r="DL139" s="74">
        <v>205000</v>
      </c>
      <c r="DM139" s="42" t="s">
        <v>5832</v>
      </c>
      <c r="DN139" s="311" t="s">
        <v>4432</v>
      </c>
      <c r="DO139" s="301" t="s">
        <v>4562</v>
      </c>
    </row>
    <row r="140" spans="1:119">
      <c r="A140" s="18">
        <v>135</v>
      </c>
      <c r="B140" s="318"/>
      <c r="C140" s="318"/>
      <c r="D140" s="330"/>
      <c r="E140" s="330"/>
      <c r="F140" s="318"/>
      <c r="G140" s="318"/>
      <c r="H140" s="318"/>
      <c r="I140" s="318"/>
      <c r="J140" s="285" t="s">
        <v>4634</v>
      </c>
      <c r="K140" s="314" t="s">
        <v>4380</v>
      </c>
      <c r="L140" s="32" t="s">
        <v>5786</v>
      </c>
      <c r="M140" s="314" t="s">
        <v>4504</v>
      </c>
      <c r="N140" s="312" t="s">
        <v>4697</v>
      </c>
      <c r="O140" s="18" t="s">
        <v>4503</v>
      </c>
      <c r="P140" s="312" t="s">
        <v>4467</v>
      </c>
      <c r="Q140" s="312" t="s">
        <v>4417</v>
      </c>
      <c r="R140" s="312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12" t="s">
        <v>4417</v>
      </c>
      <c r="Y140" s="312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314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14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6"/>
        <v>20</v>
      </c>
      <c r="AW140" s="314" t="s">
        <v>5801</v>
      </c>
      <c r="AX140" s="312" t="s">
        <v>6121</v>
      </c>
      <c r="AY140" s="312" t="s">
        <v>6121</v>
      </c>
      <c r="AZ140" s="21">
        <v>18</v>
      </c>
      <c r="BA140" s="21">
        <v>192</v>
      </c>
      <c r="BB140" s="21">
        <v>70</v>
      </c>
      <c r="BC140" s="21">
        <f t="shared" si="37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12" t="s">
        <v>6196</v>
      </c>
      <c r="BI140" s="312" t="s">
        <v>6196</v>
      </c>
      <c r="BJ140" s="312">
        <v>2</v>
      </c>
      <c r="BK140" s="18">
        <v>6</v>
      </c>
      <c r="BL140" s="314">
        <v>120</v>
      </c>
      <c r="BM140" s="312">
        <v>1000</v>
      </c>
      <c r="BN140" s="312" t="s">
        <v>6178</v>
      </c>
      <c r="BO140" s="312">
        <v>1.2</v>
      </c>
      <c r="BP140" s="312">
        <v>130</v>
      </c>
      <c r="BQ140" s="312">
        <v>1810</v>
      </c>
      <c r="BR140" s="312">
        <v>55</v>
      </c>
      <c r="BS140" s="18" t="s">
        <v>4587</v>
      </c>
      <c r="BT140" s="314" t="s">
        <v>5850</v>
      </c>
      <c r="BU140" s="312">
        <v>9</v>
      </c>
      <c r="BV140" s="312">
        <v>1</v>
      </c>
      <c r="BW140" s="312">
        <v>19</v>
      </c>
      <c r="BX140" s="312">
        <v>100</v>
      </c>
      <c r="BY140" s="32">
        <v>45</v>
      </c>
      <c r="BZ140" s="71">
        <v>160</v>
      </c>
      <c r="CA140" s="312" t="s">
        <v>4569</v>
      </c>
      <c r="CB140" s="312" t="s">
        <v>4638</v>
      </c>
      <c r="CC140" s="21">
        <v>0</v>
      </c>
      <c r="CD140" s="21">
        <f>10*PI()*8^2/4</f>
        <v>502.6548245743669</v>
      </c>
      <c r="CE140" s="312">
        <v>28</v>
      </c>
      <c r="CF140" s="118">
        <v>7.7000000000000002E-3</v>
      </c>
      <c r="CG140" s="312" t="s">
        <v>4446</v>
      </c>
      <c r="CH140" s="45">
        <v>235</v>
      </c>
      <c r="CI140" s="312">
        <v>310</v>
      </c>
      <c r="CJ140" s="45">
        <v>360</v>
      </c>
      <c r="CK140" s="312">
        <v>435</v>
      </c>
      <c r="CL140" s="65">
        <v>200000</v>
      </c>
      <c r="CM140" s="314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12" t="s">
        <v>4446</v>
      </c>
      <c r="CT140" s="46">
        <v>235</v>
      </c>
      <c r="CU140" s="312">
        <v>310</v>
      </c>
      <c r="CV140" s="46">
        <v>360</v>
      </c>
      <c r="CW140" s="312">
        <v>435</v>
      </c>
      <c r="CX140" s="65">
        <v>200000</v>
      </c>
      <c r="CY140" s="312" t="s">
        <v>5790</v>
      </c>
      <c r="CZ140" s="33">
        <v>37</v>
      </c>
      <c r="DA140" s="33">
        <v>2.9</v>
      </c>
      <c r="DB140" s="65">
        <v>33000</v>
      </c>
      <c r="DC140" s="314">
        <v>540</v>
      </c>
      <c r="DD140" s="32">
        <v>650</v>
      </c>
      <c r="DE140" s="65">
        <v>200000</v>
      </c>
      <c r="DF140" s="298">
        <v>320</v>
      </c>
      <c r="DG140" s="312">
        <v>10.9</v>
      </c>
      <c r="DH140" s="307">
        <v>900</v>
      </c>
      <c r="DI140" s="32">
        <v>990</v>
      </c>
      <c r="DJ140" s="307">
        <v>1000</v>
      </c>
      <c r="DK140" s="32">
        <v>1100</v>
      </c>
      <c r="DL140" s="59">
        <v>205000</v>
      </c>
      <c r="DM140" s="40" t="s">
        <v>5849</v>
      </c>
      <c r="DN140" s="312" t="s">
        <v>4432</v>
      </c>
      <c r="DO140" s="301" t="s">
        <v>4562</v>
      </c>
    </row>
    <row r="141" spans="1:119">
      <c r="A141" s="18">
        <v>136</v>
      </c>
      <c r="B141" s="318"/>
      <c r="C141" s="318"/>
      <c r="D141" s="330"/>
      <c r="E141" s="330"/>
      <c r="F141" s="318"/>
      <c r="G141" s="318"/>
      <c r="H141" s="318"/>
      <c r="I141" s="318"/>
      <c r="J141" s="285" t="s">
        <v>6084</v>
      </c>
      <c r="K141" s="314" t="s">
        <v>4380</v>
      </c>
      <c r="L141" s="32" t="s">
        <v>5786</v>
      </c>
      <c r="M141" s="314" t="s">
        <v>4504</v>
      </c>
      <c r="N141" s="312" t="s">
        <v>4697</v>
      </c>
      <c r="O141" s="18" t="s">
        <v>4503</v>
      </c>
      <c r="P141" s="312" t="s">
        <v>4467</v>
      </c>
      <c r="Q141" s="312" t="s">
        <v>4417</v>
      </c>
      <c r="R141" s="312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12" t="s">
        <v>4417</v>
      </c>
      <c r="Y141" s="312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314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14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6"/>
        <v>105</v>
      </c>
      <c r="AW141" s="314" t="s">
        <v>5801</v>
      </c>
      <c r="AX141" s="312" t="s">
        <v>6121</v>
      </c>
      <c r="AY141" s="312" t="s">
        <v>6121</v>
      </c>
      <c r="AZ141" s="21">
        <v>18</v>
      </c>
      <c r="BA141" s="21">
        <v>192</v>
      </c>
      <c r="BB141" s="21">
        <v>70</v>
      </c>
      <c r="BC141" s="21">
        <f t="shared" si="37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12" t="s">
        <v>6196</v>
      </c>
      <c r="BI141" s="312" t="s">
        <v>6196</v>
      </c>
      <c r="BJ141" s="312">
        <v>2</v>
      </c>
      <c r="BK141" s="18">
        <v>6</v>
      </c>
      <c r="BL141" s="314">
        <v>120</v>
      </c>
      <c r="BM141" s="312">
        <v>1000</v>
      </c>
      <c r="BN141" s="312" t="s">
        <v>6178</v>
      </c>
      <c r="BO141" s="312">
        <v>1.2</v>
      </c>
      <c r="BP141" s="312">
        <v>130</v>
      </c>
      <c r="BQ141" s="312">
        <v>1810</v>
      </c>
      <c r="BR141" s="312">
        <v>55</v>
      </c>
      <c r="BS141" s="18" t="s">
        <v>4587</v>
      </c>
      <c r="BT141" s="314" t="s">
        <v>5850</v>
      </c>
      <c r="BU141" s="312">
        <v>9</v>
      </c>
      <c r="BV141" s="312">
        <v>1</v>
      </c>
      <c r="BW141" s="312">
        <v>19</v>
      </c>
      <c r="BX141" s="312">
        <v>100</v>
      </c>
      <c r="BY141" s="32">
        <v>45</v>
      </c>
      <c r="BZ141" s="71">
        <v>160</v>
      </c>
      <c r="CA141" s="312" t="s">
        <v>4569</v>
      </c>
      <c r="CB141" s="312" t="s">
        <v>4638</v>
      </c>
      <c r="CC141" s="21">
        <v>0</v>
      </c>
      <c r="CD141" s="21">
        <f>10*PI()*8^2/4</f>
        <v>502.6548245743669</v>
      </c>
      <c r="CE141" s="312">
        <v>28</v>
      </c>
      <c r="CF141" s="118">
        <v>7.7000000000000002E-3</v>
      </c>
      <c r="CG141" s="312" t="s">
        <v>4446</v>
      </c>
      <c r="CH141" s="45">
        <v>235</v>
      </c>
      <c r="CI141" s="312">
        <v>310</v>
      </c>
      <c r="CJ141" s="45">
        <v>360</v>
      </c>
      <c r="CK141" s="312">
        <v>435</v>
      </c>
      <c r="CL141" s="65">
        <v>200000</v>
      </c>
      <c r="CM141" s="314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12" t="s">
        <v>4446</v>
      </c>
      <c r="CT141" s="46">
        <v>235</v>
      </c>
      <c r="CU141" s="312">
        <v>310</v>
      </c>
      <c r="CV141" s="46">
        <v>360</v>
      </c>
      <c r="CW141" s="312">
        <v>435</v>
      </c>
      <c r="CX141" s="65">
        <v>200000</v>
      </c>
      <c r="CY141" s="312" t="s">
        <v>5790</v>
      </c>
      <c r="CZ141" s="33">
        <v>37</v>
      </c>
      <c r="DA141" s="33">
        <v>2.9</v>
      </c>
      <c r="DB141" s="65">
        <v>33000</v>
      </c>
      <c r="DC141" s="314">
        <v>540</v>
      </c>
      <c r="DD141" s="32">
        <v>650</v>
      </c>
      <c r="DE141" s="65">
        <v>200000</v>
      </c>
      <c r="DF141" s="298">
        <v>320</v>
      </c>
      <c r="DG141" s="312">
        <v>10.9</v>
      </c>
      <c r="DH141" s="307">
        <v>900</v>
      </c>
      <c r="DI141" s="32">
        <v>990</v>
      </c>
      <c r="DJ141" s="307">
        <v>1000</v>
      </c>
      <c r="DK141" s="32">
        <v>1100</v>
      </c>
      <c r="DL141" s="59">
        <v>205000</v>
      </c>
      <c r="DM141" s="40" t="s">
        <v>5849</v>
      </c>
      <c r="DN141" s="312" t="s">
        <v>4432</v>
      </c>
      <c r="DO141" s="301" t="s">
        <v>4562</v>
      </c>
    </row>
    <row r="142" spans="1:119">
      <c r="A142" s="18">
        <v>137</v>
      </c>
      <c r="B142" s="318"/>
      <c r="C142" s="318"/>
      <c r="D142" s="330"/>
      <c r="E142" s="330"/>
      <c r="F142" s="318"/>
      <c r="G142" s="318"/>
      <c r="H142" s="318"/>
      <c r="I142" s="318"/>
      <c r="J142" s="285" t="s">
        <v>6085</v>
      </c>
      <c r="K142" s="314" t="s">
        <v>4380</v>
      </c>
      <c r="L142" s="32" t="s">
        <v>5786</v>
      </c>
      <c r="M142" s="314" t="s">
        <v>4504</v>
      </c>
      <c r="N142" s="312" t="s">
        <v>4697</v>
      </c>
      <c r="O142" s="18" t="s">
        <v>4503</v>
      </c>
      <c r="P142" s="312" t="s">
        <v>4467</v>
      </c>
      <c r="Q142" s="312" t="s">
        <v>4417</v>
      </c>
      <c r="R142" s="312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12" t="s">
        <v>4417</v>
      </c>
      <c r="Y142" s="312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314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14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6"/>
        <v>20</v>
      </c>
      <c r="AW142" s="314" t="s">
        <v>5801</v>
      </c>
      <c r="AX142" s="312" t="s">
        <v>6121</v>
      </c>
      <c r="AY142" s="312" t="s">
        <v>6121</v>
      </c>
      <c r="AZ142" s="21">
        <v>18</v>
      </c>
      <c r="BA142" s="21">
        <v>192</v>
      </c>
      <c r="BB142" s="21">
        <v>70</v>
      </c>
      <c r="BC142" s="21">
        <f t="shared" si="37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12" t="s">
        <v>6196</v>
      </c>
      <c r="BI142" s="312" t="s">
        <v>6196</v>
      </c>
      <c r="BJ142" s="312">
        <v>2</v>
      </c>
      <c r="BK142" s="18">
        <v>6</v>
      </c>
      <c r="BL142" s="314">
        <v>120</v>
      </c>
      <c r="BM142" s="312">
        <v>1000</v>
      </c>
      <c r="BN142" s="312" t="s">
        <v>6178</v>
      </c>
      <c r="BO142" s="312">
        <v>1.2</v>
      </c>
      <c r="BP142" s="312">
        <v>130</v>
      </c>
      <c r="BQ142" s="312">
        <v>1810</v>
      </c>
      <c r="BR142" s="312">
        <v>55</v>
      </c>
      <c r="BS142" s="18" t="s">
        <v>4587</v>
      </c>
      <c r="BT142" s="314" t="s">
        <v>5850</v>
      </c>
      <c r="BU142" s="312">
        <v>9</v>
      </c>
      <c r="BV142" s="312">
        <v>1</v>
      </c>
      <c r="BW142" s="312">
        <v>19</v>
      </c>
      <c r="BX142" s="312">
        <v>100</v>
      </c>
      <c r="BY142" s="32">
        <v>45</v>
      </c>
      <c r="BZ142" s="71">
        <v>160</v>
      </c>
      <c r="CA142" s="312" t="s">
        <v>4569</v>
      </c>
      <c r="CB142" s="312" t="s">
        <v>4638</v>
      </c>
      <c r="CC142" s="21">
        <v>0</v>
      </c>
      <c r="CD142" s="21">
        <f>10*PI()*8^2/4</f>
        <v>502.6548245743669</v>
      </c>
      <c r="CE142" s="312">
        <v>28</v>
      </c>
      <c r="CF142" s="118">
        <v>7.7000000000000002E-3</v>
      </c>
      <c r="CG142" s="312" t="s">
        <v>4446</v>
      </c>
      <c r="CH142" s="45">
        <v>235</v>
      </c>
      <c r="CI142" s="312">
        <v>310</v>
      </c>
      <c r="CJ142" s="45">
        <v>360</v>
      </c>
      <c r="CK142" s="312">
        <v>435</v>
      </c>
      <c r="CL142" s="65">
        <v>200000</v>
      </c>
      <c r="CM142" s="314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12" t="s">
        <v>4446</v>
      </c>
      <c r="CT142" s="46">
        <v>235</v>
      </c>
      <c r="CU142" s="312">
        <v>310</v>
      </c>
      <c r="CV142" s="46">
        <v>360</v>
      </c>
      <c r="CW142" s="312">
        <v>435</v>
      </c>
      <c r="CX142" s="65">
        <v>200000</v>
      </c>
      <c r="CY142" s="312" t="s">
        <v>5790</v>
      </c>
      <c r="CZ142" s="33">
        <v>37</v>
      </c>
      <c r="DA142" s="33">
        <v>2.9</v>
      </c>
      <c r="DB142" s="65">
        <v>33000</v>
      </c>
      <c r="DC142" s="314">
        <v>540</v>
      </c>
      <c r="DD142" s="32">
        <v>650</v>
      </c>
      <c r="DE142" s="65">
        <v>200000</v>
      </c>
      <c r="DF142" s="298">
        <v>320</v>
      </c>
      <c r="DG142" s="312">
        <v>10.9</v>
      </c>
      <c r="DH142" s="307">
        <v>900</v>
      </c>
      <c r="DI142" s="32">
        <v>990</v>
      </c>
      <c r="DJ142" s="307">
        <v>1000</v>
      </c>
      <c r="DK142" s="32">
        <v>1100</v>
      </c>
      <c r="DL142" s="59">
        <v>205000</v>
      </c>
      <c r="DM142" s="40" t="s">
        <v>5849</v>
      </c>
      <c r="DN142" s="312" t="s">
        <v>4432</v>
      </c>
      <c r="DO142" s="301" t="s">
        <v>4562</v>
      </c>
    </row>
    <row r="143" spans="1:119">
      <c r="A143" s="18">
        <v>138</v>
      </c>
      <c r="B143" s="318"/>
      <c r="C143" s="318"/>
      <c r="D143" s="330"/>
      <c r="E143" s="330"/>
      <c r="F143" s="318"/>
      <c r="G143" s="318"/>
      <c r="H143" s="318"/>
      <c r="I143" s="318"/>
      <c r="J143" s="285" t="s">
        <v>4635</v>
      </c>
      <c r="K143" s="314" t="s">
        <v>4380</v>
      </c>
      <c r="L143" s="32" t="s">
        <v>5786</v>
      </c>
      <c r="M143" s="314" t="s">
        <v>4504</v>
      </c>
      <c r="N143" s="312" t="s">
        <v>4697</v>
      </c>
      <c r="O143" s="18" t="s">
        <v>4503</v>
      </c>
      <c r="P143" s="312" t="s">
        <v>4467</v>
      </c>
      <c r="Q143" s="312" t="s">
        <v>4417</v>
      </c>
      <c r="R143" s="312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12" t="s">
        <v>4417</v>
      </c>
      <c r="Y143" s="312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314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14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6"/>
        <v>20</v>
      </c>
      <c r="AW143" s="314" t="s">
        <v>5801</v>
      </c>
      <c r="AX143" s="312" t="s">
        <v>6121</v>
      </c>
      <c r="AY143" s="312" t="s">
        <v>6121</v>
      </c>
      <c r="AZ143" s="312">
        <v>18</v>
      </c>
      <c r="BA143" s="312">
        <v>192</v>
      </c>
      <c r="BB143" s="21">
        <v>70</v>
      </c>
      <c r="BC143" s="21">
        <f t="shared" si="37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12" t="s">
        <v>6196</v>
      </c>
      <c r="BI143" s="312" t="s">
        <v>6196</v>
      </c>
      <c r="BJ143" s="312">
        <v>2</v>
      </c>
      <c r="BK143" s="18">
        <v>6</v>
      </c>
      <c r="BL143" s="314">
        <v>120</v>
      </c>
      <c r="BM143" s="312">
        <v>1000</v>
      </c>
      <c r="BN143" s="312" t="s">
        <v>6179</v>
      </c>
      <c r="BO143" s="312">
        <v>0.8</v>
      </c>
      <c r="BP143" s="312">
        <v>124</v>
      </c>
      <c r="BQ143" s="312">
        <v>1183</v>
      </c>
      <c r="BR143" s="312">
        <v>40</v>
      </c>
      <c r="BS143" s="18" t="s">
        <v>4587</v>
      </c>
      <c r="BT143" s="314" t="s">
        <v>5852</v>
      </c>
      <c r="BU143" s="312">
        <v>17</v>
      </c>
      <c r="BV143" s="312">
        <v>1</v>
      </c>
      <c r="BW143" s="21">
        <v>24.3</v>
      </c>
      <c r="BX143" s="312">
        <v>80</v>
      </c>
      <c r="BY143" s="312">
        <v>45</v>
      </c>
      <c r="BZ143" s="18">
        <v>120</v>
      </c>
      <c r="CA143" s="312" t="s">
        <v>4569</v>
      </c>
      <c r="CB143" s="312" t="s">
        <v>6097</v>
      </c>
      <c r="CC143" s="21">
        <v>0</v>
      </c>
      <c r="CD143" s="21">
        <f>14*PI()*8^2/4+10*PI()*6^2/4</f>
        <v>986.4600932271951</v>
      </c>
      <c r="CE143" s="312">
        <v>28</v>
      </c>
      <c r="CF143" s="118">
        <v>1.23E-2</v>
      </c>
      <c r="CG143" s="312" t="s">
        <v>4446</v>
      </c>
      <c r="CH143" s="45">
        <v>235</v>
      </c>
      <c r="CI143" s="312">
        <v>310</v>
      </c>
      <c r="CJ143" s="45">
        <v>360</v>
      </c>
      <c r="CK143" s="312">
        <v>435</v>
      </c>
      <c r="CL143" s="65">
        <v>200000</v>
      </c>
      <c r="CM143" s="314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12" t="s">
        <v>4446</v>
      </c>
      <c r="CT143" s="46">
        <v>235</v>
      </c>
      <c r="CU143" s="312">
        <v>310</v>
      </c>
      <c r="CV143" s="46">
        <v>360</v>
      </c>
      <c r="CW143" s="312">
        <v>435</v>
      </c>
      <c r="CX143" s="65">
        <v>200000</v>
      </c>
      <c r="CY143" s="312" t="s">
        <v>5790</v>
      </c>
      <c r="CZ143" s="33">
        <v>37</v>
      </c>
      <c r="DA143" s="33">
        <v>2.9</v>
      </c>
      <c r="DB143" s="65">
        <v>33000</v>
      </c>
      <c r="DC143" s="314">
        <v>540</v>
      </c>
      <c r="DD143" s="32">
        <v>650</v>
      </c>
      <c r="DE143" s="65">
        <v>200000</v>
      </c>
      <c r="DF143" s="298">
        <v>350</v>
      </c>
      <c r="DG143" s="312">
        <v>10.9</v>
      </c>
      <c r="DH143" s="307">
        <v>900</v>
      </c>
      <c r="DI143" s="32">
        <v>990</v>
      </c>
      <c r="DJ143" s="307">
        <v>1000</v>
      </c>
      <c r="DK143" s="32">
        <v>1100</v>
      </c>
      <c r="DL143" s="59">
        <v>205000</v>
      </c>
      <c r="DM143" s="40" t="s">
        <v>6056</v>
      </c>
      <c r="DN143" s="312" t="s">
        <v>4432</v>
      </c>
      <c r="DO143" s="301" t="s">
        <v>6203</v>
      </c>
    </row>
    <row r="144" spans="1:119">
      <c r="A144" s="18">
        <v>139</v>
      </c>
      <c r="B144" s="318"/>
      <c r="C144" s="318"/>
      <c r="D144" s="330"/>
      <c r="E144" s="330"/>
      <c r="F144" s="318"/>
      <c r="G144" s="318"/>
      <c r="H144" s="318"/>
      <c r="I144" s="318"/>
      <c r="J144" s="285" t="s">
        <v>4636</v>
      </c>
      <c r="K144" s="314" t="s">
        <v>4380</v>
      </c>
      <c r="L144" s="32" t="s">
        <v>5786</v>
      </c>
      <c r="M144" s="314" t="s">
        <v>4504</v>
      </c>
      <c r="N144" s="312" t="s">
        <v>4697</v>
      </c>
      <c r="O144" s="18" t="s">
        <v>4503</v>
      </c>
      <c r="P144" s="312" t="s">
        <v>4467</v>
      </c>
      <c r="Q144" s="312" t="s">
        <v>4417</v>
      </c>
      <c r="R144" s="312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12" t="s">
        <v>4417</v>
      </c>
      <c r="Y144" s="312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314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14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6"/>
        <v>20</v>
      </c>
      <c r="AW144" s="314" t="s">
        <v>5801</v>
      </c>
      <c r="AX144" s="312" t="s">
        <v>6121</v>
      </c>
      <c r="AY144" s="312" t="s">
        <v>6121</v>
      </c>
      <c r="AZ144" s="312">
        <v>18</v>
      </c>
      <c r="BA144" s="312">
        <v>192</v>
      </c>
      <c r="BB144" s="21">
        <v>70</v>
      </c>
      <c r="BC144" s="21">
        <f t="shared" si="37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12" t="s">
        <v>6196</v>
      </c>
      <c r="BI144" s="312" t="s">
        <v>6196</v>
      </c>
      <c r="BJ144" s="312">
        <v>2</v>
      </c>
      <c r="BK144" s="18">
        <v>6</v>
      </c>
      <c r="BL144" s="314">
        <v>120</v>
      </c>
      <c r="BM144" s="312">
        <v>1000</v>
      </c>
      <c r="BN144" s="312" t="s">
        <v>6179</v>
      </c>
      <c r="BO144" s="312">
        <v>0.8</v>
      </c>
      <c r="BP144" s="312">
        <v>124</v>
      </c>
      <c r="BQ144" s="312">
        <v>1183</v>
      </c>
      <c r="BR144" s="312">
        <v>40</v>
      </c>
      <c r="BS144" s="18" t="s">
        <v>4587</v>
      </c>
      <c r="BT144" s="314" t="s">
        <v>5852</v>
      </c>
      <c r="BU144" s="312">
        <v>12</v>
      </c>
      <c r="BV144" s="312">
        <v>1</v>
      </c>
      <c r="BW144" s="21">
        <v>24.3</v>
      </c>
      <c r="BX144" s="312">
        <v>80</v>
      </c>
      <c r="BY144" s="312">
        <v>45</v>
      </c>
      <c r="BZ144" s="18">
        <v>120</v>
      </c>
      <c r="CA144" s="312" t="s">
        <v>4569</v>
      </c>
      <c r="CB144" s="312" t="s">
        <v>6097</v>
      </c>
      <c r="CC144" s="21">
        <v>0</v>
      </c>
      <c r="CD144" s="21">
        <f>14*PI()*8^2/4+10*PI()*6^2/4</f>
        <v>986.4600932271951</v>
      </c>
      <c r="CE144" s="312">
        <v>28</v>
      </c>
      <c r="CF144" s="118">
        <v>1.23E-2</v>
      </c>
      <c r="CG144" s="312" t="s">
        <v>4446</v>
      </c>
      <c r="CH144" s="45">
        <v>235</v>
      </c>
      <c r="CI144" s="312">
        <v>310</v>
      </c>
      <c r="CJ144" s="45">
        <v>360</v>
      </c>
      <c r="CK144" s="312">
        <v>435</v>
      </c>
      <c r="CL144" s="65">
        <v>200000</v>
      </c>
      <c r="CM144" s="314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12" t="s">
        <v>4446</v>
      </c>
      <c r="CT144" s="46">
        <v>235</v>
      </c>
      <c r="CU144" s="312">
        <v>310</v>
      </c>
      <c r="CV144" s="46">
        <v>360</v>
      </c>
      <c r="CW144" s="312">
        <v>435</v>
      </c>
      <c r="CX144" s="65">
        <v>200000</v>
      </c>
      <c r="CY144" s="312" t="s">
        <v>5790</v>
      </c>
      <c r="CZ144" s="33">
        <v>37</v>
      </c>
      <c r="DA144" s="33">
        <v>2.9</v>
      </c>
      <c r="DB144" s="65">
        <v>33000</v>
      </c>
      <c r="DC144" s="314">
        <v>540</v>
      </c>
      <c r="DD144" s="32">
        <v>650</v>
      </c>
      <c r="DE144" s="65">
        <v>200000</v>
      </c>
      <c r="DF144" s="298">
        <v>350</v>
      </c>
      <c r="DG144" s="312">
        <v>10.9</v>
      </c>
      <c r="DH144" s="307">
        <v>900</v>
      </c>
      <c r="DI144" s="32">
        <v>990</v>
      </c>
      <c r="DJ144" s="307">
        <v>1000</v>
      </c>
      <c r="DK144" s="32">
        <v>1100</v>
      </c>
      <c r="DL144" s="59">
        <v>205000</v>
      </c>
      <c r="DM144" s="40" t="s">
        <v>6057</v>
      </c>
      <c r="DN144" s="312" t="s">
        <v>4432</v>
      </c>
      <c r="DO144" s="301" t="s">
        <v>6204</v>
      </c>
    </row>
    <row r="145" spans="1:119" ht="16.2" thickBot="1">
      <c r="A145" s="14">
        <v>140</v>
      </c>
      <c r="B145" s="319"/>
      <c r="C145" s="319"/>
      <c r="D145" s="331"/>
      <c r="E145" s="331"/>
      <c r="F145" s="319"/>
      <c r="G145" s="319"/>
      <c r="H145" s="319"/>
      <c r="I145" s="319"/>
      <c r="J145" s="284" t="s">
        <v>4637</v>
      </c>
      <c r="K145" s="310" t="s">
        <v>4380</v>
      </c>
      <c r="L145" s="34" t="s">
        <v>5786</v>
      </c>
      <c r="M145" s="310" t="s">
        <v>4504</v>
      </c>
      <c r="N145" s="313" t="s">
        <v>4697</v>
      </c>
      <c r="O145" s="14" t="s">
        <v>4503</v>
      </c>
      <c r="P145" s="313" t="s">
        <v>4467</v>
      </c>
      <c r="Q145" s="313" t="s">
        <v>4417</v>
      </c>
      <c r="R145" s="313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13" t="s">
        <v>4417</v>
      </c>
      <c r="Y145" s="313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31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1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6"/>
        <v>20</v>
      </c>
      <c r="AW145" s="310" t="s">
        <v>5801</v>
      </c>
      <c r="AX145" s="313" t="s">
        <v>6121</v>
      </c>
      <c r="AY145" s="313" t="s">
        <v>6121</v>
      </c>
      <c r="AZ145" s="313">
        <v>18</v>
      </c>
      <c r="BA145" s="313">
        <v>192</v>
      </c>
      <c r="BB145" s="23">
        <v>70</v>
      </c>
      <c r="BC145" s="23">
        <f t="shared" si="37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13" t="s">
        <v>6196</v>
      </c>
      <c r="BI145" s="313" t="s">
        <v>6196</v>
      </c>
      <c r="BJ145" s="313">
        <v>2</v>
      </c>
      <c r="BK145" s="14">
        <v>6</v>
      </c>
      <c r="BL145" s="310">
        <v>120</v>
      </c>
      <c r="BM145" s="313">
        <v>1000</v>
      </c>
      <c r="BN145" s="313" t="s">
        <v>6179</v>
      </c>
      <c r="BO145" s="313">
        <v>0.8</v>
      </c>
      <c r="BP145" s="313">
        <v>124</v>
      </c>
      <c r="BQ145" s="313">
        <v>1183</v>
      </c>
      <c r="BR145" s="313">
        <v>40</v>
      </c>
      <c r="BS145" s="14" t="s">
        <v>4587</v>
      </c>
      <c r="BT145" s="310" t="s">
        <v>5852</v>
      </c>
      <c r="BU145" s="313">
        <v>8</v>
      </c>
      <c r="BV145" s="313">
        <v>1</v>
      </c>
      <c r="BW145" s="23">
        <v>24.3</v>
      </c>
      <c r="BX145" s="313">
        <v>80</v>
      </c>
      <c r="BY145" s="313">
        <v>45</v>
      </c>
      <c r="BZ145" s="14">
        <v>120</v>
      </c>
      <c r="CA145" s="313" t="s">
        <v>4569</v>
      </c>
      <c r="CB145" s="313" t="s">
        <v>6097</v>
      </c>
      <c r="CC145" s="23">
        <v>0</v>
      </c>
      <c r="CD145" s="23">
        <f>14*PI()*8^2/4+10*PI()*6^2/4</f>
        <v>986.4600932271951</v>
      </c>
      <c r="CE145" s="313">
        <v>28</v>
      </c>
      <c r="CF145" s="119">
        <v>1.23E-2</v>
      </c>
      <c r="CG145" s="313" t="s">
        <v>4446</v>
      </c>
      <c r="CH145" s="55">
        <v>235</v>
      </c>
      <c r="CI145" s="313">
        <v>310</v>
      </c>
      <c r="CJ145" s="55">
        <v>360</v>
      </c>
      <c r="CK145" s="313">
        <v>435</v>
      </c>
      <c r="CL145" s="68">
        <v>200000</v>
      </c>
      <c r="CM145" s="310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13" t="s">
        <v>4446</v>
      </c>
      <c r="CT145" s="83">
        <v>235</v>
      </c>
      <c r="CU145" s="313">
        <v>310</v>
      </c>
      <c r="CV145" s="83">
        <v>360</v>
      </c>
      <c r="CW145" s="313">
        <v>435</v>
      </c>
      <c r="CX145" s="68">
        <v>200000</v>
      </c>
      <c r="CY145" s="313" t="s">
        <v>5790</v>
      </c>
      <c r="CZ145" s="35">
        <v>37</v>
      </c>
      <c r="DA145" s="35">
        <v>2.9</v>
      </c>
      <c r="DB145" s="65">
        <v>33000</v>
      </c>
      <c r="DC145" s="310">
        <v>540</v>
      </c>
      <c r="DD145" s="34">
        <v>650</v>
      </c>
      <c r="DE145" s="68">
        <v>200000</v>
      </c>
      <c r="DF145" s="299">
        <v>350</v>
      </c>
      <c r="DG145" s="313">
        <v>10.9</v>
      </c>
      <c r="DH145" s="308">
        <v>900</v>
      </c>
      <c r="DI145" s="34">
        <v>990</v>
      </c>
      <c r="DJ145" s="308">
        <v>1000</v>
      </c>
      <c r="DK145" s="34">
        <v>1100</v>
      </c>
      <c r="DL145" s="75">
        <v>205000</v>
      </c>
      <c r="DM145" s="41" t="s">
        <v>6057</v>
      </c>
      <c r="DN145" s="313" t="s">
        <v>4432</v>
      </c>
      <c r="DO145" s="302" t="s">
        <v>6205</v>
      </c>
    </row>
    <row r="146" spans="1:119" ht="15.6" customHeight="1">
      <c r="A146" s="18">
        <v>141</v>
      </c>
      <c r="B146" s="380">
        <v>20</v>
      </c>
      <c r="C146" s="380">
        <v>1994</v>
      </c>
      <c r="D146" s="415" t="s">
        <v>4668</v>
      </c>
      <c r="E146" s="329" t="s">
        <v>4854</v>
      </c>
      <c r="F146" s="317">
        <v>10</v>
      </c>
      <c r="G146" s="326" t="s">
        <v>5906</v>
      </c>
      <c r="H146" s="326" t="s">
        <v>5896</v>
      </c>
      <c r="I146" s="326" t="s">
        <v>6221</v>
      </c>
      <c r="J146" s="285" t="s">
        <v>6063</v>
      </c>
      <c r="K146" s="314" t="s">
        <v>6328</v>
      </c>
      <c r="L146" s="312" t="s">
        <v>5786</v>
      </c>
      <c r="M146" s="314" t="s">
        <v>4504</v>
      </c>
      <c r="N146" s="312" t="s">
        <v>4698</v>
      </c>
      <c r="O146" s="18" t="s">
        <v>4503</v>
      </c>
      <c r="P146" s="312" t="s">
        <v>4467</v>
      </c>
      <c r="Q146" s="312" t="s">
        <v>4417</v>
      </c>
      <c r="R146" s="312" t="s">
        <v>6157</v>
      </c>
      <c r="S146" s="312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12" t="s">
        <v>4417</v>
      </c>
      <c r="Y146" s="312" t="s">
        <v>5786</v>
      </c>
      <c r="Z146" s="312" t="s">
        <v>4555</v>
      </c>
      <c r="AA146" s="18">
        <v>10</v>
      </c>
      <c r="AB146" s="223">
        <v>0</v>
      </c>
      <c r="AC146" s="18">
        <v>0</v>
      </c>
      <c r="AD146" s="314" t="s">
        <v>6329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14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14" t="s">
        <v>5801</v>
      </c>
      <c r="AX146" s="312" t="s">
        <v>4559</v>
      </c>
      <c r="AY146" s="312">
        <f>200/AZ146/0.25</f>
        <v>40</v>
      </c>
      <c r="AZ146" s="312">
        <v>20</v>
      </c>
      <c r="BA146" s="312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6326</v>
      </c>
      <c r="BH146" s="312" t="s">
        <v>6196</v>
      </c>
      <c r="BI146" s="312" t="s">
        <v>6196</v>
      </c>
      <c r="BJ146" s="312">
        <v>2</v>
      </c>
      <c r="BK146" s="312">
        <v>4</v>
      </c>
      <c r="BL146" s="314">
        <v>120</v>
      </c>
      <c r="BM146" s="312">
        <v>1100</v>
      </c>
      <c r="BN146" s="312" t="s">
        <v>6180</v>
      </c>
      <c r="BO146" s="312">
        <v>0.9</v>
      </c>
      <c r="BP146" s="312">
        <v>105</v>
      </c>
      <c r="BQ146" s="312">
        <v>1137</v>
      </c>
      <c r="BR146" s="312">
        <v>46</v>
      </c>
      <c r="BS146" s="312" t="s">
        <v>4587</v>
      </c>
      <c r="BT146" s="314" t="s">
        <v>5850</v>
      </c>
      <c r="BU146" s="312">
        <v>7</v>
      </c>
      <c r="BV146" s="312">
        <v>1</v>
      </c>
      <c r="BW146" s="312">
        <v>19</v>
      </c>
      <c r="BX146" s="312">
        <v>100</v>
      </c>
      <c r="BY146" s="312">
        <v>90</v>
      </c>
      <c r="BZ146" s="18">
        <v>225</v>
      </c>
      <c r="CA146" s="312" t="s">
        <v>4570</v>
      </c>
      <c r="CB146" s="312" t="s">
        <v>4579</v>
      </c>
      <c r="CC146" s="21">
        <f t="shared" ref="CC146:CC149" si="38">142*BM146/1000</f>
        <v>156.19999999999999</v>
      </c>
      <c r="CD146" s="21">
        <f>8*PI()*12^2/4</f>
        <v>904.77868423386042</v>
      </c>
      <c r="CE146" s="312">
        <v>25</v>
      </c>
      <c r="CF146" s="118">
        <v>1.11E-2</v>
      </c>
      <c r="CG146" s="312" t="s">
        <v>5659</v>
      </c>
      <c r="CH146" s="45">
        <v>275</v>
      </c>
      <c r="CI146" s="312">
        <v>290</v>
      </c>
      <c r="CJ146" s="45">
        <v>410</v>
      </c>
      <c r="CK146" s="312">
        <v>496</v>
      </c>
      <c r="CL146" s="67">
        <v>206000</v>
      </c>
      <c r="CM146" s="312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12" t="s">
        <v>5659</v>
      </c>
      <c r="CT146" s="46">
        <v>275</v>
      </c>
      <c r="CU146" s="312">
        <v>308</v>
      </c>
      <c r="CV146" s="46">
        <v>410</v>
      </c>
      <c r="CW146" s="312">
        <v>503</v>
      </c>
      <c r="CX146" s="59">
        <v>200000</v>
      </c>
      <c r="CY146" s="314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98">
        <v>280</v>
      </c>
      <c r="DG146" s="312">
        <v>8.8000000000000007</v>
      </c>
      <c r="DH146" s="312">
        <v>640</v>
      </c>
      <c r="DI146" s="32">
        <v>730</v>
      </c>
      <c r="DJ146" s="312">
        <v>800</v>
      </c>
      <c r="DK146" s="32">
        <v>940</v>
      </c>
      <c r="DL146" s="59">
        <v>200000</v>
      </c>
      <c r="DM146" s="42" t="s">
        <v>6068</v>
      </c>
      <c r="DN146" s="312" t="s">
        <v>4432</v>
      </c>
      <c r="DO146" s="301" t="s">
        <v>4562</v>
      </c>
    </row>
    <row r="147" spans="1:119">
      <c r="A147" s="18">
        <v>142</v>
      </c>
      <c r="B147" s="419"/>
      <c r="C147" s="419"/>
      <c r="D147" s="420"/>
      <c r="E147" s="330"/>
      <c r="F147" s="318"/>
      <c r="G147" s="327"/>
      <c r="H147" s="327"/>
      <c r="I147" s="327"/>
      <c r="J147" s="285" t="s">
        <v>6062</v>
      </c>
      <c r="K147" s="314" t="s">
        <v>4380</v>
      </c>
      <c r="L147" s="312" t="s">
        <v>5786</v>
      </c>
      <c r="M147" s="314" t="s">
        <v>4504</v>
      </c>
      <c r="N147" s="312" t="s">
        <v>4698</v>
      </c>
      <c r="O147" s="18" t="s">
        <v>4503</v>
      </c>
      <c r="P147" s="312" t="s">
        <v>4467</v>
      </c>
      <c r="Q147" s="312" t="s">
        <v>4417</v>
      </c>
      <c r="R147" s="312" t="s">
        <v>6157</v>
      </c>
      <c r="S147" s="312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12" t="s">
        <v>4417</v>
      </c>
      <c r="Y147" s="312" t="s">
        <v>5786</v>
      </c>
      <c r="Z147" s="312" t="s">
        <v>4555</v>
      </c>
      <c r="AA147" s="18">
        <v>10</v>
      </c>
      <c r="AB147" s="223">
        <v>0</v>
      </c>
      <c r="AC147" s="18">
        <v>0</v>
      </c>
      <c r="AD147" s="314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14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9">(AT147-AK147)/2</f>
        <v>24.300000000000011</v>
      </c>
      <c r="AV147" s="21">
        <v>24.300000000000011</v>
      </c>
      <c r="AW147" s="314" t="s">
        <v>5801</v>
      </c>
      <c r="AX147" s="312" t="s">
        <v>4559</v>
      </c>
      <c r="AY147" s="312">
        <f>200/AZ147/0.25</f>
        <v>40</v>
      </c>
      <c r="AZ147" s="312">
        <v>20</v>
      </c>
      <c r="BA147" s="312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12" t="s">
        <v>6196</v>
      </c>
      <c r="BI147" s="312" t="s">
        <v>6196</v>
      </c>
      <c r="BJ147" s="312">
        <v>2</v>
      </c>
      <c r="BK147" s="312">
        <v>4</v>
      </c>
      <c r="BL147" s="314">
        <v>120</v>
      </c>
      <c r="BM147" s="312">
        <v>1100</v>
      </c>
      <c r="BN147" s="312" t="s">
        <v>6180</v>
      </c>
      <c r="BO147" s="312">
        <v>0.9</v>
      </c>
      <c r="BP147" s="312">
        <v>105</v>
      </c>
      <c r="BQ147" s="312">
        <v>1137</v>
      </c>
      <c r="BR147" s="312">
        <v>46</v>
      </c>
      <c r="BS147" s="312" t="s">
        <v>4587</v>
      </c>
      <c r="BT147" s="314" t="s">
        <v>5850</v>
      </c>
      <c r="BU147" s="312">
        <v>7</v>
      </c>
      <c r="BV147" s="312">
        <v>1</v>
      </c>
      <c r="BW147" s="312">
        <v>19</v>
      </c>
      <c r="BX147" s="312">
        <v>100</v>
      </c>
      <c r="BY147" s="312">
        <v>90</v>
      </c>
      <c r="BZ147" s="18">
        <v>225</v>
      </c>
      <c r="CA147" s="312" t="s">
        <v>4570</v>
      </c>
      <c r="CB147" s="312" t="s">
        <v>4578</v>
      </c>
      <c r="CC147" s="21">
        <f t="shared" si="38"/>
        <v>156.19999999999999</v>
      </c>
      <c r="CD147" s="21">
        <f>4*PI()*12^2/4</f>
        <v>452.38934211693021</v>
      </c>
      <c r="CE147" s="312">
        <v>25</v>
      </c>
      <c r="CF147" s="118">
        <v>5.5999999999999999E-3</v>
      </c>
      <c r="CG147" s="312" t="s">
        <v>5659</v>
      </c>
      <c r="CH147" s="45">
        <v>275</v>
      </c>
      <c r="CI147" s="312">
        <v>290</v>
      </c>
      <c r="CJ147" s="45">
        <v>410</v>
      </c>
      <c r="CK147" s="312">
        <v>496</v>
      </c>
      <c r="CL147" s="67">
        <v>206000</v>
      </c>
      <c r="CM147" s="312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12" t="s">
        <v>5659</v>
      </c>
      <c r="CT147" s="46">
        <v>275</v>
      </c>
      <c r="CU147" s="312">
        <v>308</v>
      </c>
      <c r="CV147" s="46">
        <v>410</v>
      </c>
      <c r="CW147" s="312">
        <v>503</v>
      </c>
      <c r="CX147" s="65">
        <v>200000</v>
      </c>
      <c r="CY147" s="312" t="s">
        <v>6059</v>
      </c>
      <c r="CZ147" s="21">
        <v>46.8</v>
      </c>
      <c r="DA147" s="21">
        <v>3.31</v>
      </c>
      <c r="DB147" s="65">
        <v>33000</v>
      </c>
      <c r="DC147" s="314">
        <v>486</v>
      </c>
      <c r="DD147" s="312">
        <v>557</v>
      </c>
      <c r="DE147" s="65">
        <v>200000</v>
      </c>
      <c r="DF147" s="298">
        <v>280</v>
      </c>
      <c r="DG147" s="312">
        <v>8.8000000000000007</v>
      </c>
      <c r="DH147" s="312">
        <v>640</v>
      </c>
      <c r="DI147" s="32">
        <v>730</v>
      </c>
      <c r="DJ147" s="312">
        <v>800</v>
      </c>
      <c r="DK147" s="32">
        <v>940</v>
      </c>
      <c r="DL147" s="59">
        <v>200000</v>
      </c>
      <c r="DM147" s="40" t="s">
        <v>6069</v>
      </c>
      <c r="DN147" s="312" t="s">
        <v>4432</v>
      </c>
      <c r="DO147" s="301" t="s">
        <v>4562</v>
      </c>
    </row>
    <row r="148" spans="1:119">
      <c r="A148" s="18">
        <v>143</v>
      </c>
      <c r="B148" s="419"/>
      <c r="C148" s="419"/>
      <c r="D148" s="420"/>
      <c r="E148" s="330"/>
      <c r="F148" s="318"/>
      <c r="G148" s="327"/>
      <c r="H148" s="327"/>
      <c r="I148" s="327"/>
      <c r="J148" s="285" t="s">
        <v>4396</v>
      </c>
      <c r="K148" s="314" t="s">
        <v>4380</v>
      </c>
      <c r="L148" s="312" t="s">
        <v>5786</v>
      </c>
      <c r="M148" s="314" t="s">
        <v>4504</v>
      </c>
      <c r="N148" s="312" t="s">
        <v>4698</v>
      </c>
      <c r="O148" s="18" t="s">
        <v>4503</v>
      </c>
      <c r="P148" s="312" t="s">
        <v>4467</v>
      </c>
      <c r="Q148" s="312" t="s">
        <v>4417</v>
      </c>
      <c r="R148" s="312" t="s">
        <v>6157</v>
      </c>
      <c r="S148" s="312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12" t="s">
        <v>4417</v>
      </c>
      <c r="Y148" s="312" t="s">
        <v>5786</v>
      </c>
      <c r="Z148" s="312" t="s">
        <v>4555</v>
      </c>
      <c r="AA148" s="18">
        <v>10</v>
      </c>
      <c r="AB148" s="223">
        <v>0</v>
      </c>
      <c r="AC148" s="18">
        <v>0</v>
      </c>
      <c r="AD148" s="314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14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9"/>
        <v>24.300000000000011</v>
      </c>
      <c r="AV148" s="21">
        <v>24.300000000000011</v>
      </c>
      <c r="AW148" s="314" t="s">
        <v>5801</v>
      </c>
      <c r="AX148" s="312" t="s">
        <v>4559</v>
      </c>
      <c r="AY148" s="312">
        <f>200/AZ148/0.25</f>
        <v>40</v>
      </c>
      <c r="AZ148" s="312">
        <v>20</v>
      </c>
      <c r="BA148" s="312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12" t="s">
        <v>6196</v>
      </c>
      <c r="BI148" s="312" t="s">
        <v>6196</v>
      </c>
      <c r="BJ148" s="312">
        <v>2</v>
      </c>
      <c r="BK148" s="312">
        <v>4</v>
      </c>
      <c r="BL148" s="314">
        <v>120</v>
      </c>
      <c r="BM148" s="312">
        <v>1100</v>
      </c>
      <c r="BN148" s="312" t="s">
        <v>6180</v>
      </c>
      <c r="BO148" s="312">
        <v>0.9</v>
      </c>
      <c r="BP148" s="312">
        <v>105</v>
      </c>
      <c r="BQ148" s="312">
        <v>1137</v>
      </c>
      <c r="BR148" s="312">
        <v>46</v>
      </c>
      <c r="BS148" s="312" t="s">
        <v>4587</v>
      </c>
      <c r="BT148" s="314" t="s">
        <v>5850</v>
      </c>
      <c r="BU148" s="312">
        <v>7</v>
      </c>
      <c r="BV148" s="312">
        <v>1</v>
      </c>
      <c r="BW148" s="312">
        <v>19</v>
      </c>
      <c r="BX148" s="312">
        <v>100</v>
      </c>
      <c r="BY148" s="312">
        <v>90</v>
      </c>
      <c r="BZ148" s="18">
        <v>225</v>
      </c>
      <c r="CA148" s="312" t="s">
        <v>4570</v>
      </c>
      <c r="CB148" s="312" t="s">
        <v>4580</v>
      </c>
      <c r="CC148" s="21">
        <f t="shared" si="38"/>
        <v>156.19999999999999</v>
      </c>
      <c r="CD148" s="21">
        <f>12*PI()*12^2/4</f>
        <v>1357.1680263507906</v>
      </c>
      <c r="CE148" s="312">
        <v>25</v>
      </c>
      <c r="CF148" s="118">
        <v>1.67E-2</v>
      </c>
      <c r="CG148" s="312" t="s">
        <v>5659</v>
      </c>
      <c r="CH148" s="45">
        <v>275</v>
      </c>
      <c r="CI148" s="312">
        <v>290</v>
      </c>
      <c r="CJ148" s="45">
        <v>410</v>
      </c>
      <c r="CK148" s="312">
        <v>496</v>
      </c>
      <c r="CL148" s="67">
        <v>206000</v>
      </c>
      <c r="CM148" s="312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12" t="s">
        <v>5659</v>
      </c>
      <c r="CT148" s="46">
        <v>275</v>
      </c>
      <c r="CU148" s="312">
        <v>308</v>
      </c>
      <c r="CV148" s="46">
        <v>410</v>
      </c>
      <c r="CW148" s="312">
        <v>503</v>
      </c>
      <c r="CX148" s="65">
        <v>200000</v>
      </c>
      <c r="CY148" s="312" t="s">
        <v>6059</v>
      </c>
      <c r="CZ148" s="21">
        <v>40.299999999999997</v>
      </c>
      <c r="DA148" s="21">
        <v>2.8</v>
      </c>
      <c r="DB148" s="65">
        <v>33000</v>
      </c>
      <c r="DC148" s="314">
        <v>486</v>
      </c>
      <c r="DD148" s="312">
        <v>557</v>
      </c>
      <c r="DE148" s="65">
        <v>200000</v>
      </c>
      <c r="DF148" s="298">
        <v>280</v>
      </c>
      <c r="DG148" s="312">
        <v>8.8000000000000007</v>
      </c>
      <c r="DH148" s="312">
        <v>640</v>
      </c>
      <c r="DI148" s="32">
        <v>730</v>
      </c>
      <c r="DJ148" s="312">
        <v>800</v>
      </c>
      <c r="DK148" s="32">
        <v>940</v>
      </c>
      <c r="DL148" s="59">
        <v>200000</v>
      </c>
      <c r="DM148" s="40" t="s">
        <v>6057</v>
      </c>
      <c r="DN148" s="312" t="s">
        <v>4432</v>
      </c>
      <c r="DO148" s="301" t="s">
        <v>4562</v>
      </c>
    </row>
    <row r="149" spans="1:119">
      <c r="A149" s="18">
        <v>144</v>
      </c>
      <c r="B149" s="419"/>
      <c r="C149" s="419"/>
      <c r="D149" s="420"/>
      <c r="E149" s="330"/>
      <c r="F149" s="318"/>
      <c r="G149" s="327"/>
      <c r="H149" s="327"/>
      <c r="I149" s="327"/>
      <c r="J149" s="285" t="s">
        <v>4397</v>
      </c>
      <c r="K149" s="314" t="s">
        <v>6328</v>
      </c>
      <c r="L149" s="312" t="s">
        <v>5786</v>
      </c>
      <c r="M149" s="314" t="s">
        <v>4504</v>
      </c>
      <c r="N149" s="312" t="s">
        <v>4698</v>
      </c>
      <c r="O149" s="18" t="s">
        <v>4502</v>
      </c>
      <c r="P149" s="312" t="s">
        <v>4467</v>
      </c>
      <c r="Q149" s="312" t="s">
        <v>4417</v>
      </c>
      <c r="R149" s="312" t="s">
        <v>4417</v>
      </c>
      <c r="S149" s="312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12" t="s">
        <v>4417</v>
      </c>
      <c r="Y149" s="312" t="s">
        <v>5786</v>
      </c>
      <c r="Z149" s="312" t="s">
        <v>4555</v>
      </c>
      <c r="AA149" s="18">
        <v>10</v>
      </c>
      <c r="AB149" s="223">
        <v>0</v>
      </c>
      <c r="AC149" s="18">
        <v>0</v>
      </c>
      <c r="AD149" s="314" t="s">
        <v>6329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14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9"/>
        <v>24.300000000000011</v>
      </c>
      <c r="AV149" s="21">
        <f t="shared" ref="AV149:AV155" si="40">(AT149-AK149)/2</f>
        <v>24.300000000000011</v>
      </c>
      <c r="AW149" s="314" t="s">
        <v>5801</v>
      </c>
      <c r="AX149" s="312" t="s">
        <v>4559</v>
      </c>
      <c r="AY149" s="312">
        <f>200/AZ149/0.25</f>
        <v>40</v>
      </c>
      <c r="AZ149" s="312">
        <v>20</v>
      </c>
      <c r="BA149" s="312">
        <f t="shared" ref="BA149:BA169" si="41">IF(AZ149=24,353,IF(AZ149=22,303,IF(AZ149=20,245,IF(AZ149=16,157,0))))</f>
        <v>245</v>
      </c>
      <c r="BB149" s="21">
        <v>74</v>
      </c>
      <c r="BC149" s="21">
        <f t="shared" ref="BC149:BC155" si="42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6326</v>
      </c>
      <c r="BH149" s="312" t="s">
        <v>6196</v>
      </c>
      <c r="BI149" s="312" t="s">
        <v>6196</v>
      </c>
      <c r="BJ149" s="312">
        <v>2</v>
      </c>
      <c r="BK149" s="312">
        <v>4</v>
      </c>
      <c r="BL149" s="314">
        <v>120</v>
      </c>
      <c r="BM149" s="312">
        <v>1100</v>
      </c>
      <c r="BN149" s="312" t="s">
        <v>6180</v>
      </c>
      <c r="BO149" s="312">
        <v>0.9</v>
      </c>
      <c r="BP149" s="312">
        <v>105</v>
      </c>
      <c r="BQ149" s="312">
        <v>1137</v>
      </c>
      <c r="BR149" s="312">
        <v>46</v>
      </c>
      <c r="BS149" s="312" t="s">
        <v>4587</v>
      </c>
      <c r="BT149" s="314" t="s">
        <v>5850</v>
      </c>
      <c r="BU149" s="312">
        <v>7</v>
      </c>
      <c r="BV149" s="312">
        <v>1</v>
      </c>
      <c r="BW149" s="312">
        <v>19</v>
      </c>
      <c r="BX149" s="312">
        <v>100</v>
      </c>
      <c r="BY149" s="312">
        <v>90</v>
      </c>
      <c r="BZ149" s="18">
        <v>225</v>
      </c>
      <c r="CA149" s="312" t="s">
        <v>4570</v>
      </c>
      <c r="CB149" s="312" t="s">
        <v>4579</v>
      </c>
      <c r="CC149" s="21">
        <f t="shared" si="38"/>
        <v>156.19999999999999</v>
      </c>
      <c r="CD149" s="21">
        <f>8*PI()*12^2/4</f>
        <v>904.77868423386042</v>
      </c>
      <c r="CE149" s="312">
        <v>25</v>
      </c>
      <c r="CF149" s="118">
        <v>1.11E-2</v>
      </c>
      <c r="CG149" s="312" t="s">
        <v>5659</v>
      </c>
      <c r="CH149" s="45">
        <v>275</v>
      </c>
      <c r="CI149" s="312">
        <v>290</v>
      </c>
      <c r="CJ149" s="45">
        <v>410</v>
      </c>
      <c r="CK149" s="312">
        <v>496</v>
      </c>
      <c r="CL149" s="67">
        <v>206000</v>
      </c>
      <c r="CM149" s="312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12" t="s">
        <v>5659</v>
      </c>
      <c r="CT149" s="46">
        <v>275</v>
      </c>
      <c r="CU149" s="312">
        <v>308</v>
      </c>
      <c r="CV149" s="46">
        <v>410</v>
      </c>
      <c r="CW149" s="312">
        <v>503</v>
      </c>
      <c r="CX149" s="59">
        <v>200000</v>
      </c>
      <c r="CY149" s="314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98">
        <v>280</v>
      </c>
      <c r="DG149" s="312">
        <v>8.8000000000000007</v>
      </c>
      <c r="DH149" s="312">
        <v>640</v>
      </c>
      <c r="DI149" s="32">
        <v>730</v>
      </c>
      <c r="DJ149" s="312">
        <v>800</v>
      </c>
      <c r="DK149" s="32">
        <v>940</v>
      </c>
      <c r="DL149" s="59">
        <v>200000</v>
      </c>
      <c r="DM149" s="40" t="s">
        <v>6070</v>
      </c>
      <c r="DN149" s="312" t="s">
        <v>4432</v>
      </c>
      <c r="DO149" s="301" t="s">
        <v>4562</v>
      </c>
    </row>
    <row r="150" spans="1:119">
      <c r="A150" s="18">
        <v>145</v>
      </c>
      <c r="B150" s="419"/>
      <c r="C150" s="419"/>
      <c r="D150" s="420"/>
      <c r="E150" s="330"/>
      <c r="F150" s="318"/>
      <c r="G150" s="327"/>
      <c r="H150" s="327"/>
      <c r="I150" s="327"/>
      <c r="J150" s="285" t="s">
        <v>4398</v>
      </c>
      <c r="K150" s="314" t="s">
        <v>6328</v>
      </c>
      <c r="L150" s="312" t="s">
        <v>5786</v>
      </c>
      <c r="M150" s="314" t="s">
        <v>4504</v>
      </c>
      <c r="N150" s="312" t="s">
        <v>4698</v>
      </c>
      <c r="O150" s="18" t="s">
        <v>4502</v>
      </c>
      <c r="P150" s="312" t="s">
        <v>4467</v>
      </c>
      <c r="Q150" s="312" t="s">
        <v>4417</v>
      </c>
      <c r="R150" s="312" t="s">
        <v>4417</v>
      </c>
      <c r="S150" s="312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12" t="s">
        <v>4417</v>
      </c>
      <c r="Y150" s="312" t="s">
        <v>5786</v>
      </c>
      <c r="Z150" s="312" t="s">
        <v>4555</v>
      </c>
      <c r="AA150" s="18">
        <v>10</v>
      </c>
      <c r="AB150" s="223">
        <v>0</v>
      </c>
      <c r="AC150" s="18">
        <v>0</v>
      </c>
      <c r="AD150" s="314" t="s">
        <v>6329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14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9"/>
        <v>24.300000000000011</v>
      </c>
      <c r="AV150" s="21">
        <f t="shared" si="40"/>
        <v>24.300000000000011</v>
      </c>
      <c r="AW150" s="314" t="s">
        <v>5801</v>
      </c>
      <c r="AX150" s="312" t="s">
        <v>4559</v>
      </c>
      <c r="AY150" s="312">
        <f t="shared" ref="AY150:AY155" si="43">200/AZ150/0.25</f>
        <v>40</v>
      </c>
      <c r="AZ150" s="312">
        <v>20</v>
      </c>
      <c r="BA150" s="312">
        <f t="shared" si="41"/>
        <v>245</v>
      </c>
      <c r="BB150" s="21">
        <v>74</v>
      </c>
      <c r="BC150" s="21">
        <f t="shared" si="42"/>
        <v>74</v>
      </c>
      <c r="BD150" s="21">
        <v>0</v>
      </c>
      <c r="BE150" s="21">
        <v>86</v>
      </c>
      <c r="BF150" s="21">
        <f t="shared" ref="BF150:BF155" si="44">AT150-BB150-BC150-BD150</f>
        <v>204</v>
      </c>
      <c r="BG150" s="15" t="s">
        <v>6326</v>
      </c>
      <c r="BH150" s="312" t="s">
        <v>6196</v>
      </c>
      <c r="BI150" s="312" t="s">
        <v>6196</v>
      </c>
      <c r="BJ150" s="312">
        <v>2</v>
      </c>
      <c r="BK150" s="312">
        <v>4</v>
      </c>
      <c r="BL150" s="314">
        <v>120</v>
      </c>
      <c r="BM150" s="312">
        <v>1100</v>
      </c>
      <c r="BN150" s="312" t="s">
        <v>6180</v>
      </c>
      <c r="BO150" s="312">
        <v>0.9</v>
      </c>
      <c r="BP150" s="312">
        <v>105</v>
      </c>
      <c r="BQ150" s="312">
        <v>1137</v>
      </c>
      <c r="BR150" s="312">
        <v>46</v>
      </c>
      <c r="BS150" s="312" t="s">
        <v>4587</v>
      </c>
      <c r="BT150" s="314" t="s">
        <v>5850</v>
      </c>
      <c r="BU150" s="312">
        <v>7</v>
      </c>
      <c r="BV150" s="312">
        <v>1</v>
      </c>
      <c r="BW150" s="312">
        <v>19</v>
      </c>
      <c r="BX150" s="312">
        <v>100</v>
      </c>
      <c r="BY150" s="312">
        <v>90</v>
      </c>
      <c r="BZ150" s="18">
        <v>225</v>
      </c>
      <c r="CA150" s="312" t="s">
        <v>4570</v>
      </c>
      <c r="CB150" s="312" t="s">
        <v>4569</v>
      </c>
      <c r="CC150" s="21">
        <f>142*BM150/1000</f>
        <v>156.19999999999999</v>
      </c>
      <c r="CD150" s="21">
        <v>0</v>
      </c>
      <c r="CE150" s="312">
        <v>25</v>
      </c>
      <c r="CF150" s="118">
        <v>0</v>
      </c>
      <c r="CG150" s="312" t="s">
        <v>5659</v>
      </c>
      <c r="CH150" s="45">
        <v>275</v>
      </c>
      <c r="CI150" s="312">
        <v>290</v>
      </c>
      <c r="CJ150" s="45">
        <v>410</v>
      </c>
      <c r="CK150" s="312">
        <v>496</v>
      </c>
      <c r="CL150" s="67">
        <v>206000</v>
      </c>
      <c r="CM150" s="312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12" t="s">
        <v>5659</v>
      </c>
      <c r="CT150" s="46">
        <v>275</v>
      </c>
      <c r="CU150" s="312">
        <v>308</v>
      </c>
      <c r="CV150" s="46">
        <v>410</v>
      </c>
      <c r="CW150" s="312">
        <v>503</v>
      </c>
      <c r="CX150" s="59">
        <v>200000</v>
      </c>
      <c r="CY150" s="314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98">
        <v>280</v>
      </c>
      <c r="DG150" s="312">
        <v>8.8000000000000007</v>
      </c>
      <c r="DH150" s="312">
        <v>640</v>
      </c>
      <c r="DI150" s="32">
        <v>730</v>
      </c>
      <c r="DJ150" s="312">
        <v>800</v>
      </c>
      <c r="DK150" s="32">
        <v>940</v>
      </c>
      <c r="DL150" s="59">
        <v>200000</v>
      </c>
      <c r="DM150" s="40" t="s">
        <v>6071</v>
      </c>
      <c r="DN150" s="312" t="s">
        <v>4432</v>
      </c>
      <c r="DO150" s="301" t="s">
        <v>4562</v>
      </c>
    </row>
    <row r="151" spans="1:119">
      <c r="A151" s="18">
        <v>146</v>
      </c>
      <c r="B151" s="419"/>
      <c r="C151" s="419"/>
      <c r="D151" s="420"/>
      <c r="E151" s="330"/>
      <c r="F151" s="318"/>
      <c r="G151" s="327"/>
      <c r="H151" s="327"/>
      <c r="I151" s="327"/>
      <c r="J151" s="285" t="s">
        <v>6064</v>
      </c>
      <c r="K151" s="314" t="s">
        <v>6328</v>
      </c>
      <c r="L151" s="312" t="s">
        <v>5786</v>
      </c>
      <c r="M151" s="314" t="s">
        <v>4504</v>
      </c>
      <c r="N151" s="312" t="s">
        <v>4698</v>
      </c>
      <c r="O151" s="18" t="s">
        <v>4503</v>
      </c>
      <c r="P151" s="312" t="s">
        <v>4467</v>
      </c>
      <c r="Q151" s="312" t="s">
        <v>4417</v>
      </c>
      <c r="R151" s="312" t="s">
        <v>6157</v>
      </c>
      <c r="S151" s="312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12" t="s">
        <v>4417</v>
      </c>
      <c r="Y151" s="312" t="s">
        <v>5786</v>
      </c>
      <c r="Z151" s="312" t="s">
        <v>4555</v>
      </c>
      <c r="AA151" s="18">
        <v>10</v>
      </c>
      <c r="AB151" s="223">
        <v>0</v>
      </c>
      <c r="AC151" s="18">
        <v>0</v>
      </c>
      <c r="AD151" s="314" t="s">
        <v>6329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14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9"/>
        <v>24.300000000000011</v>
      </c>
      <c r="AV151" s="21">
        <f>(AT151-AK151)/2</f>
        <v>24.300000000000011</v>
      </c>
      <c r="AW151" s="314" t="s">
        <v>5801</v>
      </c>
      <c r="AX151" s="312" t="s">
        <v>4559</v>
      </c>
      <c r="AY151" s="312">
        <f>200/AZ151/0.25</f>
        <v>40</v>
      </c>
      <c r="AZ151" s="312">
        <v>20</v>
      </c>
      <c r="BA151" s="312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6326</v>
      </c>
      <c r="BH151" s="312" t="s">
        <v>6196</v>
      </c>
      <c r="BI151" s="312" t="s">
        <v>6196</v>
      </c>
      <c r="BJ151" s="312">
        <v>2</v>
      </c>
      <c r="BK151" s="312">
        <v>4</v>
      </c>
      <c r="BL151" s="314">
        <v>120</v>
      </c>
      <c r="BM151" s="312">
        <v>1100</v>
      </c>
      <c r="BN151" s="312" t="s">
        <v>6180</v>
      </c>
      <c r="BO151" s="312">
        <v>0.9</v>
      </c>
      <c r="BP151" s="312">
        <v>105</v>
      </c>
      <c r="BQ151" s="312">
        <v>1137</v>
      </c>
      <c r="BR151" s="312">
        <v>46</v>
      </c>
      <c r="BS151" s="312" t="s">
        <v>4587</v>
      </c>
      <c r="BT151" s="314" t="s">
        <v>5850</v>
      </c>
      <c r="BU151" s="312">
        <v>7</v>
      </c>
      <c r="BV151" s="312">
        <v>1</v>
      </c>
      <c r="BW151" s="312">
        <v>19</v>
      </c>
      <c r="BX151" s="312">
        <v>100</v>
      </c>
      <c r="BY151" s="312">
        <v>90</v>
      </c>
      <c r="BZ151" s="18">
        <v>225</v>
      </c>
      <c r="CA151" s="312" t="s">
        <v>6153</v>
      </c>
      <c r="CB151" s="312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12">
        <v>25</v>
      </c>
      <c r="CF151" s="118">
        <v>1.67E-2</v>
      </c>
      <c r="CG151" s="312" t="s">
        <v>5659</v>
      </c>
      <c r="CH151" s="45">
        <v>275</v>
      </c>
      <c r="CI151" s="312">
        <v>290</v>
      </c>
      <c r="CJ151" s="45">
        <v>410</v>
      </c>
      <c r="CK151" s="312">
        <v>496</v>
      </c>
      <c r="CL151" s="67">
        <v>206000</v>
      </c>
      <c r="CM151" s="312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12" t="s">
        <v>5659</v>
      </c>
      <c r="CT151" s="46">
        <v>275</v>
      </c>
      <c r="CU151" s="312">
        <v>308</v>
      </c>
      <c r="CV151" s="46">
        <v>410</v>
      </c>
      <c r="CW151" s="312">
        <v>503</v>
      </c>
      <c r="CX151" s="59">
        <v>200000</v>
      </c>
      <c r="CY151" s="314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98">
        <v>280</v>
      </c>
      <c r="DG151" s="312">
        <v>8.8000000000000007</v>
      </c>
      <c r="DH151" s="312">
        <v>640</v>
      </c>
      <c r="DI151" s="32">
        <v>730</v>
      </c>
      <c r="DJ151" s="312">
        <v>800</v>
      </c>
      <c r="DK151" s="32">
        <v>940</v>
      </c>
      <c r="DL151" s="59">
        <v>200000</v>
      </c>
      <c r="DM151" s="40" t="s">
        <v>6066</v>
      </c>
      <c r="DN151" s="312" t="s">
        <v>4432</v>
      </c>
      <c r="DO151" s="301" t="s">
        <v>4562</v>
      </c>
    </row>
    <row r="152" spans="1:119">
      <c r="A152" s="18">
        <v>147</v>
      </c>
      <c r="B152" s="419"/>
      <c r="C152" s="419"/>
      <c r="D152" s="420"/>
      <c r="E152" s="330"/>
      <c r="F152" s="318"/>
      <c r="G152" s="327"/>
      <c r="H152" s="327"/>
      <c r="I152" s="327"/>
      <c r="J152" s="285" t="s">
        <v>4400</v>
      </c>
      <c r="K152" s="314" t="s">
        <v>6328</v>
      </c>
      <c r="L152" s="312" t="s">
        <v>5786</v>
      </c>
      <c r="M152" s="314" t="s">
        <v>4504</v>
      </c>
      <c r="N152" s="312" t="s">
        <v>4698</v>
      </c>
      <c r="O152" s="18" t="s">
        <v>4502</v>
      </c>
      <c r="P152" s="312" t="s">
        <v>4467</v>
      </c>
      <c r="Q152" s="312" t="s">
        <v>4417</v>
      </c>
      <c r="R152" s="312" t="s">
        <v>4417</v>
      </c>
      <c r="S152" s="312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12" t="s">
        <v>4417</v>
      </c>
      <c r="Y152" s="312" t="s">
        <v>5786</v>
      </c>
      <c r="Z152" s="312" t="s">
        <v>4555</v>
      </c>
      <c r="AA152" s="18">
        <v>10</v>
      </c>
      <c r="AB152" s="223">
        <v>0</v>
      </c>
      <c r="AC152" s="18">
        <v>0</v>
      </c>
      <c r="AD152" s="314" t="s">
        <v>6329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14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9"/>
        <v>24.300000000000011</v>
      </c>
      <c r="AV152" s="21">
        <f t="shared" si="40"/>
        <v>24.300000000000011</v>
      </c>
      <c r="AW152" s="314" t="s">
        <v>5801</v>
      </c>
      <c r="AX152" s="312" t="s">
        <v>4559</v>
      </c>
      <c r="AY152" s="312">
        <f t="shared" si="43"/>
        <v>40</v>
      </c>
      <c r="AZ152" s="312">
        <v>20</v>
      </c>
      <c r="BA152" s="312">
        <f t="shared" si="41"/>
        <v>245</v>
      </c>
      <c r="BB152" s="21">
        <v>74</v>
      </c>
      <c r="BC152" s="21">
        <f t="shared" si="42"/>
        <v>74</v>
      </c>
      <c r="BD152" s="21">
        <v>0</v>
      </c>
      <c r="BE152" s="21">
        <v>86</v>
      </c>
      <c r="BF152" s="21">
        <f t="shared" si="44"/>
        <v>204</v>
      </c>
      <c r="BG152" s="15" t="s">
        <v>6326</v>
      </c>
      <c r="BH152" s="312" t="s">
        <v>6196</v>
      </c>
      <c r="BI152" s="312" t="s">
        <v>6196</v>
      </c>
      <c r="BJ152" s="312">
        <v>2</v>
      </c>
      <c r="BK152" s="312">
        <v>4</v>
      </c>
      <c r="BL152" s="314">
        <v>120</v>
      </c>
      <c r="BM152" s="312">
        <v>1100</v>
      </c>
      <c r="BN152" s="312" t="s">
        <v>6180</v>
      </c>
      <c r="BO152" s="312">
        <v>0.9</v>
      </c>
      <c r="BP152" s="312">
        <v>105</v>
      </c>
      <c r="BQ152" s="312">
        <v>1137</v>
      </c>
      <c r="BR152" s="312">
        <v>46</v>
      </c>
      <c r="BS152" s="312" t="s">
        <v>4587</v>
      </c>
      <c r="BT152" s="314" t="s">
        <v>5850</v>
      </c>
      <c r="BU152" s="312">
        <v>7</v>
      </c>
      <c r="BV152" s="312">
        <v>1</v>
      </c>
      <c r="BW152" s="312">
        <v>19</v>
      </c>
      <c r="BX152" s="312">
        <v>100</v>
      </c>
      <c r="BY152" s="312">
        <v>90</v>
      </c>
      <c r="BZ152" s="18">
        <v>225</v>
      </c>
      <c r="CA152" s="312" t="s">
        <v>4570</v>
      </c>
      <c r="CB152" s="312" t="s">
        <v>4578</v>
      </c>
      <c r="CC152" s="21">
        <f t="shared" ref="CC152" si="45">142*BM152/1000</f>
        <v>156.19999999999999</v>
      </c>
      <c r="CD152" s="21">
        <f>4*PI()*12^2/4</f>
        <v>452.38934211693021</v>
      </c>
      <c r="CE152" s="312">
        <v>25</v>
      </c>
      <c r="CF152" s="118">
        <v>5.5999999999999999E-3</v>
      </c>
      <c r="CG152" s="312" t="s">
        <v>5659</v>
      </c>
      <c r="CH152" s="45">
        <v>275</v>
      </c>
      <c r="CI152" s="312">
        <v>290</v>
      </c>
      <c r="CJ152" s="45">
        <v>410</v>
      </c>
      <c r="CK152" s="312">
        <v>496</v>
      </c>
      <c r="CL152" s="67">
        <v>206000</v>
      </c>
      <c r="CM152" s="312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12" t="s">
        <v>5659</v>
      </c>
      <c r="CT152" s="46">
        <v>275</v>
      </c>
      <c r="CU152" s="312">
        <v>309</v>
      </c>
      <c r="CV152" s="46">
        <v>410</v>
      </c>
      <c r="CW152" s="312">
        <v>500</v>
      </c>
      <c r="CX152" s="59">
        <v>200000</v>
      </c>
      <c r="CY152" s="314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98">
        <v>280</v>
      </c>
      <c r="DG152" s="312">
        <v>8.8000000000000007</v>
      </c>
      <c r="DH152" s="312">
        <v>640</v>
      </c>
      <c r="DI152" s="32">
        <v>730</v>
      </c>
      <c r="DJ152" s="312">
        <v>800</v>
      </c>
      <c r="DK152" s="32">
        <v>940</v>
      </c>
      <c r="DL152" s="59">
        <v>200000</v>
      </c>
      <c r="DM152" s="40" t="s">
        <v>5849</v>
      </c>
      <c r="DN152" s="312" t="s">
        <v>4432</v>
      </c>
      <c r="DO152" s="301" t="s">
        <v>4562</v>
      </c>
    </row>
    <row r="153" spans="1:119">
      <c r="A153" s="18">
        <v>148</v>
      </c>
      <c r="B153" s="419"/>
      <c r="C153" s="419"/>
      <c r="D153" s="420"/>
      <c r="E153" s="330"/>
      <c r="F153" s="318"/>
      <c r="G153" s="327"/>
      <c r="H153" s="327"/>
      <c r="I153" s="327"/>
      <c r="J153" s="287" t="s">
        <v>6061</v>
      </c>
      <c r="K153" s="314" t="s">
        <v>6328</v>
      </c>
      <c r="L153" s="312" t="s">
        <v>5786</v>
      </c>
      <c r="M153" s="314" t="s">
        <v>4504</v>
      </c>
      <c r="N153" s="312" t="s">
        <v>4698</v>
      </c>
      <c r="O153" s="18" t="s">
        <v>4503</v>
      </c>
      <c r="P153" s="312" t="s">
        <v>4417</v>
      </c>
      <c r="Q153" s="312" t="s">
        <v>4417</v>
      </c>
      <c r="R153" s="312" t="s">
        <v>6157</v>
      </c>
      <c r="S153" s="312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12" t="s">
        <v>4417</v>
      </c>
      <c r="Y153" s="312" t="s">
        <v>5786</v>
      </c>
      <c r="Z153" s="312" t="s">
        <v>4555</v>
      </c>
      <c r="AA153" s="18">
        <v>10</v>
      </c>
      <c r="AB153" s="223">
        <v>0</v>
      </c>
      <c r="AC153" s="18">
        <v>0</v>
      </c>
      <c r="AD153" s="314" t="s">
        <v>6329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14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9"/>
        <v>24.300000000000011</v>
      </c>
      <c r="AV153" s="21">
        <f>(AT153-AK153)/2</f>
        <v>24.300000000000011</v>
      </c>
      <c r="AW153" s="314" t="s">
        <v>5801</v>
      </c>
      <c r="AX153" s="312" t="s">
        <v>4559</v>
      </c>
      <c r="AY153" s="312">
        <f>200/AZ153/0.25</f>
        <v>40</v>
      </c>
      <c r="AZ153" s="312">
        <v>20</v>
      </c>
      <c r="BA153" s="312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6326</v>
      </c>
      <c r="BH153" s="312" t="s">
        <v>6196</v>
      </c>
      <c r="BI153" s="312" t="s">
        <v>6196</v>
      </c>
      <c r="BJ153" s="312">
        <v>2</v>
      </c>
      <c r="BK153" s="312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12" t="s">
        <v>5659</v>
      </c>
      <c r="CH153" s="45">
        <v>275</v>
      </c>
      <c r="CI153" s="312">
        <v>290</v>
      </c>
      <c r="CJ153" s="45">
        <v>410</v>
      </c>
      <c r="CK153" s="312">
        <v>496</v>
      </c>
      <c r="CL153" s="67">
        <v>206000</v>
      </c>
      <c r="CM153" s="312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12" t="s">
        <v>5659</v>
      </c>
      <c r="CT153" s="46">
        <v>275</v>
      </c>
      <c r="CU153" s="312">
        <v>309</v>
      </c>
      <c r="CV153" s="46">
        <v>410</v>
      </c>
      <c r="CW153" s="312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12">
        <v>8.8000000000000007</v>
      </c>
      <c r="DH153" s="312">
        <v>640</v>
      </c>
      <c r="DI153" s="32">
        <v>730</v>
      </c>
      <c r="DJ153" s="312">
        <v>800</v>
      </c>
      <c r="DK153" s="32">
        <v>940</v>
      </c>
      <c r="DL153" s="59">
        <v>200000</v>
      </c>
      <c r="DM153" s="40" t="s">
        <v>4760</v>
      </c>
      <c r="DN153" s="312" t="s">
        <v>4432</v>
      </c>
      <c r="DO153" s="301" t="s">
        <v>4562</v>
      </c>
    </row>
    <row r="154" spans="1:119">
      <c r="A154" s="18">
        <v>149</v>
      </c>
      <c r="B154" s="419"/>
      <c r="C154" s="419"/>
      <c r="D154" s="420"/>
      <c r="E154" s="330"/>
      <c r="F154" s="318"/>
      <c r="G154" s="327"/>
      <c r="H154" s="327"/>
      <c r="I154" s="327"/>
      <c r="J154" s="285" t="s">
        <v>6060</v>
      </c>
      <c r="K154" s="314" t="s">
        <v>6328</v>
      </c>
      <c r="L154" s="312" t="s">
        <v>5786</v>
      </c>
      <c r="M154" s="314" t="s">
        <v>4504</v>
      </c>
      <c r="N154" s="312" t="s">
        <v>4698</v>
      </c>
      <c r="O154" s="18" t="s">
        <v>4503</v>
      </c>
      <c r="P154" s="312" t="s">
        <v>4467</v>
      </c>
      <c r="Q154" s="312" t="s">
        <v>4417</v>
      </c>
      <c r="R154" s="312" t="s">
        <v>6157</v>
      </c>
      <c r="S154" s="312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12" t="s">
        <v>4417</v>
      </c>
      <c r="Y154" s="312" t="s">
        <v>5786</v>
      </c>
      <c r="Z154" s="312" t="s">
        <v>4555</v>
      </c>
      <c r="AA154" s="18">
        <v>10</v>
      </c>
      <c r="AB154" s="223">
        <v>0</v>
      </c>
      <c r="AC154" s="18">
        <v>0</v>
      </c>
      <c r="AD154" s="314" t="s">
        <v>6329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14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9"/>
        <v>25.099999999999994</v>
      </c>
      <c r="AV154" s="21">
        <f>(AT154-AK154)/2</f>
        <v>25.099999999999994</v>
      </c>
      <c r="AW154" s="314" t="s">
        <v>5801</v>
      </c>
      <c r="AX154" s="312" t="s">
        <v>4559</v>
      </c>
      <c r="AY154" s="312">
        <f>200/AZ154/0.25</f>
        <v>40</v>
      </c>
      <c r="AZ154" s="312">
        <v>20</v>
      </c>
      <c r="BA154" s="312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6326</v>
      </c>
      <c r="BH154" s="312" t="s">
        <v>6196</v>
      </c>
      <c r="BI154" s="312" t="s">
        <v>6196</v>
      </c>
      <c r="BJ154" s="312">
        <v>2</v>
      </c>
      <c r="BK154" s="312">
        <v>4</v>
      </c>
      <c r="BL154" s="314">
        <v>120</v>
      </c>
      <c r="BM154" s="312">
        <v>1100</v>
      </c>
      <c r="BN154" s="312" t="s">
        <v>6180</v>
      </c>
      <c r="BO154" s="312">
        <v>0.9</v>
      </c>
      <c r="BP154" s="312">
        <v>105</v>
      </c>
      <c r="BQ154" s="312">
        <v>1137</v>
      </c>
      <c r="BR154" s="312">
        <v>46</v>
      </c>
      <c r="BS154" s="312" t="s">
        <v>4587</v>
      </c>
      <c r="BT154" s="314" t="s">
        <v>5850</v>
      </c>
      <c r="BU154" s="312">
        <v>7</v>
      </c>
      <c r="BV154" s="312">
        <v>1</v>
      </c>
      <c r="BW154" s="312">
        <v>19</v>
      </c>
      <c r="BX154" s="312">
        <v>100</v>
      </c>
      <c r="BY154" s="312">
        <v>90</v>
      </c>
      <c r="BZ154" s="18">
        <v>225</v>
      </c>
      <c r="CA154" s="312" t="s">
        <v>4570</v>
      </c>
      <c r="CB154" s="312" t="s">
        <v>4579</v>
      </c>
      <c r="CC154" s="21">
        <f>142*BM154/1000</f>
        <v>156.19999999999999</v>
      </c>
      <c r="CD154" s="21">
        <f>8*PI()*12^2/4</f>
        <v>904.77868423386042</v>
      </c>
      <c r="CE154" s="312">
        <v>25</v>
      </c>
      <c r="CF154" s="118">
        <v>1.11E-2</v>
      </c>
      <c r="CG154" s="312" t="s">
        <v>5659</v>
      </c>
      <c r="CH154" s="45">
        <v>275</v>
      </c>
      <c r="CI154" s="312">
        <v>290</v>
      </c>
      <c r="CJ154" s="45">
        <v>410</v>
      </c>
      <c r="CK154" s="312">
        <v>496</v>
      </c>
      <c r="CL154" s="67">
        <v>206000</v>
      </c>
      <c r="CM154" s="312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12" t="s">
        <v>5659</v>
      </c>
      <c r="CT154" s="46">
        <v>275</v>
      </c>
      <c r="CU154" s="312">
        <v>309</v>
      </c>
      <c r="CV154" s="46">
        <v>410</v>
      </c>
      <c r="CW154" s="312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98">
        <v>280</v>
      </c>
      <c r="DG154" s="312">
        <v>8.8000000000000007</v>
      </c>
      <c r="DH154" s="312">
        <v>640</v>
      </c>
      <c r="DI154" s="32">
        <v>730</v>
      </c>
      <c r="DJ154" s="312">
        <v>800</v>
      </c>
      <c r="DK154" s="32">
        <v>940</v>
      </c>
      <c r="DL154" s="59">
        <v>200000</v>
      </c>
      <c r="DM154" s="263" t="s">
        <v>6067</v>
      </c>
      <c r="DN154" s="312" t="s">
        <v>4432</v>
      </c>
      <c r="DO154" s="301" t="s">
        <v>4562</v>
      </c>
    </row>
    <row r="155" spans="1:119" ht="16.2" thickBot="1">
      <c r="A155" s="18">
        <v>150</v>
      </c>
      <c r="B155" s="419"/>
      <c r="C155" s="419"/>
      <c r="D155" s="420"/>
      <c r="E155" s="330"/>
      <c r="F155" s="318"/>
      <c r="G155" s="327"/>
      <c r="H155" s="327"/>
      <c r="I155" s="327"/>
      <c r="J155" s="288" t="s">
        <v>4403</v>
      </c>
      <c r="K155" s="314" t="s">
        <v>6328</v>
      </c>
      <c r="L155" s="312" t="s">
        <v>5786</v>
      </c>
      <c r="M155" s="314" t="s">
        <v>4504</v>
      </c>
      <c r="N155" s="312" t="s">
        <v>4698</v>
      </c>
      <c r="O155" s="18" t="s">
        <v>4502</v>
      </c>
      <c r="P155" s="312" t="s">
        <v>4417</v>
      </c>
      <c r="Q155" s="312" t="s">
        <v>4417</v>
      </c>
      <c r="R155" s="312" t="s">
        <v>4417</v>
      </c>
      <c r="S155" s="312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12" t="s">
        <v>4417</v>
      </c>
      <c r="Y155" s="312" t="s">
        <v>5786</v>
      </c>
      <c r="Z155" s="312" t="s">
        <v>4555</v>
      </c>
      <c r="AA155" s="18">
        <v>10</v>
      </c>
      <c r="AB155" s="223">
        <v>0</v>
      </c>
      <c r="AC155" s="18">
        <v>0</v>
      </c>
      <c r="AD155" s="314" t="s">
        <v>6329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14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9"/>
        <v>24.300000000000011</v>
      </c>
      <c r="AV155" s="21">
        <f t="shared" si="40"/>
        <v>24.300000000000011</v>
      </c>
      <c r="AW155" s="314" t="s">
        <v>5801</v>
      </c>
      <c r="AX155" s="312" t="s">
        <v>4559</v>
      </c>
      <c r="AY155" s="312">
        <f t="shared" si="43"/>
        <v>40</v>
      </c>
      <c r="AZ155" s="312">
        <v>20</v>
      </c>
      <c r="BA155" s="312">
        <f t="shared" si="41"/>
        <v>245</v>
      </c>
      <c r="BB155" s="21">
        <v>74</v>
      </c>
      <c r="BC155" s="21">
        <f t="shared" si="42"/>
        <v>74</v>
      </c>
      <c r="BD155" s="21">
        <v>0</v>
      </c>
      <c r="BE155" s="21">
        <v>86</v>
      </c>
      <c r="BF155" s="21">
        <f t="shared" si="44"/>
        <v>204</v>
      </c>
      <c r="BG155" s="15" t="s">
        <v>6326</v>
      </c>
      <c r="BH155" s="312" t="s">
        <v>6196</v>
      </c>
      <c r="BI155" s="312" t="s">
        <v>6196</v>
      </c>
      <c r="BJ155" s="312">
        <v>2</v>
      </c>
      <c r="BK155" s="312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12" t="s">
        <v>5659</v>
      </c>
      <c r="CH155" s="45">
        <v>275</v>
      </c>
      <c r="CI155" s="312">
        <v>290</v>
      </c>
      <c r="CJ155" s="45">
        <v>410</v>
      </c>
      <c r="CK155" s="312">
        <v>496</v>
      </c>
      <c r="CL155" s="67">
        <v>206000</v>
      </c>
      <c r="CM155" s="312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12" t="s">
        <v>5659</v>
      </c>
      <c r="CT155" s="46">
        <v>275</v>
      </c>
      <c r="CU155" s="312">
        <v>309</v>
      </c>
      <c r="CV155" s="46">
        <v>410</v>
      </c>
      <c r="CW155" s="312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12">
        <v>8.8000000000000007</v>
      </c>
      <c r="DH155" s="312">
        <v>640</v>
      </c>
      <c r="DI155" s="32">
        <v>730</v>
      </c>
      <c r="DJ155" s="312">
        <v>800</v>
      </c>
      <c r="DK155" s="32">
        <v>940</v>
      </c>
      <c r="DL155" s="59">
        <v>200000</v>
      </c>
      <c r="DM155" s="240" t="s">
        <v>5832</v>
      </c>
      <c r="DN155" s="312" t="s">
        <v>4432</v>
      </c>
      <c r="DO155" s="301" t="s">
        <v>4562</v>
      </c>
    </row>
    <row r="156" spans="1:119" ht="15.6" customHeight="1">
      <c r="A156" s="47">
        <v>151</v>
      </c>
      <c r="B156" s="317">
        <v>21</v>
      </c>
      <c r="C156" s="317">
        <v>1994</v>
      </c>
      <c r="D156" s="317" t="s">
        <v>5956</v>
      </c>
      <c r="E156" s="421" t="s">
        <v>5968</v>
      </c>
      <c r="F156" s="317">
        <v>4</v>
      </c>
      <c r="G156" s="421" t="s">
        <v>5955</v>
      </c>
      <c r="H156" s="317" t="s">
        <v>5949</v>
      </c>
      <c r="I156" s="317" t="s">
        <v>6222</v>
      </c>
      <c r="J156" s="289" t="s">
        <v>4635</v>
      </c>
      <c r="K156" s="303" t="s">
        <v>4380</v>
      </c>
      <c r="L156" s="306" t="s">
        <v>5786</v>
      </c>
      <c r="M156" s="303" t="s">
        <v>4505</v>
      </c>
      <c r="N156" s="311" t="s">
        <v>4699</v>
      </c>
      <c r="O156" s="47" t="s">
        <v>4503</v>
      </c>
      <c r="P156" s="303" t="s">
        <v>4417</v>
      </c>
      <c r="Q156" s="306" t="s">
        <v>4417</v>
      </c>
      <c r="R156" s="306" t="s">
        <v>6156</v>
      </c>
      <c r="S156" s="306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6" t="s">
        <v>4417</v>
      </c>
      <c r="Y156" s="306" t="s">
        <v>5786</v>
      </c>
      <c r="Z156" s="311" t="s">
        <v>4555</v>
      </c>
      <c r="AA156" s="17">
        <v>6</v>
      </c>
      <c r="AB156" s="231">
        <v>0</v>
      </c>
      <c r="AC156" s="17">
        <v>0</v>
      </c>
      <c r="AD156" s="306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9" t="s">
        <v>5801</v>
      </c>
      <c r="AX156" s="311" t="s">
        <v>5950</v>
      </c>
      <c r="AY156" s="306">
        <v>80</v>
      </c>
      <c r="AZ156" s="306">
        <v>16</v>
      </c>
      <c r="BA156" s="311">
        <f t="shared" si="41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11" t="s">
        <v>6196</v>
      </c>
      <c r="BI156" s="311" t="s">
        <v>6196</v>
      </c>
      <c r="BJ156" s="311">
        <v>2</v>
      </c>
      <c r="BK156" s="306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303" t="s">
        <v>5951</v>
      </c>
      <c r="CH156" s="306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6" t="s">
        <v>5951</v>
      </c>
      <c r="CN156" s="306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6" t="s">
        <v>5951</v>
      </c>
      <c r="CT156" s="306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6" t="s">
        <v>5952</v>
      </c>
      <c r="DH156" s="306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303" t="s">
        <v>4432</v>
      </c>
      <c r="DO156" s="300" t="s">
        <v>4562</v>
      </c>
    </row>
    <row r="157" spans="1:119">
      <c r="A157" s="18">
        <v>152</v>
      </c>
      <c r="B157" s="318"/>
      <c r="C157" s="318"/>
      <c r="D157" s="318"/>
      <c r="E157" s="422"/>
      <c r="F157" s="318"/>
      <c r="G157" s="422"/>
      <c r="H157" s="318"/>
      <c r="I157" s="318"/>
      <c r="J157" s="287" t="s">
        <v>4636</v>
      </c>
      <c r="K157" s="314" t="s">
        <v>4380</v>
      </c>
      <c r="L157" s="312" t="s">
        <v>5786</v>
      </c>
      <c r="M157" s="314" t="s">
        <v>4505</v>
      </c>
      <c r="N157" s="312" t="s">
        <v>4699</v>
      </c>
      <c r="O157" s="18" t="s">
        <v>4503</v>
      </c>
      <c r="P157" s="314" t="s">
        <v>4417</v>
      </c>
      <c r="Q157" s="312" t="s">
        <v>4417</v>
      </c>
      <c r="R157" s="307" t="s">
        <v>6156</v>
      </c>
      <c r="S157" s="312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12" t="s">
        <v>4417</v>
      </c>
      <c r="Y157" s="312" t="s">
        <v>5786</v>
      </c>
      <c r="Z157" s="312" t="s">
        <v>4555</v>
      </c>
      <c r="AA157" s="18">
        <v>6</v>
      </c>
      <c r="AB157" s="222">
        <v>0</v>
      </c>
      <c r="AC157" s="18">
        <v>0</v>
      </c>
      <c r="AD157" s="307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14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14" t="s">
        <v>5801</v>
      </c>
      <c r="AX157" s="312" t="s">
        <v>5954</v>
      </c>
      <c r="AY157" s="307">
        <v>130</v>
      </c>
      <c r="AZ157" s="307">
        <v>20</v>
      </c>
      <c r="BA157" s="312">
        <f t="shared" si="41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6">AT157-BB157-BC157-BD157</f>
        <v>67.399999999999991</v>
      </c>
      <c r="BG157" s="232" t="s">
        <v>4467</v>
      </c>
      <c r="BH157" s="312" t="s">
        <v>6196</v>
      </c>
      <c r="BI157" s="312" t="s">
        <v>6196</v>
      </c>
      <c r="BJ157" s="312">
        <v>2</v>
      </c>
      <c r="BK157" s="307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304" t="s">
        <v>5951</v>
      </c>
      <c r="CH157" s="307">
        <v>250</v>
      </c>
      <c r="CI157" s="45">
        <v>299</v>
      </c>
      <c r="CJ157" s="45">
        <v>400</v>
      </c>
      <c r="CK157" s="33">
        <f t="shared" ref="CK157:CK159" si="47">CJ157*1.1</f>
        <v>440.00000000000006</v>
      </c>
      <c r="CL157" s="65">
        <v>200000</v>
      </c>
      <c r="CM157" s="307" t="s">
        <v>5951</v>
      </c>
      <c r="CN157" s="307">
        <v>250</v>
      </c>
      <c r="CO157" s="45">
        <v>299</v>
      </c>
      <c r="CP157" s="45">
        <v>400</v>
      </c>
      <c r="CQ157" s="33">
        <f t="shared" ref="CQ157:CQ159" si="48">CP157*1.1</f>
        <v>440.00000000000006</v>
      </c>
      <c r="CR157" s="65">
        <v>200000</v>
      </c>
      <c r="CS157" s="307" t="s">
        <v>5951</v>
      </c>
      <c r="CT157" s="307">
        <v>250</v>
      </c>
      <c r="CU157" s="45">
        <v>299</v>
      </c>
      <c r="CV157" s="45">
        <v>400</v>
      </c>
      <c r="CW157" s="33">
        <f t="shared" ref="CW157:CW159" si="49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7" t="s">
        <v>5952</v>
      </c>
      <c r="DH157" s="307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304" t="s">
        <v>4432</v>
      </c>
      <c r="DO157" s="301" t="s">
        <v>4562</v>
      </c>
    </row>
    <row r="158" spans="1:119">
      <c r="A158" s="18">
        <v>153</v>
      </c>
      <c r="B158" s="318"/>
      <c r="C158" s="318"/>
      <c r="D158" s="318"/>
      <c r="E158" s="422"/>
      <c r="F158" s="318"/>
      <c r="G158" s="422"/>
      <c r="H158" s="318"/>
      <c r="I158" s="318"/>
      <c r="J158" s="287" t="s">
        <v>4637</v>
      </c>
      <c r="K158" s="314" t="s">
        <v>4380</v>
      </c>
      <c r="L158" s="312" t="s">
        <v>5786</v>
      </c>
      <c r="M158" s="314" t="s">
        <v>4505</v>
      </c>
      <c r="N158" s="312" t="s">
        <v>4699</v>
      </c>
      <c r="O158" s="18" t="s">
        <v>4503</v>
      </c>
      <c r="P158" s="314" t="s">
        <v>4417</v>
      </c>
      <c r="Q158" s="312" t="s">
        <v>4417</v>
      </c>
      <c r="R158" s="307" t="s">
        <v>6156</v>
      </c>
      <c r="S158" s="312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12" t="s">
        <v>4417</v>
      </c>
      <c r="Y158" s="312" t="s">
        <v>5786</v>
      </c>
      <c r="Z158" s="312" t="s">
        <v>4555</v>
      </c>
      <c r="AA158" s="18">
        <v>6</v>
      </c>
      <c r="AB158" s="222">
        <v>0</v>
      </c>
      <c r="AC158" s="18">
        <v>0</v>
      </c>
      <c r="AD158" s="307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14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14" t="s">
        <v>5801</v>
      </c>
      <c r="AX158" s="312" t="s">
        <v>5950</v>
      </c>
      <c r="AY158" s="307">
        <v>80</v>
      </c>
      <c r="AZ158" s="307">
        <v>16</v>
      </c>
      <c r="BA158" s="312">
        <f t="shared" si="41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6"/>
        <v>67.399999999999991</v>
      </c>
      <c r="BG158" s="232" t="s">
        <v>4467</v>
      </c>
      <c r="BH158" s="312" t="s">
        <v>6196</v>
      </c>
      <c r="BI158" s="312" t="s">
        <v>6196</v>
      </c>
      <c r="BJ158" s="312">
        <v>2</v>
      </c>
      <c r="BK158" s="307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304" t="s">
        <v>5951</v>
      </c>
      <c r="CH158" s="307">
        <v>250</v>
      </c>
      <c r="CI158" s="45">
        <v>299</v>
      </c>
      <c r="CJ158" s="45">
        <v>400</v>
      </c>
      <c r="CK158" s="33">
        <f t="shared" si="47"/>
        <v>440.00000000000006</v>
      </c>
      <c r="CL158" s="65">
        <v>200000</v>
      </c>
      <c r="CM158" s="307" t="s">
        <v>5951</v>
      </c>
      <c r="CN158" s="307">
        <v>250</v>
      </c>
      <c r="CO158" s="45">
        <v>299</v>
      </c>
      <c r="CP158" s="45">
        <v>400</v>
      </c>
      <c r="CQ158" s="33">
        <f t="shared" si="48"/>
        <v>440.00000000000006</v>
      </c>
      <c r="CR158" s="65">
        <v>200000</v>
      </c>
      <c r="CS158" s="307" t="s">
        <v>5951</v>
      </c>
      <c r="CT158" s="307">
        <v>250</v>
      </c>
      <c r="CU158" s="45">
        <v>299</v>
      </c>
      <c r="CV158" s="45">
        <v>400</v>
      </c>
      <c r="CW158" s="33">
        <f t="shared" si="49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7" t="s">
        <v>5952</v>
      </c>
      <c r="DH158" s="307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304" t="s">
        <v>4432</v>
      </c>
      <c r="DO158" s="301" t="s">
        <v>4562</v>
      </c>
    </row>
    <row r="159" spans="1:119" ht="16.2" thickBot="1">
      <c r="A159" s="14">
        <v>154</v>
      </c>
      <c r="B159" s="319"/>
      <c r="C159" s="319"/>
      <c r="D159" s="319"/>
      <c r="E159" s="423"/>
      <c r="F159" s="319"/>
      <c r="G159" s="423"/>
      <c r="H159" s="319"/>
      <c r="I159" s="319"/>
      <c r="J159" s="288" t="s">
        <v>5948</v>
      </c>
      <c r="K159" s="310" t="s">
        <v>4380</v>
      </c>
      <c r="L159" s="313" t="s">
        <v>5786</v>
      </c>
      <c r="M159" s="310" t="s">
        <v>4505</v>
      </c>
      <c r="N159" s="313" t="s">
        <v>4699</v>
      </c>
      <c r="O159" s="14" t="s">
        <v>4503</v>
      </c>
      <c r="P159" s="310" t="s">
        <v>4417</v>
      </c>
      <c r="Q159" s="313" t="s">
        <v>4417</v>
      </c>
      <c r="R159" s="308" t="s">
        <v>6156</v>
      </c>
      <c r="S159" s="313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13" t="s">
        <v>4417</v>
      </c>
      <c r="Y159" s="313" t="s">
        <v>5786</v>
      </c>
      <c r="Z159" s="313" t="s">
        <v>4555</v>
      </c>
      <c r="AA159" s="14">
        <v>6</v>
      </c>
      <c r="AB159" s="227">
        <v>0</v>
      </c>
      <c r="AC159" s="14">
        <v>0</v>
      </c>
      <c r="AD159" s="308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1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10" t="s">
        <v>5801</v>
      </c>
      <c r="AX159" s="313" t="s">
        <v>5954</v>
      </c>
      <c r="AY159" s="313">
        <v>130</v>
      </c>
      <c r="AZ159" s="308">
        <v>20</v>
      </c>
      <c r="BA159" s="313">
        <f t="shared" si="41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6"/>
        <v>67.399999999999991</v>
      </c>
      <c r="BG159" s="234" t="s">
        <v>4467</v>
      </c>
      <c r="BH159" s="313" t="s">
        <v>6196</v>
      </c>
      <c r="BI159" s="313" t="s">
        <v>6196</v>
      </c>
      <c r="BJ159" s="313">
        <v>2</v>
      </c>
      <c r="BK159" s="308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305" t="s">
        <v>5951</v>
      </c>
      <c r="CH159" s="308">
        <v>250</v>
      </c>
      <c r="CI159" s="55">
        <v>299</v>
      </c>
      <c r="CJ159" s="55">
        <v>400</v>
      </c>
      <c r="CK159" s="35">
        <f t="shared" si="47"/>
        <v>440.00000000000006</v>
      </c>
      <c r="CL159" s="68">
        <v>200000</v>
      </c>
      <c r="CM159" s="308" t="s">
        <v>5951</v>
      </c>
      <c r="CN159" s="308">
        <v>250</v>
      </c>
      <c r="CO159" s="55">
        <v>299</v>
      </c>
      <c r="CP159" s="55">
        <v>400</v>
      </c>
      <c r="CQ159" s="35">
        <f t="shared" si="48"/>
        <v>440.00000000000006</v>
      </c>
      <c r="CR159" s="68">
        <v>200000</v>
      </c>
      <c r="CS159" s="308" t="s">
        <v>5951</v>
      </c>
      <c r="CT159" s="308">
        <v>250</v>
      </c>
      <c r="CU159" s="55">
        <v>299</v>
      </c>
      <c r="CV159" s="55">
        <v>400</v>
      </c>
      <c r="CW159" s="35">
        <f t="shared" si="49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8" t="s">
        <v>5952</v>
      </c>
      <c r="DH159" s="308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305" t="s">
        <v>4432</v>
      </c>
      <c r="DO159" s="302" t="s">
        <v>4562</v>
      </c>
    </row>
    <row r="160" spans="1:119" ht="15.6" customHeight="1">
      <c r="A160" s="17">
        <v>155</v>
      </c>
      <c r="B160" s="317">
        <v>22</v>
      </c>
      <c r="C160" s="317">
        <v>1994</v>
      </c>
      <c r="D160" s="329" t="s">
        <v>4669</v>
      </c>
      <c r="E160" s="329" t="s">
        <v>4853</v>
      </c>
      <c r="F160" s="317">
        <v>6</v>
      </c>
      <c r="G160" s="317" t="s">
        <v>5907</v>
      </c>
      <c r="H160" s="317" t="s">
        <v>5896</v>
      </c>
      <c r="I160" s="317" t="s">
        <v>4573</v>
      </c>
      <c r="J160" s="283" t="s">
        <v>4603</v>
      </c>
      <c r="K160" s="309" t="s">
        <v>4380</v>
      </c>
      <c r="L160" s="311" t="s">
        <v>5786</v>
      </c>
      <c r="M160" s="309" t="s">
        <v>4504</v>
      </c>
      <c r="N160" s="311" t="s">
        <v>4698</v>
      </c>
      <c r="O160" s="17" t="s">
        <v>4503</v>
      </c>
      <c r="P160" s="311" t="s">
        <v>4467</v>
      </c>
      <c r="Q160" s="311" t="s">
        <v>4417</v>
      </c>
      <c r="R160" s="311" t="s">
        <v>4417</v>
      </c>
      <c r="S160" s="311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311" t="s">
        <v>4417</v>
      </c>
      <c r="Y160" s="311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309" t="s">
        <v>6329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11">
        <v>0</v>
      </c>
      <c r="AW160" s="309" t="s">
        <v>5801</v>
      </c>
      <c r="AX160" s="311" t="s">
        <v>4609</v>
      </c>
      <c r="AY160" s="311">
        <f t="shared" ref="AY160:AY165" si="50">150/AZ160/0.25</f>
        <v>30</v>
      </c>
      <c r="AZ160" s="311">
        <v>20</v>
      </c>
      <c r="BA160" s="311">
        <f t="shared" si="41"/>
        <v>245</v>
      </c>
      <c r="BB160" s="16">
        <v>69.2</v>
      </c>
      <c r="BC160" s="16">
        <f t="shared" si="37"/>
        <v>69.2</v>
      </c>
      <c r="BD160" s="16">
        <v>55</v>
      </c>
      <c r="BE160" s="16">
        <v>90</v>
      </c>
      <c r="BF160" s="16">
        <f t="shared" ref="BF160:BF165" si="51">AT160-BB160-BC160-2*BD160</f>
        <v>36.600000000000023</v>
      </c>
      <c r="BG160" s="22" t="s">
        <v>4417</v>
      </c>
      <c r="BH160" s="311" t="s">
        <v>4462</v>
      </c>
      <c r="BI160" s="311" t="s">
        <v>4462</v>
      </c>
      <c r="BJ160" s="311">
        <v>4</v>
      </c>
      <c r="BK160" s="311">
        <v>8</v>
      </c>
      <c r="BL160" s="309">
        <v>120</v>
      </c>
      <c r="BM160" s="311">
        <v>1200</v>
      </c>
      <c r="BN160" s="311" t="s">
        <v>6180</v>
      </c>
      <c r="BO160" s="311">
        <v>0.9</v>
      </c>
      <c r="BP160" s="311">
        <v>105</v>
      </c>
      <c r="BQ160" s="311">
        <v>1137</v>
      </c>
      <c r="BR160" s="311">
        <v>46</v>
      </c>
      <c r="BS160" s="311" t="s">
        <v>4587</v>
      </c>
      <c r="BT160" s="309" t="s">
        <v>5850</v>
      </c>
      <c r="BU160" s="311">
        <v>6</v>
      </c>
      <c r="BV160" s="311">
        <v>1</v>
      </c>
      <c r="BW160" s="311">
        <v>19</v>
      </c>
      <c r="BX160" s="311">
        <v>100</v>
      </c>
      <c r="BY160" s="30">
        <v>40</v>
      </c>
      <c r="BZ160" s="17">
        <f t="shared" ref="BZ160:BZ165" si="52">AO160/6</f>
        <v>250</v>
      </c>
      <c r="CA160" s="311" t="s">
        <v>4570</v>
      </c>
      <c r="CB160" s="311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311" t="s">
        <v>5659</v>
      </c>
      <c r="CH160" s="311">
        <v>275</v>
      </c>
      <c r="CI160" s="16">
        <f t="shared" ref="CI160:CI165" si="53">(317.4+289.8)/2</f>
        <v>303.60000000000002</v>
      </c>
      <c r="CJ160" s="311">
        <v>410</v>
      </c>
      <c r="CK160" s="16">
        <f t="shared" ref="CK160:CK165" si="54">(485.9+458.8)/2</f>
        <v>472.35</v>
      </c>
      <c r="CL160" s="64">
        <v>200000</v>
      </c>
      <c r="CM160" s="309" t="s">
        <v>5659</v>
      </c>
      <c r="CN160" s="311">
        <v>275</v>
      </c>
      <c r="CO160" s="16">
        <f t="shared" ref="CO160:CO165" si="55">(377.4+314)/2</f>
        <v>345.7</v>
      </c>
      <c r="CP160" s="70">
        <v>410</v>
      </c>
      <c r="CQ160" s="16">
        <f t="shared" ref="CQ160:CQ165" si="56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309" t="s">
        <v>5790</v>
      </c>
      <c r="CZ160" s="16">
        <v>37.299999999999997</v>
      </c>
      <c r="DA160" s="16">
        <v>2.74</v>
      </c>
      <c r="DB160" s="64">
        <v>34785</v>
      </c>
      <c r="DC160" s="309">
        <v>657</v>
      </c>
      <c r="DD160" s="311">
        <v>705</v>
      </c>
      <c r="DE160" s="64">
        <v>200000</v>
      </c>
      <c r="DF160" s="297">
        <v>280</v>
      </c>
      <c r="DG160" s="311">
        <v>8.8000000000000007</v>
      </c>
      <c r="DH160" s="311">
        <v>640</v>
      </c>
      <c r="DI160" s="30">
        <v>730</v>
      </c>
      <c r="DJ160" s="311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301" t="s">
        <v>6206</v>
      </c>
    </row>
    <row r="161" spans="1:119">
      <c r="A161" s="18">
        <v>156</v>
      </c>
      <c r="B161" s="318"/>
      <c r="C161" s="318"/>
      <c r="D161" s="330"/>
      <c r="E161" s="330"/>
      <c r="F161" s="318"/>
      <c r="G161" s="318"/>
      <c r="H161" s="318"/>
      <c r="I161" s="318"/>
      <c r="J161" s="285" t="s">
        <v>4604</v>
      </c>
      <c r="K161" s="314" t="s">
        <v>4380</v>
      </c>
      <c r="L161" s="312" t="s">
        <v>5786</v>
      </c>
      <c r="M161" s="314" t="s">
        <v>4504</v>
      </c>
      <c r="N161" s="312" t="s">
        <v>4698</v>
      </c>
      <c r="O161" s="18" t="s">
        <v>4503</v>
      </c>
      <c r="P161" s="312" t="s">
        <v>4467</v>
      </c>
      <c r="Q161" s="312" t="s">
        <v>4417</v>
      </c>
      <c r="R161" s="312" t="s">
        <v>4417</v>
      </c>
      <c r="S161" s="312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12" t="s">
        <v>4417</v>
      </c>
      <c r="Y161" s="312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314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14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14" t="s">
        <v>5801</v>
      </c>
      <c r="AX161" s="312" t="s">
        <v>4609</v>
      </c>
      <c r="AY161" s="312">
        <f t="shared" si="50"/>
        <v>30</v>
      </c>
      <c r="AZ161" s="312">
        <v>20</v>
      </c>
      <c r="BA161" s="312">
        <f t="shared" si="41"/>
        <v>245</v>
      </c>
      <c r="BB161" s="21">
        <v>69.2</v>
      </c>
      <c r="BC161" s="21">
        <f t="shared" si="37"/>
        <v>69.2</v>
      </c>
      <c r="BD161" s="21">
        <v>55</v>
      </c>
      <c r="BE161" s="21">
        <v>90</v>
      </c>
      <c r="BF161" s="21">
        <f t="shared" si="51"/>
        <v>36.600000000000023</v>
      </c>
      <c r="BG161" s="15" t="s">
        <v>4417</v>
      </c>
      <c r="BH161" s="312" t="s">
        <v>4462</v>
      </c>
      <c r="BI161" s="312" t="s">
        <v>4462</v>
      </c>
      <c r="BJ161" s="312">
        <v>4</v>
      </c>
      <c r="BK161" s="312">
        <v>8</v>
      </c>
      <c r="BL161" s="314">
        <v>120</v>
      </c>
      <c r="BM161" s="312">
        <v>1200</v>
      </c>
      <c r="BN161" s="312" t="s">
        <v>6180</v>
      </c>
      <c r="BO161" s="312">
        <v>0.9</v>
      </c>
      <c r="BP161" s="312">
        <v>105</v>
      </c>
      <c r="BQ161" s="312">
        <v>1137</v>
      </c>
      <c r="BR161" s="312">
        <v>46</v>
      </c>
      <c r="BS161" s="312" t="s">
        <v>4587</v>
      </c>
      <c r="BT161" s="314" t="s">
        <v>5850</v>
      </c>
      <c r="BU161" s="312">
        <v>6</v>
      </c>
      <c r="BV161" s="312">
        <v>1</v>
      </c>
      <c r="BW161" s="312">
        <v>19</v>
      </c>
      <c r="BX161" s="312">
        <v>100</v>
      </c>
      <c r="BY161" s="32">
        <v>40</v>
      </c>
      <c r="BZ161" s="18">
        <f t="shared" si="52"/>
        <v>250</v>
      </c>
      <c r="CA161" s="312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12" t="s">
        <v>5659</v>
      </c>
      <c r="CH161" s="312">
        <v>275</v>
      </c>
      <c r="CI161" s="21">
        <f t="shared" si="53"/>
        <v>303.60000000000002</v>
      </c>
      <c r="CJ161" s="312">
        <v>410</v>
      </c>
      <c r="CK161" s="21">
        <f t="shared" si="54"/>
        <v>472.35</v>
      </c>
      <c r="CL161" s="65">
        <v>200000</v>
      </c>
      <c r="CM161" s="314" t="s">
        <v>5659</v>
      </c>
      <c r="CN161" s="312">
        <v>275</v>
      </c>
      <c r="CO161" s="21">
        <f t="shared" si="55"/>
        <v>345.7</v>
      </c>
      <c r="CP161" s="46">
        <v>410</v>
      </c>
      <c r="CQ161" s="21">
        <f t="shared" si="56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314" t="s">
        <v>5790</v>
      </c>
      <c r="CZ161" s="21">
        <v>44.7</v>
      </c>
      <c r="DA161" s="21">
        <v>3.53</v>
      </c>
      <c r="DB161" s="65">
        <v>34785</v>
      </c>
      <c r="DC161" s="314">
        <v>657</v>
      </c>
      <c r="DD161" s="312">
        <v>705</v>
      </c>
      <c r="DE161" s="65">
        <v>200000</v>
      </c>
      <c r="DF161" s="298">
        <v>280</v>
      </c>
      <c r="DG161" s="312">
        <v>8.8000000000000007</v>
      </c>
      <c r="DH161" s="312">
        <v>640</v>
      </c>
      <c r="DI161" s="32">
        <v>730</v>
      </c>
      <c r="DJ161" s="312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301" t="s">
        <v>6206</v>
      </c>
    </row>
    <row r="162" spans="1:119">
      <c r="A162" s="18">
        <v>157</v>
      </c>
      <c r="B162" s="318"/>
      <c r="C162" s="318"/>
      <c r="D162" s="330"/>
      <c r="E162" s="330"/>
      <c r="F162" s="318"/>
      <c r="G162" s="318"/>
      <c r="H162" s="318"/>
      <c r="I162" s="318"/>
      <c r="J162" s="285" t="s">
        <v>4605</v>
      </c>
      <c r="K162" s="314" t="s">
        <v>4380</v>
      </c>
      <c r="L162" s="312" t="s">
        <v>5786</v>
      </c>
      <c r="M162" s="314" t="s">
        <v>4504</v>
      </c>
      <c r="N162" s="312" t="s">
        <v>4698</v>
      </c>
      <c r="O162" s="18" t="s">
        <v>4503</v>
      </c>
      <c r="P162" s="312" t="s">
        <v>4467</v>
      </c>
      <c r="Q162" s="312" t="s">
        <v>4417</v>
      </c>
      <c r="R162" s="312" t="s">
        <v>6156</v>
      </c>
      <c r="S162" s="312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12" t="s">
        <v>4417</v>
      </c>
      <c r="Y162" s="312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314" t="s">
        <v>6329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14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14" t="s">
        <v>5801</v>
      </c>
      <c r="AX162" s="312" t="s">
        <v>4609</v>
      </c>
      <c r="AY162" s="312">
        <f t="shared" si="50"/>
        <v>30</v>
      </c>
      <c r="AZ162" s="312">
        <v>20</v>
      </c>
      <c r="BA162" s="312">
        <f t="shared" si="41"/>
        <v>245</v>
      </c>
      <c r="BB162" s="21">
        <v>69.2</v>
      </c>
      <c r="BC162" s="21">
        <f t="shared" si="37"/>
        <v>69.2</v>
      </c>
      <c r="BD162" s="21">
        <v>55</v>
      </c>
      <c r="BE162" s="21">
        <v>90</v>
      </c>
      <c r="BF162" s="21">
        <f t="shared" si="51"/>
        <v>36.600000000000023</v>
      </c>
      <c r="BG162" s="15" t="s">
        <v>4417</v>
      </c>
      <c r="BH162" s="312" t="s">
        <v>4462</v>
      </c>
      <c r="BI162" s="312" t="s">
        <v>4462</v>
      </c>
      <c r="BJ162" s="312">
        <v>4</v>
      </c>
      <c r="BK162" s="312">
        <v>8</v>
      </c>
      <c r="BL162" s="314">
        <v>120</v>
      </c>
      <c r="BM162" s="312">
        <v>1200</v>
      </c>
      <c r="BN162" s="312" t="s">
        <v>6180</v>
      </c>
      <c r="BO162" s="312">
        <v>0.9</v>
      </c>
      <c r="BP162" s="312">
        <v>105</v>
      </c>
      <c r="BQ162" s="312">
        <v>1137</v>
      </c>
      <c r="BR162" s="312">
        <v>46</v>
      </c>
      <c r="BS162" s="312" t="s">
        <v>4587</v>
      </c>
      <c r="BT162" s="314" t="s">
        <v>5850</v>
      </c>
      <c r="BU162" s="312">
        <v>6</v>
      </c>
      <c r="BV162" s="312">
        <v>1</v>
      </c>
      <c r="BW162" s="312">
        <v>19</v>
      </c>
      <c r="BX162" s="312">
        <v>100</v>
      </c>
      <c r="BY162" s="32">
        <v>40</v>
      </c>
      <c r="BZ162" s="18">
        <f t="shared" si="52"/>
        <v>250</v>
      </c>
      <c r="CA162" s="312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12" t="s">
        <v>5659</v>
      </c>
      <c r="CH162" s="312">
        <v>275</v>
      </c>
      <c r="CI162" s="21">
        <f t="shared" si="53"/>
        <v>303.60000000000002</v>
      </c>
      <c r="CJ162" s="312">
        <v>410</v>
      </c>
      <c r="CK162" s="21">
        <f t="shared" si="54"/>
        <v>472.35</v>
      </c>
      <c r="CL162" s="65">
        <v>200000</v>
      </c>
      <c r="CM162" s="314" t="s">
        <v>5659</v>
      </c>
      <c r="CN162" s="312">
        <v>275</v>
      </c>
      <c r="CO162" s="21">
        <f t="shared" si="55"/>
        <v>345.7</v>
      </c>
      <c r="CP162" s="46">
        <v>410</v>
      </c>
      <c r="CQ162" s="21">
        <f t="shared" si="56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314" t="s">
        <v>5790</v>
      </c>
      <c r="CZ162" s="21">
        <v>41.2</v>
      </c>
      <c r="DA162" s="21">
        <v>3.21</v>
      </c>
      <c r="DB162" s="65">
        <v>34785</v>
      </c>
      <c r="DC162" s="314">
        <v>497</v>
      </c>
      <c r="DD162" s="312">
        <v>870</v>
      </c>
      <c r="DE162" s="65">
        <v>200000</v>
      </c>
      <c r="DF162" s="298">
        <v>280</v>
      </c>
      <c r="DG162" s="312">
        <v>8.8000000000000007</v>
      </c>
      <c r="DH162" s="312">
        <v>640</v>
      </c>
      <c r="DI162" s="32">
        <v>730</v>
      </c>
      <c r="DJ162" s="312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301" t="s">
        <v>6206</v>
      </c>
    </row>
    <row r="163" spans="1:119">
      <c r="A163" s="18">
        <v>158</v>
      </c>
      <c r="B163" s="318"/>
      <c r="C163" s="318"/>
      <c r="D163" s="330"/>
      <c r="E163" s="330"/>
      <c r="F163" s="318"/>
      <c r="G163" s="318"/>
      <c r="H163" s="318"/>
      <c r="I163" s="318"/>
      <c r="J163" s="285" t="s">
        <v>4606</v>
      </c>
      <c r="K163" s="314" t="s">
        <v>4380</v>
      </c>
      <c r="L163" s="312" t="s">
        <v>5786</v>
      </c>
      <c r="M163" s="314" t="s">
        <v>4504</v>
      </c>
      <c r="N163" s="312" t="s">
        <v>4698</v>
      </c>
      <c r="O163" s="18" t="s">
        <v>4503</v>
      </c>
      <c r="P163" s="312" t="s">
        <v>4467</v>
      </c>
      <c r="Q163" s="312" t="s">
        <v>4417</v>
      </c>
      <c r="R163" s="312" t="s">
        <v>4417</v>
      </c>
      <c r="S163" s="312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12" t="s">
        <v>4417</v>
      </c>
      <c r="Y163" s="312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314" t="s">
        <v>6329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14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14" t="s">
        <v>5801</v>
      </c>
      <c r="AX163" s="312" t="s">
        <v>4609</v>
      </c>
      <c r="AY163" s="312">
        <f t="shared" si="50"/>
        <v>30</v>
      </c>
      <c r="AZ163" s="312">
        <v>20</v>
      </c>
      <c r="BA163" s="312">
        <f t="shared" si="41"/>
        <v>245</v>
      </c>
      <c r="BB163" s="21">
        <v>69.2</v>
      </c>
      <c r="BC163" s="21">
        <f t="shared" si="37"/>
        <v>69.2</v>
      </c>
      <c r="BD163" s="21">
        <v>55</v>
      </c>
      <c r="BE163" s="21">
        <v>90</v>
      </c>
      <c r="BF163" s="21">
        <f t="shared" si="51"/>
        <v>36.600000000000023</v>
      </c>
      <c r="BG163" s="15" t="s">
        <v>4417</v>
      </c>
      <c r="BH163" s="312" t="s">
        <v>4462</v>
      </c>
      <c r="BI163" s="312" t="s">
        <v>4462</v>
      </c>
      <c r="BJ163" s="312">
        <v>4</v>
      </c>
      <c r="BK163" s="312">
        <v>8</v>
      </c>
      <c r="BL163" s="314">
        <v>120</v>
      </c>
      <c r="BM163" s="312">
        <v>1200</v>
      </c>
      <c r="BN163" s="312" t="s">
        <v>6180</v>
      </c>
      <c r="BO163" s="312">
        <v>0.9</v>
      </c>
      <c r="BP163" s="312">
        <v>105</v>
      </c>
      <c r="BQ163" s="312">
        <v>1137</v>
      </c>
      <c r="BR163" s="312">
        <v>46</v>
      </c>
      <c r="BS163" s="312" t="s">
        <v>4587</v>
      </c>
      <c r="BT163" s="314" t="s">
        <v>5850</v>
      </c>
      <c r="BU163" s="312">
        <v>6</v>
      </c>
      <c r="BV163" s="312">
        <v>1</v>
      </c>
      <c r="BW163" s="312">
        <v>19</v>
      </c>
      <c r="BX163" s="312">
        <v>100</v>
      </c>
      <c r="BY163" s="32">
        <v>40</v>
      </c>
      <c r="BZ163" s="18">
        <f t="shared" si="52"/>
        <v>250</v>
      </c>
      <c r="CA163" s="312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12" t="s">
        <v>5659</v>
      </c>
      <c r="CH163" s="312">
        <v>275</v>
      </c>
      <c r="CI163" s="21">
        <f t="shared" si="53"/>
        <v>303.60000000000002</v>
      </c>
      <c r="CJ163" s="312">
        <v>410</v>
      </c>
      <c r="CK163" s="21">
        <f t="shared" si="54"/>
        <v>472.35</v>
      </c>
      <c r="CL163" s="65">
        <v>200000</v>
      </c>
      <c r="CM163" s="314" t="s">
        <v>5659</v>
      </c>
      <c r="CN163" s="312">
        <v>275</v>
      </c>
      <c r="CO163" s="21">
        <f t="shared" si="55"/>
        <v>345.7</v>
      </c>
      <c r="CP163" s="46">
        <v>410</v>
      </c>
      <c r="CQ163" s="21">
        <f t="shared" si="56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314" t="s">
        <v>5790</v>
      </c>
      <c r="CZ163" s="21">
        <v>44.3</v>
      </c>
      <c r="DA163" s="21">
        <v>3.56</v>
      </c>
      <c r="DB163" s="65">
        <v>34785</v>
      </c>
      <c r="DC163" s="314">
        <v>504</v>
      </c>
      <c r="DD163" s="312">
        <v>622</v>
      </c>
      <c r="DE163" s="65">
        <v>200000</v>
      </c>
      <c r="DF163" s="298">
        <v>280</v>
      </c>
      <c r="DG163" s="312">
        <v>8.8000000000000007</v>
      </c>
      <c r="DH163" s="312">
        <v>640</v>
      </c>
      <c r="DI163" s="32">
        <v>730</v>
      </c>
      <c r="DJ163" s="312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301" t="s">
        <v>6206</v>
      </c>
    </row>
    <row r="164" spans="1:119">
      <c r="A164" s="18">
        <v>159</v>
      </c>
      <c r="B164" s="318"/>
      <c r="C164" s="318"/>
      <c r="D164" s="330"/>
      <c r="E164" s="330"/>
      <c r="F164" s="318"/>
      <c r="G164" s="318"/>
      <c r="H164" s="318"/>
      <c r="I164" s="318"/>
      <c r="J164" s="285" t="s">
        <v>4607</v>
      </c>
      <c r="K164" s="314" t="s">
        <v>4380</v>
      </c>
      <c r="L164" s="312" t="s">
        <v>5786</v>
      </c>
      <c r="M164" s="314" t="s">
        <v>4504</v>
      </c>
      <c r="N164" s="312" t="s">
        <v>4698</v>
      </c>
      <c r="O164" s="18" t="s">
        <v>4503</v>
      </c>
      <c r="P164" s="312" t="s">
        <v>4467</v>
      </c>
      <c r="Q164" s="312" t="s">
        <v>4417</v>
      </c>
      <c r="R164" s="312" t="s">
        <v>4417</v>
      </c>
      <c r="S164" s="312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12" t="s">
        <v>4417</v>
      </c>
      <c r="Y164" s="312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314" t="s">
        <v>6329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14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14" t="s">
        <v>5801</v>
      </c>
      <c r="AX164" s="312" t="s">
        <v>4609</v>
      </c>
      <c r="AY164" s="312">
        <f t="shared" si="50"/>
        <v>30</v>
      </c>
      <c r="AZ164" s="312">
        <v>20</v>
      </c>
      <c r="BA164" s="312">
        <f t="shared" si="41"/>
        <v>245</v>
      </c>
      <c r="BB164" s="21">
        <v>69.2</v>
      </c>
      <c r="BC164" s="21">
        <f t="shared" si="37"/>
        <v>69.2</v>
      </c>
      <c r="BD164" s="21">
        <v>55</v>
      </c>
      <c r="BE164" s="21">
        <v>90</v>
      </c>
      <c r="BF164" s="21">
        <f t="shared" si="51"/>
        <v>36.600000000000023</v>
      </c>
      <c r="BG164" s="15" t="s">
        <v>4417</v>
      </c>
      <c r="BH164" s="312" t="s">
        <v>4462</v>
      </c>
      <c r="BI164" s="312" t="s">
        <v>4462</v>
      </c>
      <c r="BJ164" s="312">
        <v>4</v>
      </c>
      <c r="BK164" s="312">
        <v>8</v>
      </c>
      <c r="BL164" s="314">
        <v>120</v>
      </c>
      <c r="BM164" s="312">
        <v>1200</v>
      </c>
      <c r="BN164" s="312" t="s">
        <v>6180</v>
      </c>
      <c r="BO164" s="312">
        <v>0.9</v>
      </c>
      <c r="BP164" s="312">
        <v>105</v>
      </c>
      <c r="BQ164" s="312">
        <v>1137</v>
      </c>
      <c r="BR164" s="312">
        <v>46</v>
      </c>
      <c r="BS164" s="312" t="s">
        <v>4587</v>
      </c>
      <c r="BT164" s="314" t="s">
        <v>5850</v>
      </c>
      <c r="BU164" s="312">
        <v>6</v>
      </c>
      <c r="BV164" s="312">
        <v>1</v>
      </c>
      <c r="BW164" s="312">
        <v>19</v>
      </c>
      <c r="BX164" s="312">
        <v>100</v>
      </c>
      <c r="BY164" s="32">
        <v>40</v>
      </c>
      <c r="BZ164" s="18">
        <f t="shared" si="52"/>
        <v>250</v>
      </c>
      <c r="CA164" s="312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12" t="s">
        <v>5659</v>
      </c>
      <c r="CH164" s="312">
        <v>275</v>
      </c>
      <c r="CI164" s="21">
        <f t="shared" si="53"/>
        <v>303.60000000000002</v>
      </c>
      <c r="CJ164" s="312">
        <v>410</v>
      </c>
      <c r="CK164" s="21">
        <f t="shared" si="54"/>
        <v>472.35</v>
      </c>
      <c r="CL164" s="65">
        <v>200000</v>
      </c>
      <c r="CM164" s="314" t="s">
        <v>5659</v>
      </c>
      <c r="CN164" s="312">
        <v>275</v>
      </c>
      <c r="CO164" s="21">
        <f t="shared" si="55"/>
        <v>345.7</v>
      </c>
      <c r="CP164" s="46">
        <v>410</v>
      </c>
      <c r="CQ164" s="21">
        <f t="shared" si="56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314" t="s">
        <v>5790</v>
      </c>
      <c r="CZ164" s="21">
        <v>33.9</v>
      </c>
      <c r="DA164" s="21">
        <v>3.16</v>
      </c>
      <c r="DB164" s="65">
        <v>34785</v>
      </c>
      <c r="DC164" s="314">
        <v>497</v>
      </c>
      <c r="DD164" s="312">
        <v>870</v>
      </c>
      <c r="DE164" s="65">
        <v>200000</v>
      </c>
      <c r="DF164" s="298">
        <v>280</v>
      </c>
      <c r="DG164" s="312">
        <v>8.8000000000000007</v>
      </c>
      <c r="DH164" s="312">
        <v>640</v>
      </c>
      <c r="DI164" s="32">
        <v>730</v>
      </c>
      <c r="DJ164" s="312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301" t="s">
        <v>6206</v>
      </c>
    </row>
    <row r="165" spans="1:119" ht="16.2" thickBot="1">
      <c r="A165" s="18">
        <v>160</v>
      </c>
      <c r="B165" s="318"/>
      <c r="C165" s="318"/>
      <c r="D165" s="330"/>
      <c r="E165" s="330"/>
      <c r="F165" s="318"/>
      <c r="G165" s="318"/>
      <c r="H165" s="318"/>
      <c r="I165" s="318"/>
      <c r="J165" s="285" t="s">
        <v>4608</v>
      </c>
      <c r="K165" s="314" t="s">
        <v>4380</v>
      </c>
      <c r="L165" s="312" t="s">
        <v>5786</v>
      </c>
      <c r="M165" s="314" t="s">
        <v>4504</v>
      </c>
      <c r="N165" s="312" t="s">
        <v>4698</v>
      </c>
      <c r="O165" s="18" t="s">
        <v>4503</v>
      </c>
      <c r="P165" s="312" t="s">
        <v>4467</v>
      </c>
      <c r="Q165" s="312" t="s">
        <v>4417</v>
      </c>
      <c r="R165" s="312" t="s">
        <v>4417</v>
      </c>
      <c r="S165" s="312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12" t="s">
        <v>4467</v>
      </c>
      <c r="Y165" s="312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314" t="s">
        <v>6329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14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14" t="s">
        <v>5801</v>
      </c>
      <c r="AX165" s="312" t="s">
        <v>4609</v>
      </c>
      <c r="AY165" s="312">
        <f t="shared" si="50"/>
        <v>30</v>
      </c>
      <c r="AZ165" s="312">
        <v>20</v>
      </c>
      <c r="BA165" s="312">
        <f t="shared" si="41"/>
        <v>245</v>
      </c>
      <c r="BB165" s="21">
        <v>69.2</v>
      </c>
      <c r="BC165" s="21">
        <f t="shared" si="37"/>
        <v>69.2</v>
      </c>
      <c r="BD165" s="21">
        <v>55</v>
      </c>
      <c r="BE165" s="21">
        <v>90</v>
      </c>
      <c r="BF165" s="21">
        <f t="shared" si="51"/>
        <v>36.600000000000023</v>
      </c>
      <c r="BG165" s="15" t="s">
        <v>4417</v>
      </c>
      <c r="BH165" s="312" t="s">
        <v>4462</v>
      </c>
      <c r="BI165" s="312" t="s">
        <v>4462</v>
      </c>
      <c r="BJ165" s="312">
        <v>4</v>
      </c>
      <c r="BK165" s="312">
        <v>8</v>
      </c>
      <c r="BL165" s="314">
        <v>120</v>
      </c>
      <c r="BM165" s="312">
        <v>1200</v>
      </c>
      <c r="BN165" s="312" t="s">
        <v>6180</v>
      </c>
      <c r="BO165" s="312">
        <v>0.9</v>
      </c>
      <c r="BP165" s="312">
        <v>105</v>
      </c>
      <c r="BQ165" s="312">
        <v>1137</v>
      </c>
      <c r="BR165" s="312">
        <v>46</v>
      </c>
      <c r="BS165" s="312" t="s">
        <v>4587</v>
      </c>
      <c r="BT165" s="314" t="s">
        <v>5850</v>
      </c>
      <c r="BU165" s="312">
        <v>6</v>
      </c>
      <c r="BV165" s="312">
        <v>1</v>
      </c>
      <c r="BW165" s="312">
        <v>19</v>
      </c>
      <c r="BX165" s="312">
        <v>100</v>
      </c>
      <c r="BY165" s="32">
        <v>40</v>
      </c>
      <c r="BZ165" s="18">
        <f t="shared" si="52"/>
        <v>250</v>
      </c>
      <c r="CA165" s="313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12" t="s">
        <v>5659</v>
      </c>
      <c r="CH165" s="312">
        <v>275</v>
      </c>
      <c r="CI165" s="21">
        <f t="shared" si="53"/>
        <v>303.60000000000002</v>
      </c>
      <c r="CJ165" s="312">
        <v>410</v>
      </c>
      <c r="CK165" s="21">
        <f t="shared" si="54"/>
        <v>472.35</v>
      </c>
      <c r="CL165" s="65">
        <v>200000</v>
      </c>
      <c r="CM165" s="314" t="s">
        <v>5659</v>
      </c>
      <c r="CN165" s="312">
        <v>275</v>
      </c>
      <c r="CO165" s="21">
        <f t="shared" si="55"/>
        <v>345.7</v>
      </c>
      <c r="CP165" s="46">
        <v>410</v>
      </c>
      <c r="CQ165" s="21">
        <f t="shared" si="56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314" t="s">
        <v>5790</v>
      </c>
      <c r="CZ165" s="21">
        <v>33.4</v>
      </c>
      <c r="DA165" s="21">
        <v>2.87</v>
      </c>
      <c r="DB165" s="65">
        <v>34785</v>
      </c>
      <c r="DC165" s="314">
        <v>504</v>
      </c>
      <c r="DD165" s="312">
        <v>622</v>
      </c>
      <c r="DE165" s="65">
        <v>200000</v>
      </c>
      <c r="DF165" s="298">
        <v>280</v>
      </c>
      <c r="DG165" s="312">
        <v>8.8000000000000007</v>
      </c>
      <c r="DH165" s="312">
        <v>640</v>
      </c>
      <c r="DI165" s="32">
        <v>730</v>
      </c>
      <c r="DJ165" s="312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301" t="s">
        <v>6206</v>
      </c>
    </row>
    <row r="166" spans="1:119" ht="15.6" customHeight="1">
      <c r="A166" s="303">
        <v>161</v>
      </c>
      <c r="B166" s="380">
        <v>23</v>
      </c>
      <c r="C166" s="380">
        <v>1995</v>
      </c>
      <c r="D166" s="424" t="s">
        <v>6086</v>
      </c>
      <c r="E166" s="417" t="s">
        <v>6092</v>
      </c>
      <c r="F166" s="317">
        <v>4</v>
      </c>
      <c r="G166" s="317" t="s">
        <v>5962</v>
      </c>
      <c r="H166" s="317" t="s">
        <v>5958</v>
      </c>
      <c r="I166" s="317" t="s">
        <v>6223</v>
      </c>
      <c r="J166" s="283" t="s">
        <v>6087</v>
      </c>
      <c r="K166" s="303" t="s">
        <v>4380</v>
      </c>
      <c r="L166" s="311" t="s">
        <v>5786</v>
      </c>
      <c r="M166" s="309" t="s">
        <v>4505</v>
      </c>
      <c r="N166" s="311" t="s">
        <v>4699</v>
      </c>
      <c r="O166" s="17" t="s">
        <v>4503</v>
      </c>
      <c r="P166" s="309" t="s">
        <v>4417</v>
      </c>
      <c r="Q166" s="306" t="s">
        <v>4417</v>
      </c>
      <c r="R166" s="306" t="s">
        <v>4417</v>
      </c>
      <c r="S166" s="311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311" t="s">
        <v>4417</v>
      </c>
      <c r="Y166" s="311" t="s">
        <v>5786</v>
      </c>
      <c r="Z166" s="311" t="s">
        <v>4555</v>
      </c>
      <c r="AA166" s="17">
        <v>4</v>
      </c>
      <c r="AB166" s="231">
        <v>0</v>
      </c>
      <c r="AC166" s="17">
        <v>0</v>
      </c>
      <c r="AD166" s="30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3" t="s">
        <v>5801</v>
      </c>
      <c r="AX166" s="311" t="s">
        <v>6093</v>
      </c>
      <c r="AY166" s="16">
        <f>640/AZ166/0.25</f>
        <v>128</v>
      </c>
      <c r="AZ166" s="311">
        <v>20</v>
      </c>
      <c r="BA166" s="311">
        <f t="shared" si="41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11" t="s">
        <v>4462</v>
      </c>
      <c r="BI166" s="311" t="s">
        <v>4462</v>
      </c>
      <c r="BJ166" s="311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311" t="s">
        <v>6264</v>
      </c>
      <c r="CH166" s="311">
        <v>235</v>
      </c>
      <c r="CI166" s="16">
        <v>333.5</v>
      </c>
      <c r="CJ166" s="63">
        <v>360</v>
      </c>
      <c r="CK166" s="311">
        <v>463</v>
      </c>
      <c r="CL166" s="64">
        <v>200000</v>
      </c>
      <c r="CM166" s="311" t="s">
        <v>6264</v>
      </c>
      <c r="CN166" s="311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311" t="s">
        <v>6264</v>
      </c>
      <c r="CT166" s="311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311">
        <v>10.9</v>
      </c>
      <c r="DH166" s="311">
        <v>900</v>
      </c>
      <c r="DI166" s="30">
        <v>990</v>
      </c>
      <c r="DJ166" s="311">
        <v>1000</v>
      </c>
      <c r="DK166" s="311">
        <v>1141</v>
      </c>
      <c r="DL166" s="74">
        <v>200000</v>
      </c>
      <c r="DM166" s="28" t="s">
        <v>4771</v>
      </c>
      <c r="DN166" s="311" t="s">
        <v>4432</v>
      </c>
      <c r="DO166" s="300" t="s">
        <v>6098</v>
      </c>
    </row>
    <row r="167" spans="1:119">
      <c r="A167" s="304">
        <v>162</v>
      </c>
      <c r="B167" s="419"/>
      <c r="C167" s="419"/>
      <c r="D167" s="425"/>
      <c r="E167" s="427"/>
      <c r="F167" s="318"/>
      <c r="G167" s="318"/>
      <c r="H167" s="318"/>
      <c r="I167" s="318"/>
      <c r="J167" s="285" t="s">
        <v>6094</v>
      </c>
      <c r="K167" s="304" t="s">
        <v>4380</v>
      </c>
      <c r="L167" s="312" t="s">
        <v>5786</v>
      </c>
      <c r="M167" s="314" t="s">
        <v>4505</v>
      </c>
      <c r="N167" s="312" t="s">
        <v>4699</v>
      </c>
      <c r="O167" s="18" t="s">
        <v>4503</v>
      </c>
      <c r="P167" s="314" t="s">
        <v>4417</v>
      </c>
      <c r="Q167" s="307" t="s">
        <v>4417</v>
      </c>
      <c r="R167" s="307" t="s">
        <v>4417</v>
      </c>
      <c r="S167" s="312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12" t="s">
        <v>4417</v>
      </c>
      <c r="Y167" s="312" t="s">
        <v>5786</v>
      </c>
      <c r="Z167" s="312" t="s">
        <v>4555</v>
      </c>
      <c r="AA167" s="18">
        <v>4</v>
      </c>
      <c r="AB167" s="222">
        <v>173</v>
      </c>
      <c r="AC167" s="18">
        <v>0</v>
      </c>
      <c r="AD167" s="314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14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4" t="s">
        <v>5801</v>
      </c>
      <c r="AX167" s="312" t="s">
        <v>6093</v>
      </c>
      <c r="AY167" s="21">
        <f t="shared" ref="AY167:AY169" si="57">640/AZ167/0.25</f>
        <v>128</v>
      </c>
      <c r="AZ167" s="312">
        <v>20</v>
      </c>
      <c r="BA167" s="312">
        <f t="shared" si="41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12" t="s">
        <v>4462</v>
      </c>
      <c r="BI167" s="312" t="s">
        <v>4462</v>
      </c>
      <c r="BJ167" s="312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12" t="s">
        <v>6264</v>
      </c>
      <c r="CH167" s="312">
        <v>235</v>
      </c>
      <c r="CI167" s="21">
        <v>333.5</v>
      </c>
      <c r="CJ167" s="58">
        <v>360</v>
      </c>
      <c r="CK167" s="312">
        <v>463</v>
      </c>
      <c r="CL167" s="65">
        <v>200000</v>
      </c>
      <c r="CM167" s="312" t="s">
        <v>6264</v>
      </c>
      <c r="CN167" s="312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12" t="s">
        <v>6264</v>
      </c>
      <c r="CT167" s="312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12">
        <v>10.9</v>
      </c>
      <c r="DH167" s="312">
        <v>900</v>
      </c>
      <c r="DI167" s="32">
        <v>990</v>
      </c>
      <c r="DJ167" s="312">
        <v>1000</v>
      </c>
      <c r="DK167" s="312">
        <v>1141</v>
      </c>
      <c r="DL167" s="59">
        <v>200000</v>
      </c>
      <c r="DM167" s="29" t="s">
        <v>4771</v>
      </c>
      <c r="DN167" s="312" t="s">
        <v>4432</v>
      </c>
      <c r="DO167" s="301" t="s">
        <v>6100</v>
      </c>
    </row>
    <row r="168" spans="1:119">
      <c r="A168" s="304">
        <v>163</v>
      </c>
      <c r="B168" s="419"/>
      <c r="C168" s="419"/>
      <c r="D168" s="425"/>
      <c r="E168" s="427"/>
      <c r="F168" s="318"/>
      <c r="G168" s="318"/>
      <c r="H168" s="318"/>
      <c r="I168" s="318"/>
      <c r="J168" s="285" t="s">
        <v>6095</v>
      </c>
      <c r="K168" s="304" t="s">
        <v>4380</v>
      </c>
      <c r="L168" s="312" t="s">
        <v>5786</v>
      </c>
      <c r="M168" s="314" t="s">
        <v>4505</v>
      </c>
      <c r="N168" s="312" t="s">
        <v>4699</v>
      </c>
      <c r="O168" s="18" t="s">
        <v>4503</v>
      </c>
      <c r="P168" s="314" t="s">
        <v>4417</v>
      </c>
      <c r="Q168" s="307" t="s">
        <v>4417</v>
      </c>
      <c r="R168" s="307" t="s">
        <v>4417</v>
      </c>
      <c r="S168" s="312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12" t="s">
        <v>4417</v>
      </c>
      <c r="Y168" s="312" t="s">
        <v>5786</v>
      </c>
      <c r="Z168" s="312" t="s">
        <v>4555</v>
      </c>
      <c r="AA168" s="18">
        <v>4</v>
      </c>
      <c r="AB168" s="222">
        <v>622</v>
      </c>
      <c r="AC168" s="18">
        <v>0</v>
      </c>
      <c r="AD168" s="314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14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4"/>
      <c r="AX168" s="312" t="s">
        <v>6093</v>
      </c>
      <c r="AY168" s="21">
        <f t="shared" si="57"/>
        <v>128</v>
      </c>
      <c r="AZ168" s="312">
        <v>20</v>
      </c>
      <c r="BA168" s="312">
        <f t="shared" si="41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12" t="s">
        <v>4462</v>
      </c>
      <c r="BI168" s="312" t="s">
        <v>4462</v>
      </c>
      <c r="BJ168" s="312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12" t="s">
        <v>6264</v>
      </c>
      <c r="CH168" s="312">
        <v>235</v>
      </c>
      <c r="CI168" s="21">
        <v>333.5</v>
      </c>
      <c r="CJ168" s="58">
        <v>360</v>
      </c>
      <c r="CK168" s="312">
        <v>463</v>
      </c>
      <c r="CL168" s="65">
        <v>200000</v>
      </c>
      <c r="CM168" s="312" t="s">
        <v>6264</v>
      </c>
      <c r="CN168" s="312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12" t="s">
        <v>6264</v>
      </c>
      <c r="CT168" s="312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12">
        <v>10.9</v>
      </c>
      <c r="DH168" s="312">
        <v>900</v>
      </c>
      <c r="DI168" s="32">
        <v>990</v>
      </c>
      <c r="DJ168" s="312">
        <v>1000</v>
      </c>
      <c r="DK168" s="312">
        <v>1141</v>
      </c>
      <c r="DL168" s="59">
        <v>200000</v>
      </c>
      <c r="DM168" s="29" t="s">
        <v>4766</v>
      </c>
      <c r="DN168" s="312" t="s">
        <v>4432</v>
      </c>
      <c r="DO168" s="301" t="s">
        <v>6099</v>
      </c>
    </row>
    <row r="169" spans="1:119" ht="16.2" thickBot="1">
      <c r="A169" s="305">
        <v>164</v>
      </c>
      <c r="B169" s="381"/>
      <c r="C169" s="381"/>
      <c r="D169" s="426"/>
      <c r="E169" s="418"/>
      <c r="F169" s="319"/>
      <c r="G169" s="319"/>
      <c r="H169" s="319"/>
      <c r="I169" s="319"/>
      <c r="J169" s="284" t="s">
        <v>6090</v>
      </c>
      <c r="K169" s="305" t="s">
        <v>4380</v>
      </c>
      <c r="L169" s="308" t="s">
        <v>5786</v>
      </c>
      <c r="M169" s="305" t="s">
        <v>4504</v>
      </c>
      <c r="N169" s="313" t="s">
        <v>4698</v>
      </c>
      <c r="O169" s="49" t="s">
        <v>4503</v>
      </c>
      <c r="P169" s="305" t="s">
        <v>4467</v>
      </c>
      <c r="Q169" s="308" t="s">
        <v>4417</v>
      </c>
      <c r="R169" s="308" t="s">
        <v>4417</v>
      </c>
      <c r="S169" s="308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8" t="s">
        <v>4417</v>
      </c>
      <c r="Y169" s="308" t="s">
        <v>5786</v>
      </c>
      <c r="Z169" s="313" t="s">
        <v>4555</v>
      </c>
      <c r="AA169" s="14">
        <v>4</v>
      </c>
      <c r="AB169" s="227">
        <v>0</v>
      </c>
      <c r="AC169" s="14">
        <v>0</v>
      </c>
      <c r="AD169" s="31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1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5" t="s">
        <v>5801</v>
      </c>
      <c r="AX169" s="313" t="s">
        <v>6093</v>
      </c>
      <c r="AY169" s="23">
        <f t="shared" si="57"/>
        <v>128</v>
      </c>
      <c r="AZ169" s="308">
        <v>20</v>
      </c>
      <c r="BA169" s="308">
        <f t="shared" si="41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8" t="s">
        <v>4462</v>
      </c>
      <c r="BI169" s="308" t="s">
        <v>4462</v>
      </c>
      <c r="BJ169" s="308">
        <v>4</v>
      </c>
      <c r="BK169" s="49">
        <v>8</v>
      </c>
      <c r="BL169" s="314">
        <v>120</v>
      </c>
      <c r="BM169" s="312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310" t="s">
        <v>5850</v>
      </c>
      <c r="BU169" s="313">
        <v>10</v>
      </c>
      <c r="BV169" s="313">
        <v>1</v>
      </c>
      <c r="BW169" s="313">
        <v>19</v>
      </c>
      <c r="BX169" s="313">
        <v>100</v>
      </c>
      <c r="BY169" s="313">
        <v>75</v>
      </c>
      <c r="BZ169" s="14">
        <v>150</v>
      </c>
      <c r="CA169" s="310" t="s">
        <v>6088</v>
      </c>
      <c r="CB169" s="313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13" t="s">
        <v>6264</v>
      </c>
      <c r="CH169" s="85">
        <v>235</v>
      </c>
      <c r="CI169" s="23">
        <v>334</v>
      </c>
      <c r="CJ169" s="85">
        <v>360</v>
      </c>
      <c r="CK169" s="313">
        <v>463</v>
      </c>
      <c r="CL169" s="68">
        <v>200000</v>
      </c>
      <c r="CM169" s="313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13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310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13">
        <v>10.9</v>
      </c>
      <c r="DH169" s="313">
        <v>900</v>
      </c>
      <c r="DI169" s="34">
        <v>990</v>
      </c>
      <c r="DJ169" s="313">
        <v>1000</v>
      </c>
      <c r="DK169" s="313">
        <v>1141</v>
      </c>
      <c r="DL169" s="75">
        <v>200000</v>
      </c>
      <c r="DM169" s="27" t="s">
        <v>6096</v>
      </c>
      <c r="DN169" s="310" t="s">
        <v>4432</v>
      </c>
      <c r="DO169" s="302" t="s">
        <v>6206</v>
      </c>
    </row>
    <row r="170" spans="1:119" ht="15.6" customHeight="1">
      <c r="A170" s="309">
        <v>165</v>
      </c>
      <c r="B170" s="317">
        <v>24</v>
      </c>
      <c r="C170" s="317">
        <v>1996</v>
      </c>
      <c r="D170" s="320" t="s">
        <v>4706</v>
      </c>
      <c r="E170" s="323" t="s">
        <v>4852</v>
      </c>
      <c r="F170" s="317">
        <v>3</v>
      </c>
      <c r="G170" s="326" t="s">
        <v>5902</v>
      </c>
      <c r="H170" s="326" t="s">
        <v>5901</v>
      </c>
      <c r="I170" s="326" t="s">
        <v>6224</v>
      </c>
      <c r="J170" s="289" t="s">
        <v>6265</v>
      </c>
      <c r="K170" s="309" t="s">
        <v>4380</v>
      </c>
      <c r="L170" s="30" t="s">
        <v>5786</v>
      </c>
      <c r="M170" s="309" t="s">
        <v>4505</v>
      </c>
      <c r="N170" s="311" t="s">
        <v>4699</v>
      </c>
      <c r="O170" s="17" t="s">
        <v>4503</v>
      </c>
      <c r="P170" s="311" t="s">
        <v>4417</v>
      </c>
      <c r="Q170" s="311" t="s">
        <v>4417</v>
      </c>
      <c r="R170" s="311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311" t="s">
        <v>4417</v>
      </c>
      <c r="Y170" s="311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30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309" t="s">
        <v>6330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8">(AT170-AK170)/2</f>
        <v>-10</v>
      </c>
      <c r="AW170" s="303" t="s">
        <v>5801</v>
      </c>
      <c r="AX170" s="311" t="s">
        <v>4494</v>
      </c>
      <c r="AY170" s="16">
        <f>0.4*DH170*BA170/1000</f>
        <v>62.72</v>
      </c>
      <c r="AZ170" s="311">
        <v>20</v>
      </c>
      <c r="BA170" s="311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6326</v>
      </c>
      <c r="BH170" s="311" t="s">
        <v>6196</v>
      </c>
      <c r="BI170" s="311" t="s">
        <v>6196</v>
      </c>
      <c r="BJ170" s="311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311" t="s">
        <v>6331</v>
      </c>
      <c r="CH170" s="311">
        <v>235</v>
      </c>
      <c r="CI170" s="16">
        <v>309</v>
      </c>
      <c r="CJ170" s="63">
        <v>360</v>
      </c>
      <c r="CK170" s="311">
        <v>408</v>
      </c>
      <c r="CL170" s="64">
        <v>200000</v>
      </c>
      <c r="CM170" s="311" t="s">
        <v>6331</v>
      </c>
      <c r="CN170" s="311">
        <v>235</v>
      </c>
      <c r="CO170" s="16">
        <v>309</v>
      </c>
      <c r="CP170" s="63">
        <v>360</v>
      </c>
      <c r="CQ170" s="311">
        <v>408</v>
      </c>
      <c r="CR170" s="64">
        <v>200000</v>
      </c>
      <c r="CS170" s="311" t="s">
        <v>6331</v>
      </c>
      <c r="CT170" s="311">
        <v>235</v>
      </c>
      <c r="CU170" s="16">
        <v>309</v>
      </c>
      <c r="CV170" s="63">
        <v>360</v>
      </c>
      <c r="CW170" s="311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311">
        <v>8.8000000000000007</v>
      </c>
      <c r="DH170" s="311">
        <v>640</v>
      </c>
      <c r="DI170" s="30">
        <v>730</v>
      </c>
      <c r="DJ170" s="311">
        <v>800</v>
      </c>
      <c r="DK170" s="32">
        <v>940</v>
      </c>
      <c r="DL170" s="74">
        <v>200000</v>
      </c>
      <c r="DM170" s="42" t="s">
        <v>6332</v>
      </c>
      <c r="DN170" s="311" t="s">
        <v>4432</v>
      </c>
      <c r="DO170" s="301" t="s">
        <v>4562</v>
      </c>
    </row>
    <row r="171" spans="1:119">
      <c r="A171" s="314">
        <v>166</v>
      </c>
      <c r="B171" s="318"/>
      <c r="C171" s="318"/>
      <c r="D171" s="321"/>
      <c r="E171" s="324"/>
      <c r="F171" s="318"/>
      <c r="G171" s="327"/>
      <c r="H171" s="327"/>
      <c r="I171" s="327"/>
      <c r="J171" s="285" t="s">
        <v>6266</v>
      </c>
      <c r="K171" s="314" t="s">
        <v>6333</v>
      </c>
      <c r="L171" s="32" t="s">
        <v>6051</v>
      </c>
      <c r="M171" s="314" t="s">
        <v>4505</v>
      </c>
      <c r="N171" s="312" t="s">
        <v>4699</v>
      </c>
      <c r="O171" s="18" t="s">
        <v>4503</v>
      </c>
      <c r="P171" s="312" t="s">
        <v>6325</v>
      </c>
      <c r="Q171" s="312" t="s">
        <v>4417</v>
      </c>
      <c r="R171" s="312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12" t="s">
        <v>4417</v>
      </c>
      <c r="Y171" s="312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314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14" t="s">
        <v>6330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8"/>
        <v>-10</v>
      </c>
      <c r="AW171" s="304" t="s">
        <v>5801</v>
      </c>
      <c r="AX171" s="312" t="s">
        <v>4494</v>
      </c>
      <c r="AY171" s="21">
        <f>0.4*DH171*BA171/1000</f>
        <v>62.72</v>
      </c>
      <c r="AZ171" s="312">
        <v>20</v>
      </c>
      <c r="BA171" s="312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6326</v>
      </c>
      <c r="BH171" s="312" t="s">
        <v>6196</v>
      </c>
      <c r="BI171" s="312" t="s">
        <v>6196</v>
      </c>
      <c r="BJ171" s="312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12" t="s">
        <v>6267</v>
      </c>
      <c r="CH171" s="312">
        <v>275</v>
      </c>
      <c r="CI171" s="21">
        <v>321</v>
      </c>
      <c r="CJ171" s="58">
        <v>510</v>
      </c>
      <c r="CK171" s="312">
        <v>465</v>
      </c>
      <c r="CL171" s="65">
        <v>200000</v>
      </c>
      <c r="CM171" s="312" t="s">
        <v>6267</v>
      </c>
      <c r="CN171" s="312">
        <v>275</v>
      </c>
      <c r="CO171" s="21">
        <v>321</v>
      </c>
      <c r="CP171" s="58">
        <v>510</v>
      </c>
      <c r="CQ171" s="312">
        <v>465</v>
      </c>
      <c r="CR171" s="65">
        <v>200000</v>
      </c>
      <c r="CS171" s="312" t="s">
        <v>6267</v>
      </c>
      <c r="CT171" s="312">
        <v>275</v>
      </c>
      <c r="CU171" s="21">
        <v>321</v>
      </c>
      <c r="CV171" s="58">
        <v>510</v>
      </c>
      <c r="CW171" s="312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12">
        <v>8.8000000000000007</v>
      </c>
      <c r="DH171" s="312">
        <v>640</v>
      </c>
      <c r="DI171" s="32">
        <v>730</v>
      </c>
      <c r="DJ171" s="312">
        <v>800</v>
      </c>
      <c r="DK171" s="32">
        <v>940</v>
      </c>
      <c r="DL171" s="59">
        <v>200000</v>
      </c>
      <c r="DM171" s="40" t="s">
        <v>6332</v>
      </c>
      <c r="DN171" s="312" t="s">
        <v>4432</v>
      </c>
      <c r="DO171" s="301" t="s">
        <v>4562</v>
      </c>
    </row>
    <row r="172" spans="1:119" ht="15.6" customHeight="1" thickBot="1">
      <c r="A172" s="310">
        <v>167</v>
      </c>
      <c r="B172" s="319"/>
      <c r="C172" s="319"/>
      <c r="D172" s="322"/>
      <c r="E172" s="325"/>
      <c r="F172" s="319"/>
      <c r="G172" s="328"/>
      <c r="H172" s="328"/>
      <c r="I172" s="328"/>
      <c r="J172" s="284" t="s">
        <v>6268</v>
      </c>
      <c r="K172" s="310" t="s">
        <v>6333</v>
      </c>
      <c r="L172" s="34" t="s">
        <v>6051</v>
      </c>
      <c r="M172" s="310" t="s">
        <v>4505</v>
      </c>
      <c r="N172" s="313" t="s">
        <v>4699</v>
      </c>
      <c r="O172" s="14" t="s">
        <v>4503</v>
      </c>
      <c r="P172" s="313" t="s">
        <v>6325</v>
      </c>
      <c r="Q172" s="313" t="s">
        <v>4417</v>
      </c>
      <c r="R172" s="313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13" t="s">
        <v>4417</v>
      </c>
      <c r="Y172" s="313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310" t="s">
        <v>6330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8"/>
        <v>-10</v>
      </c>
      <c r="AW172" s="310" t="s">
        <v>5801</v>
      </c>
      <c r="AX172" s="313" t="s">
        <v>4494</v>
      </c>
      <c r="AY172" s="23">
        <f>0.4*DH172*BA172/1000</f>
        <v>40.192</v>
      </c>
      <c r="AZ172" s="313">
        <v>16</v>
      </c>
      <c r="BA172" s="313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9">AT172-BB172-BC172-2*BD172</f>
        <v>60</v>
      </c>
      <c r="BG172" s="19" t="s">
        <v>6325</v>
      </c>
      <c r="BH172" s="313" t="s">
        <v>4462</v>
      </c>
      <c r="BI172" s="313" t="s">
        <v>4462</v>
      </c>
      <c r="BJ172" s="313">
        <v>4</v>
      </c>
      <c r="BK172" s="313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13" t="s">
        <v>6267</v>
      </c>
      <c r="CH172" s="313">
        <v>275</v>
      </c>
      <c r="CI172" s="21">
        <v>321</v>
      </c>
      <c r="CJ172" s="313">
        <v>510</v>
      </c>
      <c r="CK172" s="312">
        <v>465</v>
      </c>
      <c r="CL172" s="68">
        <v>200000</v>
      </c>
      <c r="CM172" s="313" t="s">
        <v>6267</v>
      </c>
      <c r="CN172" s="313">
        <v>275</v>
      </c>
      <c r="CO172" s="21">
        <v>321</v>
      </c>
      <c r="CP172" s="313">
        <v>510</v>
      </c>
      <c r="CQ172" s="312">
        <v>465</v>
      </c>
      <c r="CR172" s="68">
        <v>200000</v>
      </c>
      <c r="CS172" s="313" t="s">
        <v>6267</v>
      </c>
      <c r="CT172" s="313">
        <v>275</v>
      </c>
      <c r="CU172" s="21">
        <v>321</v>
      </c>
      <c r="CV172" s="313">
        <v>510</v>
      </c>
      <c r="CW172" s="312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13">
        <v>8.8000000000000007</v>
      </c>
      <c r="DH172" s="313">
        <v>640</v>
      </c>
      <c r="DI172" s="34">
        <v>730</v>
      </c>
      <c r="DJ172" s="313">
        <v>800</v>
      </c>
      <c r="DK172" s="34">
        <v>940</v>
      </c>
      <c r="DL172" s="75">
        <v>200000</v>
      </c>
      <c r="DM172" s="27" t="s">
        <v>5832</v>
      </c>
      <c r="DN172" s="313" t="s">
        <v>4432</v>
      </c>
      <c r="DO172" s="302" t="s">
        <v>4562</v>
      </c>
    </row>
    <row r="173" spans="1:119" ht="15.6" customHeight="1">
      <c r="A173" s="309">
        <v>168</v>
      </c>
      <c r="B173" s="317">
        <v>25</v>
      </c>
      <c r="C173" s="317">
        <v>1996</v>
      </c>
      <c r="D173" s="329" t="s">
        <v>4670</v>
      </c>
      <c r="E173" s="329" t="s">
        <v>4851</v>
      </c>
      <c r="F173" s="317">
        <v>7</v>
      </c>
      <c r="G173" s="317" t="s">
        <v>5907</v>
      </c>
      <c r="H173" s="317" t="s">
        <v>5896</v>
      </c>
      <c r="I173" s="317" t="s">
        <v>6225</v>
      </c>
      <c r="J173" s="283" t="s">
        <v>4628</v>
      </c>
      <c r="K173" s="309" t="s">
        <v>4380</v>
      </c>
      <c r="L173" s="311" t="s">
        <v>5786</v>
      </c>
      <c r="M173" s="309" t="s">
        <v>4504</v>
      </c>
      <c r="N173" s="311" t="s">
        <v>4698</v>
      </c>
      <c r="O173" s="17" t="s">
        <v>4503</v>
      </c>
      <c r="P173" s="311" t="s">
        <v>4417</v>
      </c>
      <c r="Q173" s="311" t="s">
        <v>4417</v>
      </c>
      <c r="R173" s="311" t="s">
        <v>4417</v>
      </c>
      <c r="S173" s="311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311" t="s">
        <v>4417</v>
      </c>
      <c r="Y173" s="311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30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9" t="s">
        <v>5801</v>
      </c>
      <c r="AX173" s="311" t="s">
        <v>4609</v>
      </c>
      <c r="AY173" s="16">
        <v>30.5</v>
      </c>
      <c r="AZ173" s="311">
        <v>20</v>
      </c>
      <c r="BA173" s="311">
        <f t="shared" ref="BA173:BA191" si="60">IF(AZ173=24,353,IF(AZ173=22,303,IF(AZ173=20,245,IF(AZ173=16,157,0))))</f>
        <v>245</v>
      </c>
      <c r="BB173" s="16">
        <v>62</v>
      </c>
      <c r="BC173" s="16">
        <f t="shared" ref="BC173:BC188" si="61">BB173</f>
        <v>62</v>
      </c>
      <c r="BD173" s="16">
        <v>0</v>
      </c>
      <c r="BE173" s="16">
        <v>70</v>
      </c>
      <c r="BF173" s="16">
        <f t="shared" ref="BF173:BF185" si="62">AT173-BB173-BC173-BD173</f>
        <v>156</v>
      </c>
      <c r="BG173" s="22" t="s">
        <v>4467</v>
      </c>
      <c r="BH173" s="311" t="s">
        <v>6196</v>
      </c>
      <c r="BI173" s="311" t="s">
        <v>6196</v>
      </c>
      <c r="BJ173" s="311">
        <v>2</v>
      </c>
      <c r="BK173" s="311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311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311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311" t="s">
        <v>5659</v>
      </c>
      <c r="CT173" s="63">
        <v>275</v>
      </c>
      <c r="CU173" s="311">
        <v>278</v>
      </c>
      <c r="CV173" s="63">
        <v>410</v>
      </c>
      <c r="CW173" s="311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311">
        <v>8.8000000000000007</v>
      </c>
      <c r="DH173" s="311">
        <v>640</v>
      </c>
      <c r="DI173" s="30">
        <v>730</v>
      </c>
      <c r="DJ173" s="311">
        <v>800</v>
      </c>
      <c r="DK173" s="30">
        <v>940</v>
      </c>
      <c r="DL173" s="74">
        <v>200000</v>
      </c>
      <c r="DM173" s="42" t="s">
        <v>5826</v>
      </c>
      <c r="DN173" s="311" t="s">
        <v>4432</v>
      </c>
      <c r="DO173" s="300" t="s">
        <v>4562</v>
      </c>
    </row>
    <row r="174" spans="1:119">
      <c r="A174" s="314">
        <v>169</v>
      </c>
      <c r="B174" s="318"/>
      <c r="C174" s="318"/>
      <c r="D174" s="330"/>
      <c r="E174" s="330"/>
      <c r="F174" s="318"/>
      <c r="G174" s="318"/>
      <c r="H174" s="318"/>
      <c r="I174" s="318"/>
      <c r="J174" s="285" t="s">
        <v>4622</v>
      </c>
      <c r="K174" s="314" t="s">
        <v>4380</v>
      </c>
      <c r="L174" s="312" t="s">
        <v>5786</v>
      </c>
      <c r="M174" s="314" t="s">
        <v>4504</v>
      </c>
      <c r="N174" s="312" t="s">
        <v>4698</v>
      </c>
      <c r="O174" s="18" t="s">
        <v>4503</v>
      </c>
      <c r="P174" s="312" t="s">
        <v>4467</v>
      </c>
      <c r="Q174" s="312" t="s">
        <v>4417</v>
      </c>
      <c r="R174" s="312" t="s">
        <v>4417</v>
      </c>
      <c r="S174" s="312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12" t="s">
        <v>4417</v>
      </c>
      <c r="Y174" s="312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314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14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3">(AT174-AK174)/2</f>
        <v>11.400000000000006</v>
      </c>
      <c r="AV174" s="21">
        <f t="shared" si="58"/>
        <v>11.400000000000006</v>
      </c>
      <c r="AW174" s="314" t="s">
        <v>5801</v>
      </c>
      <c r="AX174" s="312" t="s">
        <v>4609</v>
      </c>
      <c r="AY174" s="21">
        <v>30.5</v>
      </c>
      <c r="AZ174" s="312">
        <v>20</v>
      </c>
      <c r="BA174" s="312">
        <f t="shared" si="60"/>
        <v>245</v>
      </c>
      <c r="BB174" s="21">
        <v>62</v>
      </c>
      <c r="BC174" s="21">
        <f t="shared" si="61"/>
        <v>62</v>
      </c>
      <c r="BD174" s="21">
        <v>0</v>
      </c>
      <c r="BE174" s="21">
        <v>70</v>
      </c>
      <c r="BF174" s="21">
        <f t="shared" si="62"/>
        <v>156</v>
      </c>
      <c r="BG174" s="15" t="s">
        <v>4467</v>
      </c>
      <c r="BH174" s="312" t="s">
        <v>6196</v>
      </c>
      <c r="BI174" s="312" t="s">
        <v>6196</v>
      </c>
      <c r="BJ174" s="312">
        <v>2</v>
      </c>
      <c r="BK174" s="312">
        <v>4</v>
      </c>
      <c r="BL174" s="314">
        <v>110</v>
      </c>
      <c r="BM174" s="312">
        <v>1000</v>
      </c>
      <c r="BN174" s="312" t="s">
        <v>6180</v>
      </c>
      <c r="BO174" s="312">
        <v>0.9</v>
      </c>
      <c r="BP174" s="312">
        <v>105</v>
      </c>
      <c r="BQ174" s="312">
        <v>1137</v>
      </c>
      <c r="BR174" s="312">
        <v>46</v>
      </c>
      <c r="BS174" s="312" t="s">
        <v>4587</v>
      </c>
      <c r="BT174" s="314" t="s">
        <v>5850</v>
      </c>
      <c r="BU174" s="312">
        <v>14</v>
      </c>
      <c r="BV174" s="312">
        <v>2</v>
      </c>
      <c r="BW174" s="312">
        <v>19</v>
      </c>
      <c r="BX174" s="312">
        <v>90</v>
      </c>
      <c r="BY174" s="312">
        <v>100</v>
      </c>
      <c r="BZ174" s="18">
        <v>225</v>
      </c>
      <c r="CA174" s="312" t="s">
        <v>4621</v>
      </c>
      <c r="CB174" s="312" t="s">
        <v>4620</v>
      </c>
      <c r="CC174" s="21">
        <v>0</v>
      </c>
      <c r="CD174" s="21">
        <f t="shared" ref="CD174:CD178" si="64">4*PI()*12^2/4+4*PI()*10^2/4</f>
        <v>766.54860747590953</v>
      </c>
      <c r="CE174" s="32">
        <v>50</v>
      </c>
      <c r="CF174" s="118">
        <v>1.2E-2</v>
      </c>
      <c r="CG174" s="312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12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12" t="s">
        <v>5659</v>
      </c>
      <c r="CT174" s="58">
        <v>275</v>
      </c>
      <c r="CU174" s="312">
        <v>278</v>
      </c>
      <c r="CV174" s="58">
        <v>410</v>
      </c>
      <c r="CW174" s="312">
        <v>448</v>
      </c>
      <c r="CX174" s="67">
        <v>199000</v>
      </c>
      <c r="CY174" s="314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98">
        <v>280</v>
      </c>
      <c r="DG174" s="312">
        <v>8.8000000000000007</v>
      </c>
      <c r="DH174" s="312">
        <v>640</v>
      </c>
      <c r="DI174" s="32">
        <v>730</v>
      </c>
      <c r="DJ174" s="312">
        <v>800</v>
      </c>
      <c r="DK174" s="32">
        <v>940</v>
      </c>
      <c r="DL174" s="59">
        <v>200000</v>
      </c>
      <c r="DM174" s="40" t="s">
        <v>4753</v>
      </c>
      <c r="DN174" s="312" t="s">
        <v>4432</v>
      </c>
      <c r="DO174" s="301" t="s">
        <v>4562</v>
      </c>
    </row>
    <row r="175" spans="1:119">
      <c r="A175" s="314">
        <v>170</v>
      </c>
      <c r="B175" s="318"/>
      <c r="C175" s="318"/>
      <c r="D175" s="330"/>
      <c r="E175" s="330"/>
      <c r="F175" s="318"/>
      <c r="G175" s="318"/>
      <c r="H175" s="318"/>
      <c r="I175" s="318"/>
      <c r="J175" s="285" t="s">
        <v>4623</v>
      </c>
      <c r="K175" s="314" t="s">
        <v>4380</v>
      </c>
      <c r="L175" s="312" t="s">
        <v>5786</v>
      </c>
      <c r="M175" s="314" t="s">
        <v>4504</v>
      </c>
      <c r="N175" s="312" t="s">
        <v>4698</v>
      </c>
      <c r="O175" s="18" t="s">
        <v>4503</v>
      </c>
      <c r="P175" s="312" t="s">
        <v>4467</v>
      </c>
      <c r="Q175" s="312" t="s">
        <v>4417</v>
      </c>
      <c r="R175" s="312" t="s">
        <v>4417</v>
      </c>
      <c r="S175" s="312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12" t="s">
        <v>4417</v>
      </c>
      <c r="Y175" s="312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314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14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3"/>
        <v>11.400000000000006</v>
      </c>
      <c r="AV175" s="21">
        <f t="shared" si="58"/>
        <v>11.400000000000006</v>
      </c>
      <c r="AW175" s="314" t="s">
        <v>5801</v>
      </c>
      <c r="AX175" s="312" t="s">
        <v>4609</v>
      </c>
      <c r="AY175" s="21">
        <v>30.5</v>
      </c>
      <c r="AZ175" s="312">
        <v>20</v>
      </c>
      <c r="BA175" s="312">
        <f t="shared" si="60"/>
        <v>245</v>
      </c>
      <c r="BB175" s="21">
        <v>62</v>
      </c>
      <c r="BC175" s="21">
        <f t="shared" si="61"/>
        <v>62</v>
      </c>
      <c r="BD175" s="21">
        <v>0</v>
      </c>
      <c r="BE175" s="21">
        <v>70</v>
      </c>
      <c r="BF175" s="21">
        <f t="shared" si="62"/>
        <v>156</v>
      </c>
      <c r="BG175" s="15" t="s">
        <v>4467</v>
      </c>
      <c r="BH175" s="312" t="s">
        <v>6196</v>
      </c>
      <c r="BI175" s="312" t="s">
        <v>6196</v>
      </c>
      <c r="BJ175" s="312">
        <v>2</v>
      </c>
      <c r="BK175" s="312">
        <v>4</v>
      </c>
      <c r="BL175" s="314">
        <v>110</v>
      </c>
      <c r="BM175" s="312">
        <v>1000</v>
      </c>
      <c r="BN175" s="312" t="s">
        <v>6180</v>
      </c>
      <c r="BO175" s="312">
        <v>0.9</v>
      </c>
      <c r="BP175" s="312">
        <v>105</v>
      </c>
      <c r="BQ175" s="312">
        <v>1137</v>
      </c>
      <c r="BR175" s="312">
        <v>46</v>
      </c>
      <c r="BS175" s="312" t="s">
        <v>4587</v>
      </c>
      <c r="BT175" s="314" t="s">
        <v>5850</v>
      </c>
      <c r="BU175" s="312">
        <v>14</v>
      </c>
      <c r="BV175" s="312">
        <v>2</v>
      </c>
      <c r="BW175" s="312">
        <v>19</v>
      </c>
      <c r="BX175" s="312">
        <v>90</v>
      </c>
      <c r="BY175" s="312">
        <v>100</v>
      </c>
      <c r="BZ175" s="18">
        <v>225</v>
      </c>
      <c r="CA175" s="312" t="s">
        <v>4621</v>
      </c>
      <c r="CB175" s="312" t="s">
        <v>4620</v>
      </c>
      <c r="CC175" s="21">
        <v>0</v>
      </c>
      <c r="CD175" s="21">
        <f t="shared" si="64"/>
        <v>766.54860747590953</v>
      </c>
      <c r="CE175" s="32">
        <v>50</v>
      </c>
      <c r="CF175" s="118">
        <v>1.2E-2</v>
      </c>
      <c r="CG175" s="312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12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12" t="s">
        <v>5659</v>
      </c>
      <c r="CT175" s="58">
        <v>275</v>
      </c>
      <c r="CU175" s="312">
        <v>278</v>
      </c>
      <c r="CV175" s="58">
        <v>410</v>
      </c>
      <c r="CW175" s="312">
        <v>448</v>
      </c>
      <c r="CX175" s="67">
        <v>199000</v>
      </c>
      <c r="CY175" s="314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98">
        <v>280</v>
      </c>
      <c r="DG175" s="312">
        <v>8.8000000000000007</v>
      </c>
      <c r="DH175" s="312">
        <v>640</v>
      </c>
      <c r="DI175" s="32">
        <v>730</v>
      </c>
      <c r="DJ175" s="312">
        <v>800</v>
      </c>
      <c r="DK175" s="32">
        <v>940</v>
      </c>
      <c r="DL175" s="59">
        <v>200000</v>
      </c>
      <c r="DM175" s="40" t="s">
        <v>6065</v>
      </c>
      <c r="DN175" s="312" t="s">
        <v>4432</v>
      </c>
      <c r="DO175" s="301" t="s">
        <v>4562</v>
      </c>
    </row>
    <row r="176" spans="1:119">
      <c r="A176" s="314">
        <v>171</v>
      </c>
      <c r="B176" s="318"/>
      <c r="C176" s="318"/>
      <c r="D176" s="330"/>
      <c r="E176" s="330"/>
      <c r="F176" s="318"/>
      <c r="G176" s="318"/>
      <c r="H176" s="318"/>
      <c r="I176" s="318"/>
      <c r="J176" s="285" t="s">
        <v>4624</v>
      </c>
      <c r="K176" s="314" t="s">
        <v>4380</v>
      </c>
      <c r="L176" s="312" t="s">
        <v>5786</v>
      </c>
      <c r="M176" s="314" t="s">
        <v>4504</v>
      </c>
      <c r="N176" s="312" t="s">
        <v>4698</v>
      </c>
      <c r="O176" s="18" t="s">
        <v>4503</v>
      </c>
      <c r="P176" s="312" t="s">
        <v>4467</v>
      </c>
      <c r="Q176" s="312" t="s">
        <v>4417</v>
      </c>
      <c r="R176" s="312" t="s">
        <v>4417</v>
      </c>
      <c r="S176" s="312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12" t="s">
        <v>4417</v>
      </c>
      <c r="Y176" s="312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314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14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3"/>
        <v>11.400000000000006</v>
      </c>
      <c r="AV176" s="21">
        <f t="shared" si="58"/>
        <v>11.400000000000006</v>
      </c>
      <c r="AW176" s="314" t="s">
        <v>5801</v>
      </c>
      <c r="AX176" s="312" t="s">
        <v>4609</v>
      </c>
      <c r="AY176" s="21">
        <v>30.5</v>
      </c>
      <c r="AZ176" s="312">
        <v>20</v>
      </c>
      <c r="BA176" s="312">
        <f t="shared" si="60"/>
        <v>245</v>
      </c>
      <c r="BB176" s="21">
        <v>62</v>
      </c>
      <c r="BC176" s="21">
        <f t="shared" si="61"/>
        <v>62</v>
      </c>
      <c r="BD176" s="21">
        <v>0</v>
      </c>
      <c r="BE176" s="21">
        <v>70</v>
      </c>
      <c r="BF176" s="21">
        <f t="shared" si="62"/>
        <v>156</v>
      </c>
      <c r="BG176" s="15" t="s">
        <v>4467</v>
      </c>
      <c r="BH176" s="312" t="s">
        <v>6196</v>
      </c>
      <c r="BI176" s="312" t="s">
        <v>6196</v>
      </c>
      <c r="BJ176" s="312">
        <v>2</v>
      </c>
      <c r="BK176" s="312">
        <v>4</v>
      </c>
      <c r="BL176" s="314">
        <v>110</v>
      </c>
      <c r="BM176" s="312">
        <v>1000</v>
      </c>
      <c r="BN176" s="312" t="s">
        <v>6180</v>
      </c>
      <c r="BO176" s="312">
        <v>0.9</v>
      </c>
      <c r="BP176" s="312">
        <v>105</v>
      </c>
      <c r="BQ176" s="312">
        <v>1137</v>
      </c>
      <c r="BR176" s="312">
        <v>46</v>
      </c>
      <c r="BS176" s="312" t="s">
        <v>4587</v>
      </c>
      <c r="BT176" s="314" t="s">
        <v>5850</v>
      </c>
      <c r="BU176" s="312">
        <v>14</v>
      </c>
      <c r="BV176" s="312">
        <v>2</v>
      </c>
      <c r="BW176" s="312">
        <v>19</v>
      </c>
      <c r="BX176" s="312">
        <v>90</v>
      </c>
      <c r="BY176" s="312">
        <v>100</v>
      </c>
      <c r="BZ176" s="18">
        <v>225</v>
      </c>
      <c r="CA176" s="312" t="s">
        <v>4621</v>
      </c>
      <c r="CB176" s="312" t="s">
        <v>4620</v>
      </c>
      <c r="CC176" s="21">
        <v>0</v>
      </c>
      <c r="CD176" s="21">
        <f t="shared" si="64"/>
        <v>766.54860747590953</v>
      </c>
      <c r="CE176" s="32">
        <v>50</v>
      </c>
      <c r="CF176" s="118">
        <v>1.2E-2</v>
      </c>
      <c r="CG176" s="312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12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12" t="s">
        <v>5659</v>
      </c>
      <c r="CT176" s="58">
        <v>275</v>
      </c>
      <c r="CU176" s="312">
        <v>278</v>
      </c>
      <c r="CV176" s="58">
        <v>410</v>
      </c>
      <c r="CW176" s="312">
        <v>448</v>
      </c>
      <c r="CX176" s="67">
        <v>199000</v>
      </c>
      <c r="CY176" s="314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98">
        <v>280</v>
      </c>
      <c r="DG176" s="312">
        <v>8.8000000000000007</v>
      </c>
      <c r="DH176" s="312">
        <v>640</v>
      </c>
      <c r="DI176" s="32">
        <v>730</v>
      </c>
      <c r="DJ176" s="312">
        <v>800</v>
      </c>
      <c r="DK176" s="32">
        <v>940</v>
      </c>
      <c r="DL176" s="59">
        <v>200000</v>
      </c>
      <c r="DM176" s="40" t="s">
        <v>4753</v>
      </c>
      <c r="DN176" s="312" t="s">
        <v>4432</v>
      </c>
      <c r="DO176" s="301" t="s">
        <v>4562</v>
      </c>
    </row>
    <row r="177" spans="1:119">
      <c r="A177" s="314">
        <v>172</v>
      </c>
      <c r="B177" s="318"/>
      <c r="C177" s="318"/>
      <c r="D177" s="330"/>
      <c r="E177" s="330"/>
      <c r="F177" s="318"/>
      <c r="G177" s="318"/>
      <c r="H177" s="318"/>
      <c r="I177" s="318"/>
      <c r="J177" s="285" t="s">
        <v>4625</v>
      </c>
      <c r="K177" s="314" t="s">
        <v>4380</v>
      </c>
      <c r="L177" s="312" t="s">
        <v>5786</v>
      </c>
      <c r="M177" s="314" t="s">
        <v>4504</v>
      </c>
      <c r="N177" s="312" t="s">
        <v>4698</v>
      </c>
      <c r="O177" s="18" t="s">
        <v>4503</v>
      </c>
      <c r="P177" s="312" t="s">
        <v>4467</v>
      </c>
      <c r="Q177" s="312" t="s">
        <v>4417</v>
      </c>
      <c r="R177" s="312" t="s">
        <v>4417</v>
      </c>
      <c r="S177" s="312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12" t="s">
        <v>4417</v>
      </c>
      <c r="Y177" s="312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314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14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3"/>
        <v>11.400000000000006</v>
      </c>
      <c r="AV177" s="21">
        <f t="shared" si="58"/>
        <v>11.400000000000006</v>
      </c>
      <c r="AW177" s="314" t="s">
        <v>5801</v>
      </c>
      <c r="AX177" s="312" t="s">
        <v>4609</v>
      </c>
      <c r="AY177" s="21">
        <v>30.5</v>
      </c>
      <c r="AZ177" s="312">
        <v>20</v>
      </c>
      <c r="BA177" s="312">
        <f t="shared" si="60"/>
        <v>245</v>
      </c>
      <c r="BB177" s="21">
        <v>63</v>
      </c>
      <c r="BC177" s="21">
        <f t="shared" si="61"/>
        <v>63</v>
      </c>
      <c r="BD177" s="21">
        <v>0</v>
      </c>
      <c r="BE177" s="21">
        <v>70</v>
      </c>
      <c r="BF177" s="21">
        <f t="shared" si="62"/>
        <v>154</v>
      </c>
      <c r="BG177" s="15" t="s">
        <v>4467</v>
      </c>
      <c r="BH177" s="312" t="s">
        <v>6196</v>
      </c>
      <c r="BI177" s="312" t="s">
        <v>6196</v>
      </c>
      <c r="BJ177" s="312">
        <v>2</v>
      </c>
      <c r="BK177" s="312">
        <v>4</v>
      </c>
      <c r="BL177" s="314">
        <v>110</v>
      </c>
      <c r="BM177" s="312">
        <v>1000</v>
      </c>
      <c r="BN177" s="312" t="s">
        <v>6180</v>
      </c>
      <c r="BO177" s="312">
        <v>0.9</v>
      </c>
      <c r="BP177" s="312">
        <v>105</v>
      </c>
      <c r="BQ177" s="312">
        <v>1137</v>
      </c>
      <c r="BR177" s="312">
        <v>46</v>
      </c>
      <c r="BS177" s="312" t="s">
        <v>4587</v>
      </c>
      <c r="BT177" s="314" t="s">
        <v>5850</v>
      </c>
      <c r="BU177" s="312">
        <v>14</v>
      </c>
      <c r="BV177" s="312">
        <v>2</v>
      </c>
      <c r="BW177" s="312">
        <v>19</v>
      </c>
      <c r="BX177" s="312">
        <v>90</v>
      </c>
      <c r="BY177" s="312">
        <v>100</v>
      </c>
      <c r="BZ177" s="18">
        <v>225</v>
      </c>
      <c r="CA177" s="312" t="s">
        <v>4621</v>
      </c>
      <c r="CB177" s="312" t="s">
        <v>4620</v>
      </c>
      <c r="CC177" s="21">
        <v>0</v>
      </c>
      <c r="CD177" s="21">
        <f t="shared" si="64"/>
        <v>766.54860747590953</v>
      </c>
      <c r="CE177" s="32">
        <v>50</v>
      </c>
      <c r="CF177" s="118">
        <v>1.2E-2</v>
      </c>
      <c r="CG177" s="312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12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12" t="s">
        <v>5659</v>
      </c>
      <c r="CT177" s="58">
        <v>275</v>
      </c>
      <c r="CU177" s="312">
        <v>278</v>
      </c>
      <c r="CV177" s="58">
        <v>410</v>
      </c>
      <c r="CW177" s="312">
        <v>448</v>
      </c>
      <c r="CX177" s="67">
        <v>199000</v>
      </c>
      <c r="CY177" s="314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98">
        <v>280</v>
      </c>
      <c r="DG177" s="312">
        <v>8.8000000000000007</v>
      </c>
      <c r="DH177" s="312">
        <v>640</v>
      </c>
      <c r="DI177" s="32">
        <v>730</v>
      </c>
      <c r="DJ177" s="312">
        <v>800</v>
      </c>
      <c r="DK177" s="32">
        <v>940</v>
      </c>
      <c r="DL177" s="59">
        <v>200000</v>
      </c>
      <c r="DM177" s="40" t="s">
        <v>4753</v>
      </c>
      <c r="DN177" s="312" t="s">
        <v>4432</v>
      </c>
      <c r="DO177" s="301" t="s">
        <v>4562</v>
      </c>
    </row>
    <row r="178" spans="1:119">
      <c r="A178" s="314">
        <v>173</v>
      </c>
      <c r="B178" s="318"/>
      <c r="C178" s="318"/>
      <c r="D178" s="330"/>
      <c r="E178" s="330"/>
      <c r="F178" s="318"/>
      <c r="G178" s="318"/>
      <c r="H178" s="318"/>
      <c r="I178" s="318"/>
      <c r="J178" s="285" t="s">
        <v>4626</v>
      </c>
      <c r="K178" s="314" t="s">
        <v>4380</v>
      </c>
      <c r="L178" s="312" t="s">
        <v>5786</v>
      </c>
      <c r="M178" s="314" t="s">
        <v>4504</v>
      </c>
      <c r="N178" s="312" t="s">
        <v>4698</v>
      </c>
      <c r="O178" s="18" t="s">
        <v>4503</v>
      </c>
      <c r="P178" s="312" t="s">
        <v>4467</v>
      </c>
      <c r="Q178" s="312" t="s">
        <v>4417</v>
      </c>
      <c r="R178" s="312" t="s">
        <v>4417</v>
      </c>
      <c r="S178" s="312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12" t="s">
        <v>4417</v>
      </c>
      <c r="Y178" s="312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314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14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3"/>
        <v>11.400000000000006</v>
      </c>
      <c r="AV178" s="21">
        <f t="shared" si="58"/>
        <v>11.400000000000006</v>
      </c>
      <c r="AW178" s="314" t="s">
        <v>5801</v>
      </c>
      <c r="AX178" s="312" t="s">
        <v>4609</v>
      </c>
      <c r="AY178" s="21">
        <v>30.5</v>
      </c>
      <c r="AZ178" s="312">
        <v>20</v>
      </c>
      <c r="BA178" s="312">
        <f t="shared" si="60"/>
        <v>245</v>
      </c>
      <c r="BB178" s="21">
        <v>63</v>
      </c>
      <c r="BC178" s="21">
        <f t="shared" si="61"/>
        <v>63</v>
      </c>
      <c r="BD178" s="21">
        <v>0</v>
      </c>
      <c r="BE178" s="21">
        <v>70</v>
      </c>
      <c r="BF178" s="21">
        <f t="shared" si="62"/>
        <v>154</v>
      </c>
      <c r="BG178" s="15" t="s">
        <v>4467</v>
      </c>
      <c r="BH178" s="312" t="s">
        <v>6196</v>
      </c>
      <c r="BI178" s="312" t="s">
        <v>6196</v>
      </c>
      <c r="BJ178" s="312">
        <v>2</v>
      </c>
      <c r="BK178" s="312">
        <v>4</v>
      </c>
      <c r="BL178" s="314">
        <v>110</v>
      </c>
      <c r="BM178" s="312">
        <v>1000</v>
      </c>
      <c r="BN178" s="312" t="s">
        <v>6180</v>
      </c>
      <c r="BO178" s="312">
        <v>0.9</v>
      </c>
      <c r="BP178" s="312">
        <v>105</v>
      </c>
      <c r="BQ178" s="312">
        <v>1137</v>
      </c>
      <c r="BR178" s="312">
        <v>46</v>
      </c>
      <c r="BS178" s="312" t="s">
        <v>4587</v>
      </c>
      <c r="BT178" s="314" t="s">
        <v>5850</v>
      </c>
      <c r="BU178" s="312">
        <v>14</v>
      </c>
      <c r="BV178" s="312">
        <v>2</v>
      </c>
      <c r="BW178" s="312">
        <v>19</v>
      </c>
      <c r="BX178" s="312">
        <v>90</v>
      </c>
      <c r="BY178" s="312">
        <v>100</v>
      </c>
      <c r="BZ178" s="18">
        <v>225</v>
      </c>
      <c r="CA178" s="312" t="s">
        <v>4621</v>
      </c>
      <c r="CB178" s="312" t="s">
        <v>4620</v>
      </c>
      <c r="CC178" s="21">
        <v>0</v>
      </c>
      <c r="CD178" s="21">
        <f t="shared" si="64"/>
        <v>766.54860747590953</v>
      </c>
      <c r="CE178" s="32">
        <v>50</v>
      </c>
      <c r="CF178" s="118">
        <v>1.2E-2</v>
      </c>
      <c r="CG178" s="312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12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12" t="s">
        <v>5659</v>
      </c>
      <c r="CT178" s="58">
        <v>275</v>
      </c>
      <c r="CU178" s="312">
        <v>278</v>
      </c>
      <c r="CV178" s="58">
        <v>410</v>
      </c>
      <c r="CW178" s="312">
        <v>448</v>
      </c>
      <c r="CX178" s="67">
        <v>199000</v>
      </c>
      <c r="CY178" s="314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98">
        <v>280</v>
      </c>
      <c r="DG178" s="312">
        <v>8.8000000000000007</v>
      </c>
      <c r="DH178" s="312">
        <v>640</v>
      </c>
      <c r="DI178" s="32">
        <v>730</v>
      </c>
      <c r="DJ178" s="312">
        <v>800</v>
      </c>
      <c r="DK178" s="32">
        <v>940</v>
      </c>
      <c r="DL178" s="59">
        <v>200000</v>
      </c>
      <c r="DM178" s="40" t="s">
        <v>6057</v>
      </c>
      <c r="DN178" s="312" t="s">
        <v>4432</v>
      </c>
      <c r="DO178" s="301" t="s">
        <v>4562</v>
      </c>
    </row>
    <row r="179" spans="1:119" ht="15.6" customHeight="1" thickBot="1">
      <c r="A179" s="310">
        <v>174</v>
      </c>
      <c r="B179" s="319"/>
      <c r="C179" s="319"/>
      <c r="D179" s="331"/>
      <c r="E179" s="331"/>
      <c r="F179" s="319"/>
      <c r="G179" s="319"/>
      <c r="H179" s="319"/>
      <c r="I179" s="319"/>
      <c r="J179" s="284" t="s">
        <v>4627</v>
      </c>
      <c r="K179" s="310" t="s">
        <v>4380</v>
      </c>
      <c r="L179" s="313" t="s">
        <v>5786</v>
      </c>
      <c r="M179" s="310" t="s">
        <v>4504</v>
      </c>
      <c r="N179" s="313" t="s">
        <v>4698</v>
      </c>
      <c r="O179" s="14" t="s">
        <v>4503</v>
      </c>
      <c r="P179" s="313" t="s">
        <v>4467</v>
      </c>
      <c r="Q179" s="313" t="s">
        <v>4417</v>
      </c>
      <c r="R179" s="313" t="s">
        <v>4417</v>
      </c>
      <c r="S179" s="313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13" t="s">
        <v>4417</v>
      </c>
      <c r="Y179" s="313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31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1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3"/>
        <v>11.400000000000006</v>
      </c>
      <c r="AV179" s="23">
        <f t="shared" si="58"/>
        <v>11.400000000000006</v>
      </c>
      <c r="AW179" s="310" t="s">
        <v>5801</v>
      </c>
      <c r="AX179" s="313" t="s">
        <v>4609</v>
      </c>
      <c r="AY179" s="23">
        <v>30.5</v>
      </c>
      <c r="AZ179" s="313">
        <v>20</v>
      </c>
      <c r="BA179" s="313">
        <f t="shared" si="60"/>
        <v>245</v>
      </c>
      <c r="BB179" s="23">
        <v>63</v>
      </c>
      <c r="BC179" s="23">
        <f t="shared" si="61"/>
        <v>63</v>
      </c>
      <c r="BD179" s="23">
        <v>0</v>
      </c>
      <c r="BE179" s="23">
        <v>70</v>
      </c>
      <c r="BF179" s="23">
        <f t="shared" si="62"/>
        <v>154</v>
      </c>
      <c r="BG179" s="19" t="s">
        <v>4467</v>
      </c>
      <c r="BH179" s="313" t="s">
        <v>6196</v>
      </c>
      <c r="BI179" s="313" t="s">
        <v>6196</v>
      </c>
      <c r="BJ179" s="313">
        <v>2</v>
      </c>
      <c r="BK179" s="313">
        <v>4</v>
      </c>
      <c r="BL179" s="310">
        <v>110</v>
      </c>
      <c r="BM179" s="313">
        <v>1000</v>
      </c>
      <c r="BN179" s="313" t="s">
        <v>6180</v>
      </c>
      <c r="BO179" s="313">
        <v>0.9</v>
      </c>
      <c r="BP179" s="313">
        <v>105</v>
      </c>
      <c r="BQ179" s="313">
        <v>1137</v>
      </c>
      <c r="BR179" s="313">
        <v>46</v>
      </c>
      <c r="BS179" s="313" t="s">
        <v>4587</v>
      </c>
      <c r="BT179" s="310" t="s">
        <v>5850</v>
      </c>
      <c r="BU179" s="313">
        <v>14</v>
      </c>
      <c r="BV179" s="313">
        <v>2</v>
      </c>
      <c r="BW179" s="313">
        <v>19</v>
      </c>
      <c r="BX179" s="313">
        <v>90</v>
      </c>
      <c r="BY179" s="313">
        <v>100</v>
      </c>
      <c r="BZ179" s="14">
        <v>225</v>
      </c>
      <c r="CA179" s="313" t="s">
        <v>4621</v>
      </c>
      <c r="CB179" s="313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13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13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13" t="s">
        <v>5659</v>
      </c>
      <c r="CT179" s="85">
        <v>275</v>
      </c>
      <c r="CU179" s="313">
        <v>278</v>
      </c>
      <c r="CV179" s="85">
        <v>410</v>
      </c>
      <c r="CW179" s="313">
        <v>448</v>
      </c>
      <c r="CX179" s="81">
        <v>199000</v>
      </c>
      <c r="CY179" s="310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99">
        <v>280</v>
      </c>
      <c r="DG179" s="313">
        <v>8.8000000000000007</v>
      </c>
      <c r="DH179" s="313">
        <v>640</v>
      </c>
      <c r="DI179" s="34">
        <v>730</v>
      </c>
      <c r="DJ179" s="313">
        <v>800</v>
      </c>
      <c r="DK179" s="34">
        <v>940</v>
      </c>
      <c r="DL179" s="75">
        <v>200000</v>
      </c>
      <c r="DM179" s="41" t="s">
        <v>6065</v>
      </c>
      <c r="DN179" s="313" t="s">
        <v>4432</v>
      </c>
      <c r="DO179" s="302" t="s">
        <v>4562</v>
      </c>
    </row>
    <row r="180" spans="1:119" ht="15.6" customHeight="1">
      <c r="A180" s="314">
        <v>175</v>
      </c>
      <c r="B180" s="318">
        <v>26</v>
      </c>
      <c r="C180" s="318">
        <v>1996</v>
      </c>
      <c r="D180" s="321" t="s">
        <v>4506</v>
      </c>
      <c r="E180" s="327" t="s">
        <v>6303</v>
      </c>
      <c r="F180" s="327">
        <v>9</v>
      </c>
      <c r="G180" s="327" t="s">
        <v>5908</v>
      </c>
      <c r="H180" s="327" t="s">
        <v>5894</v>
      </c>
      <c r="I180" s="327" t="s">
        <v>6226</v>
      </c>
      <c r="J180" s="295" t="s">
        <v>6304</v>
      </c>
      <c r="K180" s="314" t="s">
        <v>4380</v>
      </c>
      <c r="L180" s="312" t="s">
        <v>5786</v>
      </c>
      <c r="M180" s="314" t="s">
        <v>4504</v>
      </c>
      <c r="N180" s="312" t="s">
        <v>4697</v>
      </c>
      <c r="O180" s="18" t="s">
        <v>4503</v>
      </c>
      <c r="P180" s="312" t="s">
        <v>6325</v>
      </c>
      <c r="Q180" s="312" t="s">
        <v>4417</v>
      </c>
      <c r="R180" s="312" t="s">
        <v>6325</v>
      </c>
      <c r="S180" s="312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12" t="s">
        <v>4417</v>
      </c>
      <c r="Y180" s="312" t="s">
        <v>5786</v>
      </c>
      <c r="Z180" s="312" t="s">
        <v>4555</v>
      </c>
      <c r="AA180" s="18">
        <v>10</v>
      </c>
      <c r="AB180" s="223">
        <v>0</v>
      </c>
      <c r="AC180" s="18">
        <v>0</v>
      </c>
      <c r="AD180" s="314" t="s">
        <v>6334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14" t="s">
        <v>6335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5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6">AV180</f>
        <v>26.800000000000011</v>
      </c>
      <c r="AV180" s="21">
        <f t="shared" si="58"/>
        <v>26.800000000000011</v>
      </c>
      <c r="AW180" s="314" t="s">
        <v>5801</v>
      </c>
      <c r="AX180" s="312" t="s">
        <v>4495</v>
      </c>
      <c r="AY180" s="312" t="s">
        <v>6121</v>
      </c>
      <c r="AZ180" s="312">
        <v>20</v>
      </c>
      <c r="BA180" s="312">
        <f t="shared" si="60"/>
        <v>245</v>
      </c>
      <c r="BB180" s="21">
        <v>87</v>
      </c>
      <c r="BC180" s="21">
        <f t="shared" si="61"/>
        <v>87</v>
      </c>
      <c r="BD180" s="21">
        <v>0</v>
      </c>
      <c r="BE180" s="21">
        <v>90</v>
      </c>
      <c r="BF180" s="21">
        <f t="shared" si="62"/>
        <v>286</v>
      </c>
      <c r="BG180" s="15" t="s">
        <v>6326</v>
      </c>
      <c r="BH180" s="312" t="s">
        <v>6196</v>
      </c>
      <c r="BI180" s="312" t="s">
        <v>6196</v>
      </c>
      <c r="BJ180" s="312">
        <v>2</v>
      </c>
      <c r="BK180" s="312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12" t="s">
        <v>6327</v>
      </c>
      <c r="CH180" s="312">
        <v>275</v>
      </c>
      <c r="CI180" s="21">
        <v>327.5</v>
      </c>
      <c r="CJ180" s="312">
        <v>410</v>
      </c>
      <c r="CK180" s="21">
        <v>469.5</v>
      </c>
      <c r="CL180" s="67">
        <v>166000</v>
      </c>
      <c r="CM180" s="314" t="s">
        <v>6327</v>
      </c>
      <c r="CN180" s="312">
        <v>275</v>
      </c>
      <c r="CO180" s="33">
        <f t="shared" ref="CO180:CO188" si="67">CN180*1.3</f>
        <v>357.5</v>
      </c>
      <c r="CP180" s="58">
        <v>430</v>
      </c>
      <c r="CQ180" s="32">
        <f t="shared" ref="CQ180:CQ188" si="68">CP180*1.1</f>
        <v>473.00000000000006</v>
      </c>
      <c r="CR180" s="65">
        <v>200000</v>
      </c>
      <c r="CS180" s="314" t="s">
        <v>6327</v>
      </c>
      <c r="CT180" s="58">
        <v>275</v>
      </c>
      <c r="CU180" s="312">
        <v>326</v>
      </c>
      <c r="CV180" s="58">
        <v>410</v>
      </c>
      <c r="CW180" s="312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12">
        <v>8.8000000000000007</v>
      </c>
      <c r="DH180" s="312">
        <v>640</v>
      </c>
      <c r="DI180" s="32">
        <v>730</v>
      </c>
      <c r="DJ180" s="312">
        <v>800</v>
      </c>
      <c r="DK180" s="312">
        <v>882</v>
      </c>
      <c r="DL180" s="59">
        <v>200000</v>
      </c>
      <c r="DM180" s="40" t="s">
        <v>6302</v>
      </c>
      <c r="DN180" s="312" t="s">
        <v>4432</v>
      </c>
      <c r="DO180" s="301" t="s">
        <v>4562</v>
      </c>
    </row>
    <row r="181" spans="1:119">
      <c r="A181" s="314">
        <v>176</v>
      </c>
      <c r="B181" s="318"/>
      <c r="C181" s="318"/>
      <c r="D181" s="321"/>
      <c r="E181" s="327"/>
      <c r="F181" s="327"/>
      <c r="G181" s="327"/>
      <c r="H181" s="327"/>
      <c r="I181" s="327"/>
      <c r="J181" s="295" t="s">
        <v>4394</v>
      </c>
      <c r="K181" s="314" t="s">
        <v>4380</v>
      </c>
      <c r="L181" s="312" t="s">
        <v>5786</v>
      </c>
      <c r="M181" s="314" t="s">
        <v>4504</v>
      </c>
      <c r="N181" s="312" t="s">
        <v>4697</v>
      </c>
      <c r="O181" s="18" t="s">
        <v>4503</v>
      </c>
      <c r="P181" s="312" t="s">
        <v>6325</v>
      </c>
      <c r="Q181" s="312" t="s">
        <v>4417</v>
      </c>
      <c r="R181" s="312" t="s">
        <v>6325</v>
      </c>
      <c r="S181" s="312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12" t="s">
        <v>4417</v>
      </c>
      <c r="Y181" s="312" t="s">
        <v>5786</v>
      </c>
      <c r="Z181" s="312" t="s">
        <v>4555</v>
      </c>
      <c r="AA181" s="18">
        <v>10</v>
      </c>
      <c r="AB181" s="223">
        <v>0</v>
      </c>
      <c r="AC181" s="18">
        <v>0</v>
      </c>
      <c r="AD181" s="314" t="s">
        <v>6336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14" t="s">
        <v>6335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5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6"/>
        <v>21.800000000000011</v>
      </c>
      <c r="AV181" s="21">
        <f t="shared" si="58"/>
        <v>21.800000000000011</v>
      </c>
      <c r="AW181" s="314" t="s">
        <v>5801</v>
      </c>
      <c r="AX181" s="312" t="s">
        <v>4495</v>
      </c>
      <c r="AY181" s="312" t="s">
        <v>6121</v>
      </c>
      <c r="AZ181" s="312">
        <v>20</v>
      </c>
      <c r="BA181" s="312">
        <f t="shared" si="60"/>
        <v>245</v>
      </c>
      <c r="BB181" s="21">
        <v>87</v>
      </c>
      <c r="BC181" s="21">
        <f t="shared" si="61"/>
        <v>87</v>
      </c>
      <c r="BD181" s="21">
        <v>0</v>
      </c>
      <c r="BE181" s="21">
        <v>90</v>
      </c>
      <c r="BF181" s="21">
        <f t="shared" si="62"/>
        <v>276</v>
      </c>
      <c r="BG181" s="15" t="s">
        <v>6326</v>
      </c>
      <c r="BH181" s="312" t="s">
        <v>6196</v>
      </c>
      <c r="BI181" s="312" t="s">
        <v>6196</v>
      </c>
      <c r="BJ181" s="312">
        <v>2</v>
      </c>
      <c r="BK181" s="312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12" t="s">
        <v>6327</v>
      </c>
      <c r="CH181" s="312">
        <v>275</v>
      </c>
      <c r="CI181" s="21">
        <f>(344+311)/2</f>
        <v>327.5</v>
      </c>
      <c r="CJ181" s="312">
        <v>410</v>
      </c>
      <c r="CK181" s="21">
        <f>(477+484)/2</f>
        <v>480.5</v>
      </c>
      <c r="CL181" s="67">
        <v>203000</v>
      </c>
      <c r="CM181" s="314" t="s">
        <v>6327</v>
      </c>
      <c r="CN181" s="312">
        <v>275</v>
      </c>
      <c r="CO181" s="33">
        <f t="shared" si="67"/>
        <v>357.5</v>
      </c>
      <c r="CP181" s="58">
        <v>430</v>
      </c>
      <c r="CQ181" s="32">
        <f t="shared" si="68"/>
        <v>473.00000000000006</v>
      </c>
      <c r="CR181" s="65">
        <v>200000</v>
      </c>
      <c r="CS181" s="314" t="s">
        <v>6327</v>
      </c>
      <c r="CT181" s="58">
        <v>275</v>
      </c>
      <c r="CU181" s="312">
        <v>405</v>
      </c>
      <c r="CV181" s="58">
        <v>410</v>
      </c>
      <c r="CW181" s="312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12">
        <v>8.8000000000000007</v>
      </c>
      <c r="DH181" s="312">
        <v>640</v>
      </c>
      <c r="DI181" s="32">
        <v>730</v>
      </c>
      <c r="DJ181" s="312">
        <v>800</v>
      </c>
      <c r="DK181" s="312">
        <v>845</v>
      </c>
      <c r="DL181" s="59">
        <v>200000</v>
      </c>
      <c r="DM181" s="40" t="s">
        <v>4754</v>
      </c>
      <c r="DN181" s="312" t="s">
        <v>4432</v>
      </c>
      <c r="DO181" s="301" t="s">
        <v>6305</v>
      </c>
    </row>
    <row r="182" spans="1:119">
      <c r="A182" s="314">
        <v>177</v>
      </c>
      <c r="B182" s="318"/>
      <c r="C182" s="318"/>
      <c r="D182" s="321"/>
      <c r="E182" s="327"/>
      <c r="F182" s="327"/>
      <c r="G182" s="327"/>
      <c r="H182" s="327"/>
      <c r="I182" s="327"/>
      <c r="J182" s="295" t="s">
        <v>6306</v>
      </c>
      <c r="K182" s="314" t="s">
        <v>6328</v>
      </c>
      <c r="L182" s="312" t="s">
        <v>5786</v>
      </c>
      <c r="M182" s="314" t="s">
        <v>4504</v>
      </c>
      <c r="N182" s="312" t="s">
        <v>4697</v>
      </c>
      <c r="O182" s="18" t="s">
        <v>4503</v>
      </c>
      <c r="P182" s="312" t="s">
        <v>6325</v>
      </c>
      <c r="Q182" s="312" t="s">
        <v>4417</v>
      </c>
      <c r="R182" s="312" t="s">
        <v>6325</v>
      </c>
      <c r="S182" s="312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12" t="s">
        <v>4417</v>
      </c>
      <c r="Y182" s="312" t="s">
        <v>5786</v>
      </c>
      <c r="Z182" s="312" t="s">
        <v>4555</v>
      </c>
      <c r="AA182" s="18">
        <v>10</v>
      </c>
      <c r="AB182" s="223">
        <v>0</v>
      </c>
      <c r="AC182" s="18">
        <v>0</v>
      </c>
      <c r="AD182" s="314" t="s">
        <v>6336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14" t="s">
        <v>6337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14" t="s">
        <v>5801</v>
      </c>
      <c r="AX182" s="312" t="s">
        <v>4495</v>
      </c>
      <c r="AY182" s="312" t="s">
        <v>6121</v>
      </c>
      <c r="AZ182" s="312">
        <v>20</v>
      </c>
      <c r="BA182" s="312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6326</v>
      </c>
      <c r="BH182" s="312" t="s">
        <v>6196</v>
      </c>
      <c r="BI182" s="312" t="s">
        <v>6196</v>
      </c>
      <c r="BJ182" s="312">
        <v>2</v>
      </c>
      <c r="BK182" s="312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12" t="s">
        <v>6327</v>
      </c>
      <c r="CH182" s="312">
        <v>275</v>
      </c>
      <c r="CI182" s="21">
        <v>327.5</v>
      </c>
      <c r="CJ182" s="312">
        <v>410</v>
      </c>
      <c r="CK182" s="21">
        <v>469.5</v>
      </c>
      <c r="CL182" s="67">
        <v>166000</v>
      </c>
      <c r="CM182" s="314" t="s">
        <v>6327</v>
      </c>
      <c r="CN182" s="312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314" t="s">
        <v>6327</v>
      </c>
      <c r="CT182" s="58">
        <v>275</v>
      </c>
      <c r="CU182" s="312">
        <v>326</v>
      </c>
      <c r="CV182" s="58">
        <v>410</v>
      </c>
      <c r="CW182" s="312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12">
        <v>8.8000000000000007</v>
      </c>
      <c r="DH182" s="312">
        <v>640</v>
      </c>
      <c r="DI182" s="32">
        <v>730</v>
      </c>
      <c r="DJ182" s="312">
        <v>800</v>
      </c>
      <c r="DK182" s="312">
        <v>882</v>
      </c>
      <c r="DL182" s="59">
        <v>200000</v>
      </c>
      <c r="DM182" s="40" t="s">
        <v>4754</v>
      </c>
      <c r="DN182" s="312" t="s">
        <v>4432</v>
      </c>
      <c r="DO182" s="301" t="s">
        <v>4562</v>
      </c>
    </row>
    <row r="183" spans="1:119">
      <c r="A183" s="314">
        <v>178</v>
      </c>
      <c r="B183" s="318"/>
      <c r="C183" s="318"/>
      <c r="D183" s="321"/>
      <c r="E183" s="327"/>
      <c r="F183" s="327"/>
      <c r="G183" s="327"/>
      <c r="H183" s="327"/>
      <c r="I183" s="327"/>
      <c r="J183" s="295" t="s">
        <v>4396</v>
      </c>
      <c r="K183" s="314" t="s">
        <v>4380</v>
      </c>
      <c r="L183" s="312" t="s">
        <v>5786</v>
      </c>
      <c r="M183" s="314" t="s">
        <v>4504</v>
      </c>
      <c r="N183" s="312" t="s">
        <v>4697</v>
      </c>
      <c r="O183" s="18" t="s">
        <v>4503</v>
      </c>
      <c r="P183" s="312" t="s">
        <v>6325</v>
      </c>
      <c r="Q183" s="312" t="s">
        <v>4417</v>
      </c>
      <c r="R183" s="312" t="s">
        <v>6325</v>
      </c>
      <c r="S183" s="312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12" t="s">
        <v>4417</v>
      </c>
      <c r="Y183" s="312" t="s">
        <v>5786</v>
      </c>
      <c r="Z183" s="312" t="s">
        <v>4555</v>
      </c>
      <c r="AA183" s="18">
        <v>10</v>
      </c>
      <c r="AB183" s="223">
        <v>0</v>
      </c>
      <c r="AC183" s="18">
        <v>0</v>
      </c>
      <c r="AD183" s="314" t="s">
        <v>6336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14" t="s">
        <v>6335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5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6"/>
        <v>21.800000000000011</v>
      </c>
      <c r="AV183" s="21">
        <f t="shared" si="58"/>
        <v>21.800000000000011</v>
      </c>
      <c r="AW183" s="314" t="s">
        <v>5801</v>
      </c>
      <c r="AX183" s="312" t="s">
        <v>4495</v>
      </c>
      <c r="AY183" s="312" t="s">
        <v>6121</v>
      </c>
      <c r="AZ183" s="312">
        <v>24</v>
      </c>
      <c r="BA183" s="312">
        <f t="shared" si="60"/>
        <v>353</v>
      </c>
      <c r="BB183" s="21">
        <v>87</v>
      </c>
      <c r="BC183" s="21">
        <f t="shared" si="61"/>
        <v>87</v>
      </c>
      <c r="BD183" s="21">
        <v>0</v>
      </c>
      <c r="BE183" s="21">
        <v>90</v>
      </c>
      <c r="BF183" s="21">
        <f t="shared" si="62"/>
        <v>276</v>
      </c>
      <c r="BG183" s="15" t="s">
        <v>6326</v>
      </c>
      <c r="BH183" s="312" t="s">
        <v>6196</v>
      </c>
      <c r="BI183" s="312" t="s">
        <v>6196</v>
      </c>
      <c r="BJ183" s="312">
        <v>2</v>
      </c>
      <c r="BK183" s="312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12" t="s">
        <v>6327</v>
      </c>
      <c r="CH183" s="312">
        <v>275</v>
      </c>
      <c r="CI183" s="21">
        <f>(281+355)/2</f>
        <v>318</v>
      </c>
      <c r="CJ183" s="312">
        <v>410</v>
      </c>
      <c r="CK183" s="21">
        <f>(441+469)/2</f>
        <v>455</v>
      </c>
      <c r="CL183" s="67">
        <v>208000</v>
      </c>
      <c r="CM183" s="314" t="s">
        <v>6327</v>
      </c>
      <c r="CN183" s="312">
        <v>275</v>
      </c>
      <c r="CO183" s="33">
        <f t="shared" si="67"/>
        <v>357.5</v>
      </c>
      <c r="CP183" s="58">
        <v>430</v>
      </c>
      <c r="CQ183" s="32">
        <f t="shared" si="68"/>
        <v>473.00000000000006</v>
      </c>
      <c r="CR183" s="65">
        <v>200000</v>
      </c>
      <c r="CS183" s="314" t="s">
        <v>6327</v>
      </c>
      <c r="CT183" s="58">
        <v>275</v>
      </c>
      <c r="CU183" s="312">
        <v>310</v>
      </c>
      <c r="CV183" s="58">
        <v>410</v>
      </c>
      <c r="CW183" s="312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12">
        <v>8.8000000000000007</v>
      </c>
      <c r="DH183" s="312">
        <v>640</v>
      </c>
      <c r="DI183" s="32">
        <v>730</v>
      </c>
      <c r="DJ183" s="312">
        <v>800</v>
      </c>
      <c r="DK183" s="312">
        <v>922</v>
      </c>
      <c r="DL183" s="59">
        <v>200000</v>
      </c>
      <c r="DM183" s="40" t="s">
        <v>4754</v>
      </c>
      <c r="DN183" s="312" t="s">
        <v>4432</v>
      </c>
      <c r="DO183" s="301" t="s">
        <v>6305</v>
      </c>
    </row>
    <row r="184" spans="1:119">
      <c r="A184" s="314">
        <v>179</v>
      </c>
      <c r="B184" s="318"/>
      <c r="C184" s="318"/>
      <c r="D184" s="321"/>
      <c r="E184" s="327"/>
      <c r="F184" s="327"/>
      <c r="G184" s="327"/>
      <c r="H184" s="327"/>
      <c r="I184" s="327"/>
      <c r="J184" s="295" t="s">
        <v>6307</v>
      </c>
      <c r="K184" s="314" t="s">
        <v>4380</v>
      </c>
      <c r="L184" s="312" t="s">
        <v>5786</v>
      </c>
      <c r="M184" s="314" t="s">
        <v>4504</v>
      </c>
      <c r="N184" s="312" t="s">
        <v>4697</v>
      </c>
      <c r="O184" s="18" t="s">
        <v>4503</v>
      </c>
      <c r="P184" s="312" t="s">
        <v>6325</v>
      </c>
      <c r="Q184" s="312" t="s">
        <v>4417</v>
      </c>
      <c r="R184" s="312" t="s">
        <v>6325</v>
      </c>
      <c r="S184" s="312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12" t="s">
        <v>4417</v>
      </c>
      <c r="Y184" s="312" t="s">
        <v>5786</v>
      </c>
      <c r="Z184" s="312" t="s">
        <v>4555</v>
      </c>
      <c r="AA184" s="18">
        <v>10</v>
      </c>
      <c r="AB184" s="223">
        <v>0</v>
      </c>
      <c r="AC184" s="18">
        <v>0</v>
      </c>
      <c r="AD184" s="314" t="s">
        <v>6336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14" t="s">
        <v>6337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14" t="s">
        <v>5801</v>
      </c>
      <c r="AX184" s="312" t="s">
        <v>4495</v>
      </c>
      <c r="AY184" s="312" t="s">
        <v>6121</v>
      </c>
      <c r="AZ184" s="312">
        <v>24</v>
      </c>
      <c r="BA184" s="312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6326</v>
      </c>
      <c r="BH184" s="312" t="s">
        <v>6196</v>
      </c>
      <c r="BI184" s="312" t="s">
        <v>6196</v>
      </c>
      <c r="BJ184" s="312">
        <v>2</v>
      </c>
      <c r="BK184" s="312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12" t="s">
        <v>6327</v>
      </c>
      <c r="CH184" s="312">
        <v>275</v>
      </c>
      <c r="CI184" s="21">
        <v>327.5</v>
      </c>
      <c r="CJ184" s="312">
        <v>410</v>
      </c>
      <c r="CK184" s="21">
        <v>469.5</v>
      </c>
      <c r="CL184" s="67">
        <v>166000</v>
      </c>
      <c r="CM184" s="314" t="s">
        <v>6327</v>
      </c>
      <c r="CN184" s="312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314" t="s">
        <v>6327</v>
      </c>
      <c r="CT184" s="58">
        <v>275</v>
      </c>
      <c r="CU184" s="312">
        <v>307</v>
      </c>
      <c r="CV184" s="58">
        <v>410</v>
      </c>
      <c r="CW184" s="312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12">
        <v>8.8000000000000007</v>
      </c>
      <c r="DH184" s="312">
        <v>640</v>
      </c>
      <c r="DI184" s="32">
        <v>730</v>
      </c>
      <c r="DJ184" s="312">
        <v>800</v>
      </c>
      <c r="DK184" s="312">
        <v>949</v>
      </c>
      <c r="DL184" s="59">
        <v>200000</v>
      </c>
      <c r="DM184" s="40" t="s">
        <v>6301</v>
      </c>
      <c r="DN184" s="312" t="s">
        <v>4432</v>
      </c>
      <c r="DO184" s="301" t="s">
        <v>4562</v>
      </c>
    </row>
    <row r="185" spans="1:119" ht="15.6" customHeight="1">
      <c r="A185" s="314">
        <v>180</v>
      </c>
      <c r="B185" s="318"/>
      <c r="C185" s="318"/>
      <c r="D185" s="321"/>
      <c r="E185" s="327"/>
      <c r="F185" s="327"/>
      <c r="G185" s="327"/>
      <c r="H185" s="327"/>
      <c r="I185" s="327"/>
      <c r="J185" s="295" t="s">
        <v>4398</v>
      </c>
      <c r="K185" s="314" t="s">
        <v>4380</v>
      </c>
      <c r="L185" s="312" t="s">
        <v>5786</v>
      </c>
      <c r="M185" s="314" t="s">
        <v>4504</v>
      </c>
      <c r="N185" s="312" t="s">
        <v>4697</v>
      </c>
      <c r="O185" s="18" t="s">
        <v>4503</v>
      </c>
      <c r="P185" s="312" t="s">
        <v>6325</v>
      </c>
      <c r="Q185" s="312" t="s">
        <v>4417</v>
      </c>
      <c r="R185" s="312" t="s">
        <v>6325</v>
      </c>
      <c r="S185" s="312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12" t="s">
        <v>4417</v>
      </c>
      <c r="Y185" s="312" t="s">
        <v>5786</v>
      </c>
      <c r="Z185" s="312" t="s">
        <v>4555</v>
      </c>
      <c r="AA185" s="18">
        <v>10</v>
      </c>
      <c r="AB185" s="223">
        <v>0</v>
      </c>
      <c r="AC185" s="18">
        <v>0</v>
      </c>
      <c r="AD185" s="314" t="s">
        <v>6336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14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5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6"/>
        <v>21.050000000000011</v>
      </c>
      <c r="AV185" s="21">
        <f t="shared" si="58"/>
        <v>21.050000000000011</v>
      </c>
      <c r="AW185" s="314" t="s">
        <v>5801</v>
      </c>
      <c r="AX185" s="312" t="s">
        <v>4495</v>
      </c>
      <c r="AY185" s="312" t="s">
        <v>6121</v>
      </c>
      <c r="AZ185" s="312">
        <v>24</v>
      </c>
      <c r="BA185" s="312">
        <f t="shared" si="60"/>
        <v>353</v>
      </c>
      <c r="BB185" s="21">
        <v>87</v>
      </c>
      <c r="BC185" s="21">
        <f t="shared" si="61"/>
        <v>87</v>
      </c>
      <c r="BD185" s="21">
        <v>0</v>
      </c>
      <c r="BE185" s="21">
        <v>90</v>
      </c>
      <c r="BF185" s="21">
        <f t="shared" si="62"/>
        <v>546</v>
      </c>
      <c r="BG185" s="15" t="s">
        <v>6326</v>
      </c>
      <c r="BH185" s="312" t="s">
        <v>6196</v>
      </c>
      <c r="BI185" s="312" t="s">
        <v>6196</v>
      </c>
      <c r="BJ185" s="312">
        <v>2</v>
      </c>
      <c r="BK185" s="312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12" t="s">
        <v>6327</v>
      </c>
      <c r="CH185" s="312">
        <v>275</v>
      </c>
      <c r="CI185" s="21">
        <f>(281+355)/2</f>
        <v>318</v>
      </c>
      <c r="CJ185" s="312">
        <v>410</v>
      </c>
      <c r="CK185" s="21">
        <f>(441+469)/2</f>
        <v>455</v>
      </c>
      <c r="CL185" s="67">
        <v>208000</v>
      </c>
      <c r="CM185" s="314" t="s">
        <v>6327</v>
      </c>
      <c r="CN185" s="312">
        <v>275</v>
      </c>
      <c r="CO185" s="33">
        <f t="shared" si="67"/>
        <v>357.5</v>
      </c>
      <c r="CP185" s="58">
        <v>430</v>
      </c>
      <c r="CQ185" s="32">
        <f t="shared" si="68"/>
        <v>473.00000000000006</v>
      </c>
      <c r="CR185" s="65">
        <v>200000</v>
      </c>
      <c r="CS185" s="314" t="s">
        <v>6327</v>
      </c>
      <c r="CT185" s="58">
        <v>275</v>
      </c>
      <c r="CU185" s="312">
        <v>310</v>
      </c>
      <c r="CV185" s="58">
        <v>410</v>
      </c>
      <c r="CW185" s="312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12">
        <v>8.8000000000000007</v>
      </c>
      <c r="DH185" s="312">
        <v>640</v>
      </c>
      <c r="DI185" s="32">
        <v>730</v>
      </c>
      <c r="DJ185" s="312">
        <v>800</v>
      </c>
      <c r="DK185" s="312">
        <v>922</v>
      </c>
      <c r="DL185" s="59">
        <v>200000</v>
      </c>
      <c r="DM185" s="40" t="s">
        <v>12</v>
      </c>
      <c r="DN185" s="312" t="s">
        <v>4432</v>
      </c>
      <c r="DO185" s="301" t="s">
        <v>6305</v>
      </c>
    </row>
    <row r="186" spans="1:119" ht="15.6" customHeight="1">
      <c r="A186" s="314">
        <v>181</v>
      </c>
      <c r="B186" s="318"/>
      <c r="C186" s="318"/>
      <c r="D186" s="321"/>
      <c r="E186" s="327"/>
      <c r="F186" s="327"/>
      <c r="G186" s="327"/>
      <c r="H186" s="327"/>
      <c r="I186" s="327"/>
      <c r="J186" s="295" t="s">
        <v>6308</v>
      </c>
      <c r="K186" s="314" t="s">
        <v>4380</v>
      </c>
      <c r="L186" s="312" t="s">
        <v>5786</v>
      </c>
      <c r="M186" s="314" t="s">
        <v>4504</v>
      </c>
      <c r="N186" s="312" t="s">
        <v>4697</v>
      </c>
      <c r="O186" s="18" t="s">
        <v>4503</v>
      </c>
      <c r="P186" s="312" t="s">
        <v>6325</v>
      </c>
      <c r="Q186" s="312" t="s">
        <v>4417</v>
      </c>
      <c r="R186" s="312" t="s">
        <v>4417</v>
      </c>
      <c r="S186" s="312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12" t="s">
        <v>4417</v>
      </c>
      <c r="Y186" s="312" t="s">
        <v>5786</v>
      </c>
      <c r="Z186" s="312" t="s">
        <v>4555</v>
      </c>
      <c r="AA186" s="18">
        <v>10</v>
      </c>
      <c r="AB186" s="223">
        <v>0</v>
      </c>
      <c r="AC186" s="18">
        <v>0</v>
      </c>
      <c r="AD186" s="314" t="s">
        <v>6334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14" t="s">
        <v>6335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14" t="s">
        <v>5801</v>
      </c>
      <c r="AX186" s="312" t="s">
        <v>4495</v>
      </c>
      <c r="AY186" s="312" t="s">
        <v>6121</v>
      </c>
      <c r="AZ186" s="312">
        <v>20</v>
      </c>
      <c r="BA186" s="312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6325</v>
      </c>
      <c r="BH186" s="312" t="s">
        <v>4462</v>
      </c>
      <c r="BI186" s="312" t="s">
        <v>4462</v>
      </c>
      <c r="BJ186" s="312">
        <v>4</v>
      </c>
      <c r="BK186" s="312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12" t="s">
        <v>6327</v>
      </c>
      <c r="CH186" s="312">
        <v>275</v>
      </c>
      <c r="CI186" s="21">
        <v>327.5</v>
      </c>
      <c r="CJ186" s="312">
        <v>410</v>
      </c>
      <c r="CK186" s="21">
        <v>469.5</v>
      </c>
      <c r="CL186" s="67">
        <v>166000</v>
      </c>
      <c r="CM186" s="314" t="s">
        <v>6327</v>
      </c>
      <c r="CN186" s="312">
        <v>275</v>
      </c>
      <c r="CO186" s="33">
        <f>CN186*1.3</f>
        <v>357.5</v>
      </c>
      <c r="CP186" s="312">
        <v>430</v>
      </c>
      <c r="CQ186" s="32">
        <f>CP186*1.1</f>
        <v>473.00000000000006</v>
      </c>
      <c r="CR186" s="65">
        <v>200000</v>
      </c>
      <c r="CS186" s="314" t="s">
        <v>6327</v>
      </c>
      <c r="CT186" s="58">
        <v>275</v>
      </c>
      <c r="CU186" s="312">
        <v>326</v>
      </c>
      <c r="CV186" s="58">
        <v>410</v>
      </c>
      <c r="CW186" s="312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12">
        <v>8.8000000000000007</v>
      </c>
      <c r="DH186" s="312">
        <v>640</v>
      </c>
      <c r="DI186" s="32">
        <v>730</v>
      </c>
      <c r="DJ186" s="312">
        <v>800</v>
      </c>
      <c r="DK186" s="312">
        <v>882</v>
      </c>
      <c r="DL186" s="59">
        <v>200000</v>
      </c>
      <c r="DM186" s="40" t="s">
        <v>4771</v>
      </c>
      <c r="DN186" s="312" t="s">
        <v>4432</v>
      </c>
      <c r="DO186" s="301" t="s">
        <v>4562</v>
      </c>
    </row>
    <row r="187" spans="1:119">
      <c r="A187" s="314">
        <v>182</v>
      </c>
      <c r="B187" s="318"/>
      <c r="C187" s="318"/>
      <c r="D187" s="321"/>
      <c r="E187" s="327"/>
      <c r="F187" s="327"/>
      <c r="G187" s="327"/>
      <c r="H187" s="327"/>
      <c r="I187" s="327"/>
      <c r="J187" s="295" t="s">
        <v>6309</v>
      </c>
      <c r="K187" s="314" t="s">
        <v>4380</v>
      </c>
      <c r="L187" s="312" t="s">
        <v>5786</v>
      </c>
      <c r="M187" s="314" t="s">
        <v>4504</v>
      </c>
      <c r="N187" s="312" t="s">
        <v>4697</v>
      </c>
      <c r="O187" s="18" t="s">
        <v>4503</v>
      </c>
      <c r="P187" s="312" t="s">
        <v>6325</v>
      </c>
      <c r="Q187" s="312" t="s">
        <v>4417</v>
      </c>
      <c r="R187" s="312" t="s">
        <v>4417</v>
      </c>
      <c r="S187" s="312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12" t="s">
        <v>4417</v>
      </c>
      <c r="Y187" s="312" t="s">
        <v>5786</v>
      </c>
      <c r="Z187" s="312" t="s">
        <v>4555</v>
      </c>
      <c r="AA187" s="18">
        <v>10</v>
      </c>
      <c r="AB187" s="223">
        <v>0</v>
      </c>
      <c r="AC187" s="18">
        <v>0</v>
      </c>
      <c r="AD187" s="314" t="s">
        <v>6336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14" t="s">
        <v>6337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5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6"/>
        <v>26.5</v>
      </c>
      <c r="AV187" s="21">
        <f t="shared" si="58"/>
        <v>26.5</v>
      </c>
      <c r="AW187" s="314" t="s">
        <v>5801</v>
      </c>
      <c r="AX187" s="312" t="s">
        <v>4495</v>
      </c>
      <c r="AY187" s="312" t="s">
        <v>6121</v>
      </c>
      <c r="AZ187" s="312">
        <v>24</v>
      </c>
      <c r="BA187" s="312">
        <f t="shared" si="60"/>
        <v>353</v>
      </c>
      <c r="BB187" s="21">
        <v>87</v>
      </c>
      <c r="BC187" s="21">
        <f t="shared" si="61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6325</v>
      </c>
      <c r="BH187" s="312" t="s">
        <v>4462</v>
      </c>
      <c r="BI187" s="312" t="s">
        <v>4462</v>
      </c>
      <c r="BJ187" s="312">
        <v>4</v>
      </c>
      <c r="BK187" s="312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12" t="s">
        <v>6327</v>
      </c>
      <c r="CH187" s="312">
        <v>275</v>
      </c>
      <c r="CI187" s="21">
        <v>327.5</v>
      </c>
      <c r="CJ187" s="312">
        <v>410</v>
      </c>
      <c r="CK187" s="21">
        <v>469.5</v>
      </c>
      <c r="CL187" s="67">
        <v>166000</v>
      </c>
      <c r="CM187" s="314" t="s">
        <v>6327</v>
      </c>
      <c r="CN187" s="312">
        <v>275</v>
      </c>
      <c r="CO187" s="33">
        <f t="shared" si="67"/>
        <v>357.5</v>
      </c>
      <c r="CP187" s="312">
        <v>430</v>
      </c>
      <c r="CQ187" s="32">
        <f t="shared" si="68"/>
        <v>473.00000000000006</v>
      </c>
      <c r="CR187" s="65">
        <v>200000</v>
      </c>
      <c r="CS187" s="314" t="s">
        <v>6327</v>
      </c>
      <c r="CT187" s="58">
        <v>275</v>
      </c>
      <c r="CU187" s="312">
        <v>326</v>
      </c>
      <c r="CV187" s="58">
        <v>410</v>
      </c>
      <c r="CW187" s="312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12">
        <v>8.8000000000000007</v>
      </c>
      <c r="DH187" s="312">
        <v>640</v>
      </c>
      <c r="DI187" s="32">
        <v>730</v>
      </c>
      <c r="DJ187" s="312">
        <v>800</v>
      </c>
      <c r="DK187" s="312">
        <v>949</v>
      </c>
      <c r="DL187" s="59">
        <v>200000</v>
      </c>
      <c r="DM187" s="40" t="s">
        <v>4771</v>
      </c>
      <c r="DN187" s="312" t="s">
        <v>4432</v>
      </c>
      <c r="DO187" s="301" t="s">
        <v>4562</v>
      </c>
    </row>
    <row r="188" spans="1:119" ht="15.6" customHeight="1" thickBot="1">
      <c r="A188" s="310">
        <v>183</v>
      </c>
      <c r="B188" s="319"/>
      <c r="C188" s="319"/>
      <c r="D188" s="322"/>
      <c r="E188" s="328"/>
      <c r="F188" s="328"/>
      <c r="G188" s="328"/>
      <c r="H188" s="328"/>
      <c r="I188" s="328"/>
      <c r="J188" s="296" t="s">
        <v>6310</v>
      </c>
      <c r="K188" s="57" t="s">
        <v>4380</v>
      </c>
      <c r="L188" s="313" t="s">
        <v>5786</v>
      </c>
      <c r="M188" s="310" t="s">
        <v>4504</v>
      </c>
      <c r="N188" s="313" t="s">
        <v>4697</v>
      </c>
      <c r="O188" s="14" t="s">
        <v>4503</v>
      </c>
      <c r="P188" s="313" t="s">
        <v>6325</v>
      </c>
      <c r="Q188" s="313" t="s">
        <v>4417</v>
      </c>
      <c r="R188" s="313" t="s">
        <v>4417</v>
      </c>
      <c r="S188" s="313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13" t="s">
        <v>4417</v>
      </c>
      <c r="Y188" s="313" t="s">
        <v>5786</v>
      </c>
      <c r="Z188" s="313" t="s">
        <v>4555</v>
      </c>
      <c r="AA188" s="14">
        <v>10</v>
      </c>
      <c r="AB188" s="225">
        <v>0</v>
      </c>
      <c r="AC188" s="14">
        <v>0</v>
      </c>
      <c r="AD188" s="310" t="s">
        <v>6334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14" t="s">
        <v>6335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5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6"/>
        <v>26.800000000000011</v>
      </c>
      <c r="AV188" s="21">
        <f t="shared" si="58"/>
        <v>26.800000000000011</v>
      </c>
      <c r="AW188" s="314" t="s">
        <v>5801</v>
      </c>
      <c r="AX188" s="312" t="s">
        <v>4495</v>
      </c>
      <c r="AY188" s="312" t="s">
        <v>6121</v>
      </c>
      <c r="AZ188" s="312">
        <v>20</v>
      </c>
      <c r="BA188" s="312">
        <f t="shared" si="60"/>
        <v>245</v>
      </c>
      <c r="BB188" s="21">
        <v>87</v>
      </c>
      <c r="BC188" s="21">
        <f t="shared" si="61"/>
        <v>87</v>
      </c>
      <c r="BD188" s="21">
        <v>90</v>
      </c>
      <c r="BE188" s="21">
        <v>90</v>
      </c>
      <c r="BF188" s="21">
        <f t="shared" ref="BF188" si="69">AT188-BB188-BC188-2*BD188</f>
        <v>106</v>
      </c>
      <c r="BG188" s="15" t="s">
        <v>6325</v>
      </c>
      <c r="BH188" s="312" t="s">
        <v>4462</v>
      </c>
      <c r="BI188" s="312" t="s">
        <v>4462</v>
      </c>
      <c r="BJ188" s="312">
        <v>4</v>
      </c>
      <c r="BK188" s="312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12" t="s">
        <v>6327</v>
      </c>
      <c r="CH188" s="312">
        <v>275</v>
      </c>
      <c r="CI188" s="21">
        <v>327.5</v>
      </c>
      <c r="CJ188" s="312">
        <v>410</v>
      </c>
      <c r="CK188" s="21">
        <v>469.5</v>
      </c>
      <c r="CL188" s="67">
        <v>166000</v>
      </c>
      <c r="CM188" s="314" t="s">
        <v>6327</v>
      </c>
      <c r="CN188" s="312">
        <v>275</v>
      </c>
      <c r="CO188" s="33">
        <f t="shared" si="67"/>
        <v>357.5</v>
      </c>
      <c r="CP188" s="312">
        <v>430</v>
      </c>
      <c r="CQ188" s="32">
        <f t="shared" si="68"/>
        <v>473.00000000000006</v>
      </c>
      <c r="CR188" s="65">
        <v>200000</v>
      </c>
      <c r="CS188" s="314" t="s">
        <v>6327</v>
      </c>
      <c r="CT188" s="58">
        <v>275</v>
      </c>
      <c r="CU188" s="312">
        <v>307</v>
      </c>
      <c r="CV188" s="58">
        <v>410</v>
      </c>
      <c r="CW188" s="312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12">
        <v>8.8000000000000007</v>
      </c>
      <c r="DH188" s="312">
        <v>640</v>
      </c>
      <c r="DI188" s="32">
        <v>730</v>
      </c>
      <c r="DJ188" s="312">
        <v>800</v>
      </c>
      <c r="DK188" s="312">
        <v>882</v>
      </c>
      <c r="DL188" s="59">
        <v>200000</v>
      </c>
      <c r="DM188" s="40" t="s">
        <v>4771</v>
      </c>
      <c r="DN188" s="312" t="s">
        <v>4432</v>
      </c>
      <c r="DO188" s="302" t="s">
        <v>4562</v>
      </c>
    </row>
    <row r="189" spans="1:119" ht="15.6" customHeight="1">
      <c r="A189" s="306">
        <v>184</v>
      </c>
      <c r="B189" s="317">
        <v>27</v>
      </c>
      <c r="C189" s="317">
        <v>1996</v>
      </c>
      <c r="D189" s="317" t="s">
        <v>4671</v>
      </c>
      <c r="E189" s="317" t="s">
        <v>5990</v>
      </c>
      <c r="F189" s="317">
        <v>3</v>
      </c>
      <c r="G189" s="317" t="s">
        <v>5980</v>
      </c>
      <c r="H189" s="317" t="s">
        <v>5914</v>
      </c>
      <c r="I189" s="317" t="s">
        <v>6227</v>
      </c>
      <c r="J189" s="283" t="s">
        <v>5982</v>
      </c>
      <c r="K189" s="306" t="s">
        <v>4531</v>
      </c>
      <c r="L189" s="311" t="s">
        <v>6049</v>
      </c>
      <c r="M189" s="303" t="s">
        <v>4504</v>
      </c>
      <c r="N189" s="306" t="s">
        <v>4696</v>
      </c>
      <c r="O189" s="17" t="s">
        <v>4503</v>
      </c>
      <c r="P189" s="309" t="s">
        <v>4467</v>
      </c>
      <c r="Q189" s="311" t="s">
        <v>4417</v>
      </c>
      <c r="R189" s="311" t="s">
        <v>4417</v>
      </c>
      <c r="S189" s="311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311" t="s">
        <v>4417</v>
      </c>
      <c r="Y189" s="311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6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30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309" t="s">
        <v>5801</v>
      </c>
      <c r="AX189" s="311" t="s">
        <v>5981</v>
      </c>
      <c r="AY189" s="16">
        <v>50</v>
      </c>
      <c r="AZ189" s="311">
        <v>20</v>
      </c>
      <c r="BA189" s="311">
        <f t="shared" si="60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11" t="s">
        <v>6196</v>
      </c>
      <c r="BI189" s="311" t="s">
        <v>6196</v>
      </c>
      <c r="BJ189" s="311">
        <v>2</v>
      </c>
      <c r="BK189" s="17">
        <v>6</v>
      </c>
      <c r="BL189" s="309">
        <v>125</v>
      </c>
      <c r="BM189" s="311">
        <v>1200</v>
      </c>
      <c r="BN189" s="311" t="s">
        <v>6181</v>
      </c>
      <c r="BO189" s="311">
        <v>1</v>
      </c>
      <c r="BP189" s="311">
        <v>180</v>
      </c>
      <c r="BQ189" s="311">
        <v>1678</v>
      </c>
      <c r="BR189" s="311">
        <v>52</v>
      </c>
      <c r="BS189" s="311" t="s">
        <v>4587</v>
      </c>
      <c r="BT189" s="309" t="s">
        <v>5850</v>
      </c>
      <c r="BU189" s="311">
        <v>18</v>
      </c>
      <c r="BV189" s="311">
        <v>2</v>
      </c>
      <c r="BW189" s="311">
        <v>19</v>
      </c>
      <c r="BX189" s="311">
        <v>100</v>
      </c>
      <c r="BY189" s="311">
        <v>100</v>
      </c>
      <c r="BZ189" s="17">
        <v>210</v>
      </c>
      <c r="CA189" s="309" t="s">
        <v>5987</v>
      </c>
      <c r="CB189" s="311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6" t="s">
        <v>5648</v>
      </c>
      <c r="CZ189" s="44">
        <v>43.2</v>
      </c>
      <c r="DA189" s="44">
        <v>3.02</v>
      </c>
      <c r="DB189" s="64">
        <v>35000</v>
      </c>
      <c r="DC189" s="309">
        <v>505</v>
      </c>
      <c r="DD189" s="311">
        <v>654</v>
      </c>
      <c r="DE189" s="64">
        <v>200000</v>
      </c>
      <c r="DF189" s="297">
        <v>550</v>
      </c>
      <c r="DG189" s="311">
        <v>8.8000000000000007</v>
      </c>
      <c r="DH189" s="311">
        <v>640</v>
      </c>
      <c r="DI189" s="30">
        <v>730</v>
      </c>
      <c r="DJ189" s="311">
        <v>800</v>
      </c>
      <c r="DK189" s="30">
        <v>940</v>
      </c>
      <c r="DL189" s="64">
        <v>200000</v>
      </c>
      <c r="DM189" s="28" t="s">
        <v>5985</v>
      </c>
      <c r="DN189" s="311" t="s">
        <v>4557</v>
      </c>
      <c r="DO189" s="301" t="s">
        <v>4562</v>
      </c>
    </row>
    <row r="190" spans="1:119">
      <c r="A190" s="307">
        <v>185</v>
      </c>
      <c r="B190" s="318"/>
      <c r="C190" s="318"/>
      <c r="D190" s="318"/>
      <c r="E190" s="318"/>
      <c r="F190" s="318"/>
      <c r="G190" s="318"/>
      <c r="H190" s="318"/>
      <c r="I190" s="318"/>
      <c r="J190" s="285" t="s">
        <v>5983</v>
      </c>
      <c r="K190" s="307" t="s">
        <v>4531</v>
      </c>
      <c r="L190" s="307" t="s">
        <v>6049</v>
      </c>
      <c r="M190" s="304" t="s">
        <v>4504</v>
      </c>
      <c r="N190" s="307" t="s">
        <v>4696</v>
      </c>
      <c r="O190" s="48" t="s">
        <v>4503</v>
      </c>
      <c r="P190" s="304" t="s">
        <v>4467</v>
      </c>
      <c r="Q190" s="307" t="s">
        <v>4417</v>
      </c>
      <c r="R190" s="307" t="s">
        <v>4417</v>
      </c>
      <c r="S190" s="307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7" t="s">
        <v>4417</v>
      </c>
      <c r="Y190" s="307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12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14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12" t="s">
        <v>5801</v>
      </c>
      <c r="AX190" s="312" t="s">
        <v>5981</v>
      </c>
      <c r="AY190" s="312">
        <v>50</v>
      </c>
      <c r="AZ190" s="312">
        <v>20</v>
      </c>
      <c r="BA190" s="312">
        <f t="shared" si="60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12" t="s">
        <v>6196</v>
      </c>
      <c r="BI190" s="312" t="s">
        <v>6196</v>
      </c>
      <c r="BJ190" s="312">
        <v>2</v>
      </c>
      <c r="BK190" s="18">
        <v>6</v>
      </c>
      <c r="BL190" s="314">
        <v>125</v>
      </c>
      <c r="BM190" s="312">
        <v>1200</v>
      </c>
      <c r="BN190" s="312" t="s">
        <v>6181</v>
      </c>
      <c r="BO190" s="312">
        <v>1</v>
      </c>
      <c r="BP190" s="312">
        <v>180</v>
      </c>
      <c r="BQ190" s="312">
        <v>1678</v>
      </c>
      <c r="BR190" s="312">
        <v>52</v>
      </c>
      <c r="BS190" s="312" t="s">
        <v>4587</v>
      </c>
      <c r="BT190" s="314" t="s">
        <v>5850</v>
      </c>
      <c r="BU190" s="312">
        <v>9</v>
      </c>
      <c r="BV190" s="312">
        <v>1</v>
      </c>
      <c r="BW190" s="312">
        <v>19</v>
      </c>
      <c r="BX190" s="312">
        <v>100</v>
      </c>
      <c r="BY190" s="312">
        <v>100</v>
      </c>
      <c r="BZ190" s="18">
        <v>210</v>
      </c>
      <c r="CA190" s="314" t="s">
        <v>5987</v>
      </c>
      <c r="CB190" s="312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70">(349+366)/2</f>
        <v>357.5</v>
      </c>
      <c r="CJ190" s="58">
        <v>410</v>
      </c>
      <c r="CK190" s="21">
        <f t="shared" ref="CK190:CK191" si="71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72">(351+327)/2</f>
        <v>339</v>
      </c>
      <c r="CP190" s="58">
        <v>410</v>
      </c>
      <c r="CQ190" s="21">
        <f t="shared" ref="CQ190:CQ191" si="73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7" t="s">
        <v>5648</v>
      </c>
      <c r="CZ190" s="45">
        <v>41.41</v>
      </c>
      <c r="DA190" s="45">
        <v>2.84</v>
      </c>
      <c r="DB190" s="65">
        <v>35000</v>
      </c>
      <c r="DC190" s="314">
        <v>505</v>
      </c>
      <c r="DD190" s="312">
        <v>654</v>
      </c>
      <c r="DE190" s="65">
        <v>200000</v>
      </c>
      <c r="DF190" s="298">
        <v>550</v>
      </c>
      <c r="DG190" s="312">
        <v>8.8000000000000007</v>
      </c>
      <c r="DH190" s="312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12" t="s">
        <v>4557</v>
      </c>
      <c r="DO190" s="301" t="s">
        <v>4562</v>
      </c>
    </row>
    <row r="191" spans="1:119" ht="16.2" thickBot="1">
      <c r="A191" s="308">
        <v>186</v>
      </c>
      <c r="B191" s="319"/>
      <c r="C191" s="319"/>
      <c r="D191" s="319"/>
      <c r="E191" s="319"/>
      <c r="F191" s="319"/>
      <c r="G191" s="319"/>
      <c r="H191" s="319"/>
      <c r="I191" s="319"/>
      <c r="J191" s="284" t="s">
        <v>5984</v>
      </c>
      <c r="K191" s="308" t="s">
        <v>4531</v>
      </c>
      <c r="L191" s="308" t="s">
        <v>6049</v>
      </c>
      <c r="M191" s="305" t="s">
        <v>4505</v>
      </c>
      <c r="N191" s="308" t="s">
        <v>4696</v>
      </c>
      <c r="O191" s="49" t="s">
        <v>4503</v>
      </c>
      <c r="P191" s="305" t="s">
        <v>4467</v>
      </c>
      <c r="Q191" s="308" t="s">
        <v>4417</v>
      </c>
      <c r="R191" s="308" t="s">
        <v>4417</v>
      </c>
      <c r="S191" s="308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8" t="s">
        <v>4417</v>
      </c>
      <c r="Y191" s="308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13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1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13" t="s">
        <v>5801</v>
      </c>
      <c r="AX191" s="313" t="s">
        <v>5981</v>
      </c>
      <c r="AY191" s="313">
        <v>50</v>
      </c>
      <c r="AZ191" s="313">
        <v>20</v>
      </c>
      <c r="BA191" s="313">
        <f t="shared" si="60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13" t="s">
        <v>6196</v>
      </c>
      <c r="BI191" s="313" t="s">
        <v>6196</v>
      </c>
      <c r="BJ191" s="313">
        <v>2</v>
      </c>
      <c r="BK191" s="14">
        <v>6</v>
      </c>
      <c r="BL191" s="310">
        <v>125</v>
      </c>
      <c r="BM191" s="313">
        <v>1200</v>
      </c>
      <c r="BN191" s="313" t="s">
        <v>6181</v>
      </c>
      <c r="BO191" s="313">
        <v>1</v>
      </c>
      <c r="BP191" s="313">
        <v>180</v>
      </c>
      <c r="BQ191" s="313">
        <v>1678</v>
      </c>
      <c r="BR191" s="313">
        <v>52</v>
      </c>
      <c r="BS191" s="313" t="s">
        <v>4587</v>
      </c>
      <c r="BT191" s="310" t="s">
        <v>5850</v>
      </c>
      <c r="BU191" s="313">
        <v>9</v>
      </c>
      <c r="BV191" s="313">
        <v>1</v>
      </c>
      <c r="BW191" s="313">
        <v>19</v>
      </c>
      <c r="BX191" s="313">
        <v>100</v>
      </c>
      <c r="BY191" s="313">
        <v>100</v>
      </c>
      <c r="BZ191" s="14">
        <v>210</v>
      </c>
      <c r="CA191" s="310" t="s">
        <v>5987</v>
      </c>
      <c r="CB191" s="313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70"/>
        <v>357.5</v>
      </c>
      <c r="CJ191" s="85">
        <v>410</v>
      </c>
      <c r="CK191" s="23">
        <f t="shared" si="71"/>
        <v>507</v>
      </c>
      <c r="CL191" s="68">
        <v>200000</v>
      </c>
      <c r="CM191" s="129" t="s">
        <v>5787</v>
      </c>
      <c r="CN191" s="85">
        <v>275</v>
      </c>
      <c r="CO191" s="23">
        <f t="shared" si="72"/>
        <v>339</v>
      </c>
      <c r="CP191" s="85">
        <v>410</v>
      </c>
      <c r="CQ191" s="23">
        <f t="shared" si="73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8" t="s">
        <v>5648</v>
      </c>
      <c r="CZ191" s="55">
        <v>42.64</v>
      </c>
      <c r="DA191" s="55">
        <v>3.19</v>
      </c>
      <c r="DB191" s="68">
        <v>35000</v>
      </c>
      <c r="DC191" s="310">
        <v>505</v>
      </c>
      <c r="DD191" s="313">
        <v>654</v>
      </c>
      <c r="DE191" s="68">
        <v>200000</v>
      </c>
      <c r="DF191" s="299">
        <v>550</v>
      </c>
      <c r="DG191" s="313">
        <v>8.8000000000000007</v>
      </c>
      <c r="DH191" s="313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310" t="s">
        <v>4557</v>
      </c>
      <c r="DO191" s="302" t="s">
        <v>4562</v>
      </c>
    </row>
    <row r="192" spans="1:119">
      <c r="A192" s="309">
        <v>187</v>
      </c>
      <c r="B192" s="317">
        <v>28</v>
      </c>
      <c r="C192" s="317">
        <v>1999</v>
      </c>
      <c r="D192" s="320" t="s">
        <v>5625</v>
      </c>
      <c r="E192" s="323" t="s">
        <v>5632</v>
      </c>
      <c r="F192" s="317">
        <v>12</v>
      </c>
      <c r="G192" s="326" t="s">
        <v>5899</v>
      </c>
      <c r="H192" s="326" t="s">
        <v>5898</v>
      </c>
      <c r="I192" s="326" t="s">
        <v>6228</v>
      </c>
      <c r="J192" s="283" t="s">
        <v>4508</v>
      </c>
      <c r="K192" s="309" t="s">
        <v>4531</v>
      </c>
      <c r="L192" s="311" t="s">
        <v>6049</v>
      </c>
      <c r="M192" s="309" t="s">
        <v>4505</v>
      </c>
      <c r="N192" s="311" t="s">
        <v>4699</v>
      </c>
      <c r="O192" s="17" t="s">
        <v>4503</v>
      </c>
      <c r="P192" s="311" t="s">
        <v>6325</v>
      </c>
      <c r="Q192" s="311" t="s">
        <v>4417</v>
      </c>
      <c r="R192" s="311" t="s">
        <v>6325</v>
      </c>
      <c r="S192" s="311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311" t="s">
        <v>4417</v>
      </c>
      <c r="Y192" s="311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314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30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4">AL192*AK192^3/12-(AL192-AN192)*(AK192-2*AM192)^3/12</f>
        <v>233861360.77096665</v>
      </c>
      <c r="AQ192" s="26">
        <f t="shared" ref="AQ192:AQ210" si="75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309" t="s">
        <v>5801</v>
      </c>
      <c r="AX192" s="311" t="s">
        <v>5631</v>
      </c>
      <c r="AY192" s="16">
        <f t="shared" ref="AY192:AY203" si="76">0.7*DH192*BA192/1000</f>
        <v>107.968</v>
      </c>
      <c r="AZ192" s="16">
        <v>19.100000000000001</v>
      </c>
      <c r="BA192" s="311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6325</v>
      </c>
      <c r="BH192" s="311" t="s">
        <v>4462</v>
      </c>
      <c r="BI192" s="311" t="s">
        <v>4462</v>
      </c>
      <c r="BJ192" s="311">
        <v>4</v>
      </c>
      <c r="BK192" s="311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311" t="s">
        <v>4419</v>
      </c>
      <c r="DH192" s="311">
        <v>640</v>
      </c>
      <c r="DI192" s="30">
        <v>730</v>
      </c>
      <c r="DJ192" s="311">
        <v>800</v>
      </c>
      <c r="DK192" s="30">
        <v>940</v>
      </c>
      <c r="DL192" s="64">
        <v>200000</v>
      </c>
      <c r="DM192" s="28" t="s">
        <v>5833</v>
      </c>
      <c r="DN192" s="311" t="s">
        <v>4432</v>
      </c>
      <c r="DO192" s="300" t="s">
        <v>4562</v>
      </c>
    </row>
    <row r="193" spans="1:119">
      <c r="A193" s="314">
        <v>188</v>
      </c>
      <c r="B193" s="318"/>
      <c r="C193" s="318"/>
      <c r="D193" s="321"/>
      <c r="E193" s="324"/>
      <c r="F193" s="318"/>
      <c r="G193" s="327"/>
      <c r="H193" s="327"/>
      <c r="I193" s="327"/>
      <c r="J193" s="285" t="s">
        <v>4394</v>
      </c>
      <c r="K193" s="314" t="s">
        <v>4531</v>
      </c>
      <c r="L193" s="312" t="s">
        <v>6049</v>
      </c>
      <c r="M193" s="314" t="s">
        <v>4505</v>
      </c>
      <c r="N193" s="312" t="s">
        <v>4699</v>
      </c>
      <c r="O193" s="18" t="s">
        <v>4503</v>
      </c>
      <c r="P193" s="312" t="s">
        <v>6325</v>
      </c>
      <c r="Q193" s="312" t="s">
        <v>4417</v>
      </c>
      <c r="R193" s="312" t="s">
        <v>6325</v>
      </c>
      <c r="S193" s="312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12" t="s">
        <v>4417</v>
      </c>
      <c r="Y193" s="312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314" t="s">
        <v>5626</v>
      </c>
      <c r="AE193" s="21">
        <f t="shared" ref="AE193:AE203" si="77">12*25.4</f>
        <v>304.79999999999995</v>
      </c>
      <c r="AF193" s="21">
        <f t="shared" ref="AF193:AF203" si="78">8*25.4</f>
        <v>203.2</v>
      </c>
      <c r="AG193" s="21">
        <v>25.4</v>
      </c>
      <c r="AH193" s="21">
        <f t="shared" ref="AH193:AH203" si="79">3/8*25.4</f>
        <v>9.5249999999999986</v>
      </c>
      <c r="AI193" s="21">
        <f t="shared" ref="AI193:AI203" si="80">60*25.4</f>
        <v>1524</v>
      </c>
      <c r="AJ193" s="314" t="s">
        <v>5627</v>
      </c>
      <c r="AK193" s="21">
        <f t="shared" ref="AK193:AK194" si="81">18*25.4</f>
        <v>457.2</v>
      </c>
      <c r="AL193" s="21">
        <f t="shared" ref="AL193:AL194" si="82">6*25.4</f>
        <v>152.39999999999998</v>
      </c>
      <c r="AM193" s="21">
        <f t="shared" ref="AM193:AM194" si="83">0.5*25.4</f>
        <v>12.7</v>
      </c>
      <c r="AN193" s="21">
        <f t="shared" ref="AN193:AN194" si="84">0.25*25.4</f>
        <v>6.35</v>
      </c>
      <c r="AO193" s="21">
        <f t="shared" ref="AO193:AO203" si="85">69.5*25.4</f>
        <v>1765.3</v>
      </c>
      <c r="AP193" s="21">
        <f t="shared" si="74"/>
        <v>233861360.77096665</v>
      </c>
      <c r="AQ193" s="24">
        <f t="shared" si="75"/>
        <v>1156312.2034999989</v>
      </c>
      <c r="AR193" s="21">
        <f>0.5*25.4</f>
        <v>12.7</v>
      </c>
      <c r="AS193" s="21">
        <f t="shared" ref="AS193:AS194" si="86">6*25.4</f>
        <v>152.39999999999998</v>
      </c>
      <c r="AT193" s="21">
        <f t="shared" ref="AT193:AT197" si="87">18*25.4</f>
        <v>457.2</v>
      </c>
      <c r="AU193" s="21">
        <v>0</v>
      </c>
      <c r="AV193" s="21">
        <v>0</v>
      </c>
      <c r="AW193" s="314" t="s">
        <v>5801</v>
      </c>
      <c r="AX193" s="312" t="s">
        <v>5631</v>
      </c>
      <c r="AY193" s="21">
        <f t="shared" si="76"/>
        <v>107.968</v>
      </c>
      <c r="AZ193" s="21">
        <v>19.100000000000001</v>
      </c>
      <c r="BA193" s="312">
        <v>241</v>
      </c>
      <c r="BB193" s="21">
        <f t="shared" ref="BB193:BC194" si="88">(1+5/8)*25.4</f>
        <v>41.274999999999999</v>
      </c>
      <c r="BC193" s="21">
        <f t="shared" si="88"/>
        <v>41.274999999999999</v>
      </c>
      <c r="BD193" s="21">
        <f t="shared" ref="BD193:BE194" si="89">3*25.4</f>
        <v>76.199999999999989</v>
      </c>
      <c r="BE193" s="21">
        <f t="shared" si="89"/>
        <v>76.199999999999989</v>
      </c>
      <c r="BF193" s="21">
        <f t="shared" ref="BF193:BF203" si="90">AT193-BB193-BC193-2*BD193</f>
        <v>222.25000000000006</v>
      </c>
      <c r="BG193" s="15" t="s">
        <v>6325</v>
      </c>
      <c r="BH193" s="312" t="s">
        <v>4462</v>
      </c>
      <c r="BI193" s="312" t="s">
        <v>4462</v>
      </c>
      <c r="BJ193" s="312">
        <v>4</v>
      </c>
      <c r="BK193" s="312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91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92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93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12" t="s">
        <v>4419</v>
      </c>
      <c r="DH193" s="312">
        <v>640</v>
      </c>
      <c r="DI193" s="32">
        <v>730</v>
      </c>
      <c r="DJ193" s="312">
        <v>800</v>
      </c>
      <c r="DK193" s="32">
        <v>940</v>
      </c>
      <c r="DL193" s="65">
        <v>200000</v>
      </c>
      <c r="DM193" s="29" t="s">
        <v>5832</v>
      </c>
      <c r="DN193" s="312" t="s">
        <v>4432</v>
      </c>
      <c r="DO193" s="301" t="s">
        <v>4562</v>
      </c>
    </row>
    <row r="194" spans="1:119">
      <c r="A194" s="314">
        <v>189</v>
      </c>
      <c r="B194" s="318"/>
      <c r="C194" s="318"/>
      <c r="D194" s="321"/>
      <c r="E194" s="324"/>
      <c r="F194" s="318"/>
      <c r="G194" s="327"/>
      <c r="H194" s="327"/>
      <c r="I194" s="327"/>
      <c r="J194" s="285" t="s">
        <v>4395</v>
      </c>
      <c r="K194" s="314" t="s">
        <v>4531</v>
      </c>
      <c r="L194" s="312" t="s">
        <v>6049</v>
      </c>
      <c r="M194" s="314" t="s">
        <v>4505</v>
      </c>
      <c r="N194" s="312" t="s">
        <v>4699</v>
      </c>
      <c r="O194" s="18" t="s">
        <v>4503</v>
      </c>
      <c r="P194" s="312" t="s">
        <v>6325</v>
      </c>
      <c r="Q194" s="312" t="s">
        <v>4417</v>
      </c>
      <c r="R194" s="312" t="s">
        <v>6325</v>
      </c>
      <c r="S194" s="312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12" t="s">
        <v>4417</v>
      </c>
      <c r="Y194" s="312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314" t="s">
        <v>5626</v>
      </c>
      <c r="AE194" s="21">
        <f t="shared" si="77"/>
        <v>304.79999999999995</v>
      </c>
      <c r="AF194" s="21">
        <f t="shared" si="78"/>
        <v>203.2</v>
      </c>
      <c r="AG194" s="21">
        <v>25.4</v>
      </c>
      <c r="AH194" s="21">
        <f t="shared" si="79"/>
        <v>9.5249999999999986</v>
      </c>
      <c r="AI194" s="21">
        <f t="shared" si="80"/>
        <v>1524</v>
      </c>
      <c r="AJ194" s="314" t="s">
        <v>5627</v>
      </c>
      <c r="AK194" s="21">
        <f t="shared" si="81"/>
        <v>457.2</v>
      </c>
      <c r="AL194" s="21">
        <f t="shared" si="82"/>
        <v>152.39999999999998</v>
      </c>
      <c r="AM194" s="21">
        <f t="shared" si="83"/>
        <v>12.7</v>
      </c>
      <c r="AN194" s="21">
        <f t="shared" si="84"/>
        <v>6.35</v>
      </c>
      <c r="AO194" s="21">
        <f t="shared" si="85"/>
        <v>1765.3</v>
      </c>
      <c r="AP194" s="21">
        <f t="shared" si="74"/>
        <v>233861360.77096665</v>
      </c>
      <c r="AQ194" s="24">
        <f t="shared" si="75"/>
        <v>1156312.2034999989</v>
      </c>
      <c r="AR194" s="21">
        <f>5/8*25.4</f>
        <v>15.875</v>
      </c>
      <c r="AS194" s="21">
        <f t="shared" si="86"/>
        <v>152.39999999999998</v>
      </c>
      <c r="AT194" s="21">
        <f t="shared" si="87"/>
        <v>457.2</v>
      </c>
      <c r="AU194" s="21">
        <v>0</v>
      </c>
      <c r="AV194" s="21">
        <v>0</v>
      </c>
      <c r="AW194" s="314" t="s">
        <v>5801</v>
      </c>
      <c r="AX194" s="312" t="s">
        <v>5631</v>
      </c>
      <c r="AY194" s="21">
        <f t="shared" si="76"/>
        <v>107.968</v>
      </c>
      <c r="AZ194" s="21">
        <v>19.100000000000001</v>
      </c>
      <c r="BA194" s="312">
        <v>241</v>
      </c>
      <c r="BB194" s="21">
        <f t="shared" si="88"/>
        <v>41.274999999999999</v>
      </c>
      <c r="BC194" s="21">
        <f t="shared" si="88"/>
        <v>41.274999999999999</v>
      </c>
      <c r="BD194" s="21">
        <f t="shared" si="89"/>
        <v>76.199999999999989</v>
      </c>
      <c r="BE194" s="21">
        <f t="shared" si="89"/>
        <v>76.199999999999989</v>
      </c>
      <c r="BF194" s="21">
        <f t="shared" si="90"/>
        <v>222.25000000000006</v>
      </c>
      <c r="BG194" s="15" t="s">
        <v>6325</v>
      </c>
      <c r="BH194" s="312" t="s">
        <v>4462</v>
      </c>
      <c r="BI194" s="312" t="s">
        <v>4462</v>
      </c>
      <c r="BJ194" s="312">
        <v>4</v>
      </c>
      <c r="BK194" s="312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91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92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93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12" t="s">
        <v>4419</v>
      </c>
      <c r="DH194" s="312">
        <v>640</v>
      </c>
      <c r="DI194" s="32">
        <v>730</v>
      </c>
      <c r="DJ194" s="312">
        <v>800</v>
      </c>
      <c r="DK194" s="32">
        <v>940</v>
      </c>
      <c r="DL194" s="65">
        <v>200000</v>
      </c>
      <c r="DM194" s="29" t="s">
        <v>5832</v>
      </c>
      <c r="DN194" s="312" t="s">
        <v>4432</v>
      </c>
      <c r="DO194" s="301" t="s">
        <v>4562</v>
      </c>
    </row>
    <row r="195" spans="1:119">
      <c r="A195" s="314">
        <v>190</v>
      </c>
      <c r="B195" s="318"/>
      <c r="C195" s="318"/>
      <c r="D195" s="321"/>
      <c r="E195" s="324"/>
      <c r="F195" s="318"/>
      <c r="G195" s="327"/>
      <c r="H195" s="327"/>
      <c r="I195" s="327"/>
      <c r="J195" s="285" t="s">
        <v>4396</v>
      </c>
      <c r="K195" s="314" t="s">
        <v>4531</v>
      </c>
      <c r="L195" s="312" t="s">
        <v>6049</v>
      </c>
      <c r="M195" s="314" t="s">
        <v>4505</v>
      </c>
      <c r="N195" s="312" t="s">
        <v>4699</v>
      </c>
      <c r="O195" s="18" t="s">
        <v>4503</v>
      </c>
      <c r="P195" s="312" t="s">
        <v>6325</v>
      </c>
      <c r="Q195" s="312" t="s">
        <v>4417</v>
      </c>
      <c r="R195" s="312" t="s">
        <v>4417</v>
      </c>
      <c r="S195" s="312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12" t="s">
        <v>4417</v>
      </c>
      <c r="Y195" s="312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314" t="s">
        <v>5626</v>
      </c>
      <c r="AE195" s="21">
        <f t="shared" si="77"/>
        <v>304.79999999999995</v>
      </c>
      <c r="AF195" s="21">
        <f t="shared" si="78"/>
        <v>203.2</v>
      </c>
      <c r="AG195" s="21">
        <v>25.4</v>
      </c>
      <c r="AH195" s="21">
        <f t="shared" si="79"/>
        <v>9.5249999999999986</v>
      </c>
      <c r="AI195" s="21">
        <f t="shared" si="80"/>
        <v>1524</v>
      </c>
      <c r="AJ195" s="314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5"/>
        <v>1765.3</v>
      </c>
      <c r="AP195" s="21">
        <f t="shared" si="74"/>
        <v>297614140.79203296</v>
      </c>
      <c r="AQ195" s="24">
        <f t="shared" si="75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7"/>
        <v>457.2</v>
      </c>
      <c r="AU195" s="21">
        <v>0</v>
      </c>
      <c r="AV195" s="21">
        <v>0</v>
      </c>
      <c r="AW195" s="314" t="s">
        <v>5801</v>
      </c>
      <c r="AX195" s="312" t="s">
        <v>5631</v>
      </c>
      <c r="AY195" s="21">
        <f t="shared" si="76"/>
        <v>191.744</v>
      </c>
      <c r="AZ195" s="21">
        <v>25.4</v>
      </c>
      <c r="BA195" s="312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90"/>
        <v>184.15</v>
      </c>
      <c r="BG195" s="15" t="s">
        <v>6325</v>
      </c>
      <c r="BH195" s="312" t="s">
        <v>4462</v>
      </c>
      <c r="BI195" s="312" t="s">
        <v>4462</v>
      </c>
      <c r="BJ195" s="312">
        <v>4</v>
      </c>
      <c r="BK195" s="312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91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92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93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12" t="s">
        <v>4419</v>
      </c>
      <c r="DH195" s="312">
        <v>640</v>
      </c>
      <c r="DI195" s="32">
        <v>730</v>
      </c>
      <c r="DJ195" s="312">
        <v>800</v>
      </c>
      <c r="DK195" s="32">
        <v>940</v>
      </c>
      <c r="DL195" s="65">
        <v>200000</v>
      </c>
      <c r="DM195" s="29" t="s">
        <v>5833</v>
      </c>
      <c r="DN195" s="312" t="s">
        <v>4432</v>
      </c>
      <c r="DO195" s="301" t="s">
        <v>4562</v>
      </c>
    </row>
    <row r="196" spans="1:119">
      <c r="A196" s="314">
        <v>191</v>
      </c>
      <c r="B196" s="318"/>
      <c r="C196" s="318"/>
      <c r="D196" s="321"/>
      <c r="E196" s="324"/>
      <c r="F196" s="318"/>
      <c r="G196" s="327"/>
      <c r="H196" s="327"/>
      <c r="I196" s="327"/>
      <c r="J196" s="285" t="s">
        <v>4397</v>
      </c>
      <c r="K196" s="314" t="s">
        <v>4531</v>
      </c>
      <c r="L196" s="312" t="s">
        <v>6049</v>
      </c>
      <c r="M196" s="314" t="s">
        <v>4505</v>
      </c>
      <c r="N196" s="312" t="s">
        <v>4699</v>
      </c>
      <c r="O196" s="18" t="s">
        <v>4503</v>
      </c>
      <c r="P196" s="312" t="s">
        <v>6325</v>
      </c>
      <c r="Q196" s="312" t="s">
        <v>4417</v>
      </c>
      <c r="R196" s="312" t="s">
        <v>4417</v>
      </c>
      <c r="S196" s="312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12" t="s">
        <v>4417</v>
      </c>
      <c r="Y196" s="312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314" t="s">
        <v>5626</v>
      </c>
      <c r="AE196" s="21">
        <f t="shared" si="77"/>
        <v>304.79999999999995</v>
      </c>
      <c r="AF196" s="21">
        <f t="shared" si="78"/>
        <v>203.2</v>
      </c>
      <c r="AG196" s="21">
        <v>25.4</v>
      </c>
      <c r="AH196" s="21">
        <f t="shared" si="79"/>
        <v>9.5249999999999986</v>
      </c>
      <c r="AI196" s="21">
        <f t="shared" si="80"/>
        <v>1524</v>
      </c>
      <c r="AJ196" s="314" t="s">
        <v>5628</v>
      </c>
      <c r="AK196" s="21">
        <f t="shared" ref="AK196:AK197" si="94">18*25.4</f>
        <v>457.2</v>
      </c>
      <c r="AL196" s="21">
        <f t="shared" ref="AL196:AL197" si="95">8*25.4</f>
        <v>203.2</v>
      </c>
      <c r="AM196" s="21">
        <f t="shared" ref="AM196:AM203" si="96">0.5*25.4</f>
        <v>12.7</v>
      </c>
      <c r="AN196" s="21">
        <f t="shared" ref="AN196:AN203" si="97">0.25*25.4</f>
        <v>6.35</v>
      </c>
      <c r="AO196" s="21">
        <f t="shared" si="85"/>
        <v>1765.3</v>
      </c>
      <c r="AP196" s="21">
        <f t="shared" si="74"/>
        <v>297614140.79203296</v>
      </c>
      <c r="AQ196" s="24">
        <f t="shared" si="75"/>
        <v>1443085.8234999981</v>
      </c>
      <c r="AR196" s="21">
        <f>0.5*25.4</f>
        <v>12.7</v>
      </c>
      <c r="AS196" s="21">
        <f t="shared" ref="AS196:AS197" si="98">8*25.4</f>
        <v>203.2</v>
      </c>
      <c r="AT196" s="21">
        <f t="shared" si="87"/>
        <v>457.2</v>
      </c>
      <c r="AU196" s="21">
        <v>0</v>
      </c>
      <c r="AV196" s="21">
        <v>0</v>
      </c>
      <c r="AW196" s="314" t="s">
        <v>5801</v>
      </c>
      <c r="AX196" s="312" t="s">
        <v>5631</v>
      </c>
      <c r="AY196" s="21">
        <f t="shared" si="76"/>
        <v>191.744</v>
      </c>
      <c r="AZ196" s="21">
        <v>25.4</v>
      </c>
      <c r="BA196" s="312">
        <v>428</v>
      </c>
      <c r="BB196" s="21">
        <f t="shared" ref="BB196:BC197" si="99">(1+7/8)*25.4</f>
        <v>47.625</v>
      </c>
      <c r="BC196" s="21">
        <f t="shared" si="99"/>
        <v>47.625</v>
      </c>
      <c r="BD196" s="21">
        <f t="shared" ref="BD196:BE197" si="100">3.5*25.4</f>
        <v>88.899999999999991</v>
      </c>
      <c r="BE196" s="21">
        <f t="shared" si="100"/>
        <v>88.899999999999991</v>
      </c>
      <c r="BF196" s="21">
        <f t="shared" si="90"/>
        <v>184.15</v>
      </c>
      <c r="BG196" s="15" t="s">
        <v>6325</v>
      </c>
      <c r="BH196" s="312" t="s">
        <v>4462</v>
      </c>
      <c r="BI196" s="312" t="s">
        <v>4462</v>
      </c>
      <c r="BJ196" s="312">
        <v>4</v>
      </c>
      <c r="BK196" s="312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91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92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93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12" t="s">
        <v>4419</v>
      </c>
      <c r="DH196" s="312">
        <v>640</v>
      </c>
      <c r="DI196" s="32">
        <v>730</v>
      </c>
      <c r="DJ196" s="312">
        <v>800</v>
      </c>
      <c r="DK196" s="32">
        <v>940</v>
      </c>
      <c r="DL196" s="65">
        <v>200000</v>
      </c>
      <c r="DM196" s="29" t="s">
        <v>5832</v>
      </c>
      <c r="DN196" s="312" t="s">
        <v>4432</v>
      </c>
      <c r="DO196" s="301" t="s">
        <v>4562</v>
      </c>
    </row>
    <row r="197" spans="1:119">
      <c r="A197" s="314">
        <v>192</v>
      </c>
      <c r="B197" s="318"/>
      <c r="C197" s="318"/>
      <c r="D197" s="321"/>
      <c r="E197" s="324"/>
      <c r="F197" s="318"/>
      <c r="G197" s="327"/>
      <c r="H197" s="327"/>
      <c r="I197" s="327"/>
      <c r="J197" s="285" t="s">
        <v>4398</v>
      </c>
      <c r="K197" s="314" t="s">
        <v>4531</v>
      </c>
      <c r="L197" s="312" t="s">
        <v>6049</v>
      </c>
      <c r="M197" s="314" t="s">
        <v>4505</v>
      </c>
      <c r="N197" s="312" t="s">
        <v>4699</v>
      </c>
      <c r="O197" s="18" t="s">
        <v>4503</v>
      </c>
      <c r="P197" s="312" t="s">
        <v>6325</v>
      </c>
      <c r="Q197" s="312" t="s">
        <v>4417</v>
      </c>
      <c r="R197" s="312" t="s">
        <v>4417</v>
      </c>
      <c r="S197" s="312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12" t="s">
        <v>4417</v>
      </c>
      <c r="Y197" s="312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314" t="s">
        <v>5626</v>
      </c>
      <c r="AE197" s="21">
        <f t="shared" si="77"/>
        <v>304.79999999999995</v>
      </c>
      <c r="AF197" s="21">
        <f t="shared" si="78"/>
        <v>203.2</v>
      </c>
      <c r="AG197" s="21">
        <v>25.4</v>
      </c>
      <c r="AH197" s="21">
        <f t="shared" si="79"/>
        <v>9.5249999999999986</v>
      </c>
      <c r="AI197" s="21">
        <f t="shared" si="80"/>
        <v>1524</v>
      </c>
      <c r="AJ197" s="314" t="s">
        <v>5628</v>
      </c>
      <c r="AK197" s="21">
        <f t="shared" si="94"/>
        <v>457.2</v>
      </c>
      <c r="AL197" s="21">
        <f t="shared" si="95"/>
        <v>203.2</v>
      </c>
      <c r="AM197" s="21">
        <f t="shared" si="96"/>
        <v>12.7</v>
      </c>
      <c r="AN197" s="21">
        <f t="shared" si="97"/>
        <v>6.35</v>
      </c>
      <c r="AO197" s="21">
        <f t="shared" si="85"/>
        <v>1765.3</v>
      </c>
      <c r="AP197" s="21">
        <f t="shared" si="74"/>
        <v>297614140.79203296</v>
      </c>
      <c r="AQ197" s="24">
        <f t="shared" si="75"/>
        <v>1443085.8234999981</v>
      </c>
      <c r="AR197" s="21">
        <f>3/4*25.4</f>
        <v>19.049999999999997</v>
      </c>
      <c r="AS197" s="21">
        <f t="shared" si="98"/>
        <v>203.2</v>
      </c>
      <c r="AT197" s="21">
        <f t="shared" si="87"/>
        <v>457.2</v>
      </c>
      <c r="AU197" s="21">
        <v>0</v>
      </c>
      <c r="AV197" s="21">
        <v>0</v>
      </c>
      <c r="AW197" s="314" t="s">
        <v>5801</v>
      </c>
      <c r="AX197" s="312" t="s">
        <v>5631</v>
      </c>
      <c r="AY197" s="21">
        <f t="shared" si="76"/>
        <v>191.744</v>
      </c>
      <c r="AZ197" s="21">
        <v>25.4</v>
      </c>
      <c r="BA197" s="312">
        <v>428</v>
      </c>
      <c r="BB197" s="21">
        <f t="shared" si="99"/>
        <v>47.625</v>
      </c>
      <c r="BC197" s="21">
        <f t="shared" si="99"/>
        <v>47.625</v>
      </c>
      <c r="BD197" s="21">
        <f t="shared" si="100"/>
        <v>88.899999999999991</v>
      </c>
      <c r="BE197" s="21">
        <f t="shared" si="100"/>
        <v>88.899999999999991</v>
      </c>
      <c r="BF197" s="21">
        <f t="shared" si="90"/>
        <v>184.15</v>
      </c>
      <c r="BG197" s="15" t="s">
        <v>6325</v>
      </c>
      <c r="BH197" s="312" t="s">
        <v>4462</v>
      </c>
      <c r="BI197" s="312" t="s">
        <v>4462</v>
      </c>
      <c r="BJ197" s="312">
        <v>4</v>
      </c>
      <c r="BK197" s="312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91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92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101">CT197*1.1</f>
        <v>379.50000000000006</v>
      </c>
      <c r="CV197" s="58">
        <v>450</v>
      </c>
      <c r="CW197" s="32">
        <f t="shared" si="93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12" t="s">
        <v>4419</v>
      </c>
      <c r="DH197" s="312">
        <v>640</v>
      </c>
      <c r="DI197" s="32">
        <v>730</v>
      </c>
      <c r="DJ197" s="312">
        <v>800</v>
      </c>
      <c r="DK197" s="32">
        <v>940</v>
      </c>
      <c r="DL197" s="65">
        <v>200000</v>
      </c>
      <c r="DM197" s="29" t="s">
        <v>5832</v>
      </c>
      <c r="DN197" s="312" t="s">
        <v>4432</v>
      </c>
      <c r="DO197" s="301" t="s">
        <v>4562</v>
      </c>
    </row>
    <row r="198" spans="1:119">
      <c r="A198" s="314">
        <v>193</v>
      </c>
      <c r="B198" s="318"/>
      <c r="C198" s="318"/>
      <c r="D198" s="321"/>
      <c r="E198" s="324"/>
      <c r="F198" s="318"/>
      <c r="G198" s="327"/>
      <c r="H198" s="327"/>
      <c r="I198" s="327"/>
      <c r="J198" s="285" t="s">
        <v>4399</v>
      </c>
      <c r="K198" s="314" t="s">
        <v>4531</v>
      </c>
      <c r="L198" s="312" t="s">
        <v>6049</v>
      </c>
      <c r="M198" s="314" t="s">
        <v>4505</v>
      </c>
      <c r="N198" s="312" t="s">
        <v>4699</v>
      </c>
      <c r="O198" s="18" t="s">
        <v>4503</v>
      </c>
      <c r="P198" s="312" t="s">
        <v>6325</v>
      </c>
      <c r="Q198" s="312" t="s">
        <v>4417</v>
      </c>
      <c r="R198" s="312" t="s">
        <v>4417</v>
      </c>
      <c r="S198" s="312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12" t="s">
        <v>4417</v>
      </c>
      <c r="Y198" s="312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314" t="s">
        <v>5626</v>
      </c>
      <c r="AE198" s="21">
        <f t="shared" si="77"/>
        <v>304.79999999999995</v>
      </c>
      <c r="AF198" s="21">
        <f t="shared" si="78"/>
        <v>203.2</v>
      </c>
      <c r="AG198" s="21">
        <v>25.4</v>
      </c>
      <c r="AH198" s="21">
        <f t="shared" si="79"/>
        <v>9.5249999999999986</v>
      </c>
      <c r="AI198" s="21">
        <f t="shared" si="80"/>
        <v>1524</v>
      </c>
      <c r="AJ198" s="314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6"/>
        <v>12.7</v>
      </c>
      <c r="AN198" s="21">
        <f t="shared" si="97"/>
        <v>6.35</v>
      </c>
      <c r="AO198" s="21">
        <f t="shared" si="85"/>
        <v>1765.3</v>
      </c>
      <c r="AP198" s="21">
        <f t="shared" si="74"/>
        <v>368963144.33029962</v>
      </c>
      <c r="AQ198" s="24">
        <f t="shared" si="75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14" t="s">
        <v>5801</v>
      </c>
      <c r="AX198" s="312" t="s">
        <v>5631</v>
      </c>
      <c r="AY198" s="21">
        <f t="shared" si="76"/>
        <v>107.968</v>
      </c>
      <c r="AZ198" s="21">
        <v>19.100000000000001</v>
      </c>
      <c r="BA198" s="312">
        <v>241</v>
      </c>
      <c r="BB198" s="21">
        <f t="shared" ref="BB198:BC200" si="102">(1+5/8)*25.4</f>
        <v>41.274999999999999</v>
      </c>
      <c r="BC198" s="21">
        <f t="shared" si="102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90"/>
        <v>323.85000000000002</v>
      </c>
      <c r="BG198" s="15" t="s">
        <v>6325</v>
      </c>
      <c r="BH198" s="312" t="s">
        <v>4462</v>
      </c>
      <c r="BI198" s="312" t="s">
        <v>4462</v>
      </c>
      <c r="BJ198" s="312">
        <v>4</v>
      </c>
      <c r="BK198" s="312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91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92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93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12" t="s">
        <v>4419</v>
      </c>
      <c r="DH198" s="312">
        <v>640</v>
      </c>
      <c r="DI198" s="32">
        <v>730</v>
      </c>
      <c r="DJ198" s="312">
        <v>800</v>
      </c>
      <c r="DK198" s="32">
        <v>940</v>
      </c>
      <c r="DL198" s="65">
        <v>200000</v>
      </c>
      <c r="DM198" s="29" t="s">
        <v>5833</v>
      </c>
      <c r="DN198" s="312" t="s">
        <v>4432</v>
      </c>
      <c r="DO198" s="301" t="s">
        <v>4562</v>
      </c>
    </row>
    <row r="199" spans="1:119">
      <c r="A199" s="314">
        <v>194</v>
      </c>
      <c r="B199" s="318"/>
      <c r="C199" s="318"/>
      <c r="D199" s="321"/>
      <c r="E199" s="324"/>
      <c r="F199" s="318"/>
      <c r="G199" s="327"/>
      <c r="H199" s="327"/>
      <c r="I199" s="327"/>
      <c r="J199" s="285" t="s">
        <v>4400</v>
      </c>
      <c r="K199" s="314" t="s">
        <v>4531</v>
      </c>
      <c r="L199" s="312" t="s">
        <v>6049</v>
      </c>
      <c r="M199" s="314" t="s">
        <v>4505</v>
      </c>
      <c r="N199" s="312" t="s">
        <v>4699</v>
      </c>
      <c r="O199" s="18" t="s">
        <v>4503</v>
      </c>
      <c r="P199" s="312" t="s">
        <v>6325</v>
      </c>
      <c r="Q199" s="312" t="s">
        <v>4417</v>
      </c>
      <c r="R199" s="312" t="s">
        <v>4417</v>
      </c>
      <c r="S199" s="312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12" t="s">
        <v>4417</v>
      </c>
      <c r="Y199" s="312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314" t="s">
        <v>5626</v>
      </c>
      <c r="AE199" s="21">
        <f t="shared" si="77"/>
        <v>304.79999999999995</v>
      </c>
      <c r="AF199" s="21">
        <f t="shared" si="78"/>
        <v>203.2</v>
      </c>
      <c r="AG199" s="21">
        <v>25.4</v>
      </c>
      <c r="AH199" s="21">
        <f t="shared" si="79"/>
        <v>9.5249999999999986</v>
      </c>
      <c r="AI199" s="21">
        <f t="shared" si="80"/>
        <v>1524</v>
      </c>
      <c r="AJ199" s="314" t="s">
        <v>5630</v>
      </c>
      <c r="AK199" s="21">
        <f t="shared" ref="AK199:AK203" si="103">22*25.4</f>
        <v>558.79999999999995</v>
      </c>
      <c r="AL199" s="21">
        <f t="shared" ref="AL199:AL200" si="104">6*25.4</f>
        <v>152.39999999999998</v>
      </c>
      <c r="AM199" s="21">
        <f t="shared" si="96"/>
        <v>12.7</v>
      </c>
      <c r="AN199" s="21">
        <f t="shared" si="97"/>
        <v>6.35</v>
      </c>
      <c r="AO199" s="21">
        <f t="shared" si="85"/>
        <v>1765.3</v>
      </c>
      <c r="AP199" s="21">
        <f t="shared" si="74"/>
        <v>368963144.33029962</v>
      </c>
      <c r="AQ199" s="24">
        <f t="shared" si="75"/>
        <v>1508634.0794999972</v>
      </c>
      <c r="AR199" s="21">
        <f>0.5*25.4</f>
        <v>12.7</v>
      </c>
      <c r="AS199" s="21">
        <f t="shared" ref="AS199:AS200" si="105">6*25.4</f>
        <v>152.39999999999998</v>
      </c>
      <c r="AT199" s="21">
        <f t="shared" ref="AT199:AT203" si="106">22*25.4</f>
        <v>558.79999999999995</v>
      </c>
      <c r="AU199" s="21">
        <v>0</v>
      </c>
      <c r="AV199" s="21">
        <v>0</v>
      </c>
      <c r="AW199" s="314" t="s">
        <v>5801</v>
      </c>
      <c r="AX199" s="312" t="s">
        <v>5631</v>
      </c>
      <c r="AY199" s="21">
        <f t="shared" si="76"/>
        <v>107.968</v>
      </c>
      <c r="AZ199" s="21">
        <v>19.100000000000001</v>
      </c>
      <c r="BA199" s="312">
        <v>241</v>
      </c>
      <c r="BB199" s="21">
        <f t="shared" si="102"/>
        <v>41.274999999999999</v>
      </c>
      <c r="BC199" s="21">
        <f t="shared" si="102"/>
        <v>41.274999999999999</v>
      </c>
      <c r="BD199" s="21">
        <f t="shared" ref="BD199:BE200" si="107">3*25.4</f>
        <v>76.199999999999989</v>
      </c>
      <c r="BE199" s="21">
        <f t="shared" si="107"/>
        <v>76.199999999999989</v>
      </c>
      <c r="BF199" s="21">
        <f t="shared" si="90"/>
        <v>323.85000000000002</v>
      </c>
      <c r="BG199" s="15" t="s">
        <v>6325</v>
      </c>
      <c r="BH199" s="312" t="s">
        <v>4462</v>
      </c>
      <c r="BI199" s="312" t="s">
        <v>4462</v>
      </c>
      <c r="BJ199" s="312">
        <v>4</v>
      </c>
      <c r="BK199" s="312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91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92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93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12" t="s">
        <v>4419</v>
      </c>
      <c r="DH199" s="312">
        <v>640</v>
      </c>
      <c r="DI199" s="32">
        <v>730</v>
      </c>
      <c r="DJ199" s="312">
        <v>800</v>
      </c>
      <c r="DK199" s="32">
        <v>940</v>
      </c>
      <c r="DL199" s="65">
        <v>200000</v>
      </c>
      <c r="DM199" s="29" t="s">
        <v>5832</v>
      </c>
      <c r="DN199" s="312" t="s">
        <v>4432</v>
      </c>
      <c r="DO199" s="301" t="s">
        <v>4562</v>
      </c>
    </row>
    <row r="200" spans="1:119" ht="15.6" customHeight="1">
      <c r="A200" s="314">
        <v>195</v>
      </c>
      <c r="B200" s="318"/>
      <c r="C200" s="318"/>
      <c r="D200" s="321"/>
      <c r="E200" s="324"/>
      <c r="F200" s="318"/>
      <c r="G200" s="327"/>
      <c r="H200" s="327"/>
      <c r="I200" s="327"/>
      <c r="J200" s="285" t="s">
        <v>4401</v>
      </c>
      <c r="K200" s="314" t="s">
        <v>4531</v>
      </c>
      <c r="L200" s="312" t="s">
        <v>6049</v>
      </c>
      <c r="M200" s="314" t="s">
        <v>4505</v>
      </c>
      <c r="N200" s="312" t="s">
        <v>4699</v>
      </c>
      <c r="O200" s="18" t="s">
        <v>4503</v>
      </c>
      <c r="P200" s="312" t="s">
        <v>6325</v>
      </c>
      <c r="Q200" s="312" t="s">
        <v>4417</v>
      </c>
      <c r="R200" s="312" t="s">
        <v>4417</v>
      </c>
      <c r="S200" s="312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12" t="s">
        <v>4417</v>
      </c>
      <c r="Y200" s="312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314" t="s">
        <v>5626</v>
      </c>
      <c r="AE200" s="21">
        <f t="shared" si="77"/>
        <v>304.79999999999995</v>
      </c>
      <c r="AF200" s="21">
        <f t="shared" si="78"/>
        <v>203.2</v>
      </c>
      <c r="AG200" s="21">
        <v>25.4</v>
      </c>
      <c r="AH200" s="21">
        <f t="shared" si="79"/>
        <v>9.5249999999999986</v>
      </c>
      <c r="AI200" s="21">
        <f t="shared" si="80"/>
        <v>1524</v>
      </c>
      <c r="AJ200" s="314" t="s">
        <v>5630</v>
      </c>
      <c r="AK200" s="21">
        <f t="shared" si="103"/>
        <v>558.79999999999995</v>
      </c>
      <c r="AL200" s="21">
        <f t="shared" si="104"/>
        <v>152.39999999999998</v>
      </c>
      <c r="AM200" s="21">
        <f t="shared" si="96"/>
        <v>12.7</v>
      </c>
      <c r="AN200" s="21">
        <f t="shared" si="97"/>
        <v>6.35</v>
      </c>
      <c r="AO200" s="21">
        <f t="shared" si="85"/>
        <v>1765.3</v>
      </c>
      <c r="AP200" s="21">
        <f t="shared" si="74"/>
        <v>368963144.33029962</v>
      </c>
      <c r="AQ200" s="24">
        <f t="shared" si="75"/>
        <v>1508634.0794999972</v>
      </c>
      <c r="AR200" s="21">
        <f>5/8*25.4</f>
        <v>15.875</v>
      </c>
      <c r="AS200" s="21">
        <f t="shared" si="105"/>
        <v>152.39999999999998</v>
      </c>
      <c r="AT200" s="21">
        <f t="shared" si="106"/>
        <v>558.79999999999995</v>
      </c>
      <c r="AU200" s="21">
        <v>0</v>
      </c>
      <c r="AV200" s="21">
        <v>0</v>
      </c>
      <c r="AW200" s="314" t="s">
        <v>5801</v>
      </c>
      <c r="AX200" s="312" t="s">
        <v>5631</v>
      </c>
      <c r="AY200" s="21">
        <f t="shared" si="76"/>
        <v>107.968</v>
      </c>
      <c r="AZ200" s="21">
        <v>19.100000000000001</v>
      </c>
      <c r="BA200" s="312">
        <v>241</v>
      </c>
      <c r="BB200" s="21">
        <f t="shared" si="102"/>
        <v>41.274999999999999</v>
      </c>
      <c r="BC200" s="21">
        <f t="shared" si="102"/>
        <v>41.274999999999999</v>
      </c>
      <c r="BD200" s="21">
        <f t="shared" si="107"/>
        <v>76.199999999999989</v>
      </c>
      <c r="BE200" s="21">
        <f t="shared" si="107"/>
        <v>76.199999999999989</v>
      </c>
      <c r="BF200" s="21">
        <f t="shared" si="90"/>
        <v>323.85000000000002</v>
      </c>
      <c r="BG200" s="15" t="s">
        <v>6325</v>
      </c>
      <c r="BH200" s="312" t="s">
        <v>4462</v>
      </c>
      <c r="BI200" s="312" t="s">
        <v>4462</v>
      </c>
      <c r="BJ200" s="312">
        <v>4</v>
      </c>
      <c r="BK200" s="312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91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92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93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12" t="s">
        <v>4419</v>
      </c>
      <c r="DH200" s="312">
        <v>640</v>
      </c>
      <c r="DI200" s="32">
        <v>730</v>
      </c>
      <c r="DJ200" s="312">
        <v>800</v>
      </c>
      <c r="DK200" s="32">
        <v>940</v>
      </c>
      <c r="DL200" s="65">
        <v>200000</v>
      </c>
      <c r="DM200" s="29" t="s">
        <v>5832</v>
      </c>
      <c r="DN200" s="312" t="s">
        <v>4432</v>
      </c>
      <c r="DO200" s="301" t="s">
        <v>4562</v>
      </c>
    </row>
    <row r="201" spans="1:119" ht="15.6" customHeight="1">
      <c r="A201" s="314">
        <v>196</v>
      </c>
      <c r="B201" s="318"/>
      <c r="C201" s="318"/>
      <c r="D201" s="321"/>
      <c r="E201" s="324"/>
      <c r="F201" s="318"/>
      <c r="G201" s="327"/>
      <c r="H201" s="327"/>
      <c r="I201" s="327"/>
      <c r="J201" s="285" t="s">
        <v>4402</v>
      </c>
      <c r="K201" s="314" t="s">
        <v>4531</v>
      </c>
      <c r="L201" s="312" t="s">
        <v>6049</v>
      </c>
      <c r="M201" s="314" t="s">
        <v>4505</v>
      </c>
      <c r="N201" s="312" t="s">
        <v>4699</v>
      </c>
      <c r="O201" s="18" t="s">
        <v>4503</v>
      </c>
      <c r="P201" s="312" t="s">
        <v>6325</v>
      </c>
      <c r="Q201" s="312" t="s">
        <v>4417</v>
      </c>
      <c r="R201" s="312" t="s">
        <v>4417</v>
      </c>
      <c r="S201" s="312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12" t="s">
        <v>4417</v>
      </c>
      <c r="Y201" s="312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314" t="s">
        <v>5626</v>
      </c>
      <c r="AE201" s="21">
        <f t="shared" si="77"/>
        <v>304.79999999999995</v>
      </c>
      <c r="AF201" s="21">
        <f t="shared" si="78"/>
        <v>203.2</v>
      </c>
      <c r="AG201" s="21">
        <v>25.4</v>
      </c>
      <c r="AH201" s="21">
        <f t="shared" si="79"/>
        <v>9.5249999999999986</v>
      </c>
      <c r="AI201" s="21">
        <f t="shared" si="80"/>
        <v>1524</v>
      </c>
      <c r="AJ201" s="314" t="s">
        <v>5629</v>
      </c>
      <c r="AK201" s="21">
        <f t="shared" si="103"/>
        <v>558.79999999999995</v>
      </c>
      <c r="AL201" s="21">
        <f t="shared" ref="AL201:AL203" si="108">8*25.4</f>
        <v>203.2</v>
      </c>
      <c r="AM201" s="21">
        <f t="shared" si="96"/>
        <v>12.7</v>
      </c>
      <c r="AN201" s="21">
        <f t="shared" si="97"/>
        <v>6.35</v>
      </c>
      <c r="AO201" s="21">
        <f t="shared" si="85"/>
        <v>1765.3</v>
      </c>
      <c r="AP201" s="21">
        <f t="shared" si="74"/>
        <v>465181975.5481658</v>
      </c>
      <c r="AQ201" s="24">
        <f t="shared" si="75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6"/>
        <v>558.79999999999995</v>
      </c>
      <c r="AU201" s="21">
        <v>0</v>
      </c>
      <c r="AV201" s="21">
        <v>0</v>
      </c>
      <c r="AW201" s="314" t="s">
        <v>5801</v>
      </c>
      <c r="AX201" s="312" t="s">
        <v>5631</v>
      </c>
      <c r="AY201" s="21">
        <f t="shared" si="76"/>
        <v>191.744</v>
      </c>
      <c r="AZ201" s="21">
        <v>25.4</v>
      </c>
      <c r="BA201" s="312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90"/>
        <v>285.75</v>
      </c>
      <c r="BG201" s="15" t="s">
        <v>6325</v>
      </c>
      <c r="BH201" s="312" t="s">
        <v>4462</v>
      </c>
      <c r="BI201" s="312" t="s">
        <v>4462</v>
      </c>
      <c r="BJ201" s="312">
        <v>4</v>
      </c>
      <c r="BK201" s="312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91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92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93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12" t="s">
        <v>4419</v>
      </c>
      <c r="DH201" s="312">
        <v>640</v>
      </c>
      <c r="DI201" s="32">
        <v>730</v>
      </c>
      <c r="DJ201" s="312">
        <v>800</v>
      </c>
      <c r="DK201" s="32">
        <v>940</v>
      </c>
      <c r="DL201" s="65">
        <v>200000</v>
      </c>
      <c r="DM201" s="29" t="s">
        <v>4765</v>
      </c>
      <c r="DN201" s="312" t="s">
        <v>4432</v>
      </c>
      <c r="DO201" s="301" t="s">
        <v>4562</v>
      </c>
    </row>
    <row r="202" spans="1:119">
      <c r="A202" s="314">
        <v>197</v>
      </c>
      <c r="B202" s="318"/>
      <c r="C202" s="318"/>
      <c r="D202" s="321"/>
      <c r="E202" s="324"/>
      <c r="F202" s="318"/>
      <c r="G202" s="327"/>
      <c r="H202" s="327"/>
      <c r="I202" s="327"/>
      <c r="J202" s="285" t="s">
        <v>4403</v>
      </c>
      <c r="K202" s="314" t="s">
        <v>4531</v>
      </c>
      <c r="L202" s="312" t="s">
        <v>6049</v>
      </c>
      <c r="M202" s="314" t="s">
        <v>4505</v>
      </c>
      <c r="N202" s="312" t="s">
        <v>4699</v>
      </c>
      <c r="O202" s="18" t="s">
        <v>4503</v>
      </c>
      <c r="P202" s="312" t="s">
        <v>6325</v>
      </c>
      <c r="Q202" s="312" t="s">
        <v>4417</v>
      </c>
      <c r="R202" s="312" t="s">
        <v>4417</v>
      </c>
      <c r="S202" s="312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12" t="s">
        <v>4417</v>
      </c>
      <c r="Y202" s="312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314" t="s">
        <v>5626</v>
      </c>
      <c r="AE202" s="21">
        <f t="shared" si="77"/>
        <v>304.79999999999995</v>
      </c>
      <c r="AF202" s="21">
        <f t="shared" si="78"/>
        <v>203.2</v>
      </c>
      <c r="AG202" s="21">
        <v>25.4</v>
      </c>
      <c r="AH202" s="21">
        <f t="shared" si="79"/>
        <v>9.5249999999999986</v>
      </c>
      <c r="AI202" s="21">
        <f t="shared" si="80"/>
        <v>1524</v>
      </c>
      <c r="AJ202" s="314" t="s">
        <v>5629</v>
      </c>
      <c r="AK202" s="21">
        <f t="shared" si="103"/>
        <v>558.79999999999995</v>
      </c>
      <c r="AL202" s="21">
        <f t="shared" si="108"/>
        <v>203.2</v>
      </c>
      <c r="AM202" s="21">
        <f t="shared" si="96"/>
        <v>12.7</v>
      </c>
      <c r="AN202" s="21">
        <f t="shared" si="97"/>
        <v>6.35</v>
      </c>
      <c r="AO202" s="21">
        <f t="shared" si="85"/>
        <v>1765.3</v>
      </c>
      <c r="AP202" s="21">
        <f t="shared" si="74"/>
        <v>465181975.5481658</v>
      </c>
      <c r="AQ202" s="24">
        <f t="shared" si="75"/>
        <v>1860955.9554999955</v>
      </c>
      <c r="AR202" s="21">
        <f>0.5*25.4</f>
        <v>12.7</v>
      </c>
      <c r="AS202" s="21">
        <f t="shared" ref="AS202:AS203" si="109">8*25.4</f>
        <v>203.2</v>
      </c>
      <c r="AT202" s="21">
        <f t="shared" si="106"/>
        <v>558.79999999999995</v>
      </c>
      <c r="AU202" s="21">
        <v>0</v>
      </c>
      <c r="AV202" s="21">
        <v>0</v>
      </c>
      <c r="AW202" s="314" t="s">
        <v>5801</v>
      </c>
      <c r="AX202" s="312" t="s">
        <v>5631</v>
      </c>
      <c r="AY202" s="21">
        <f t="shared" si="76"/>
        <v>191.744</v>
      </c>
      <c r="AZ202" s="21">
        <v>25.4</v>
      </c>
      <c r="BA202" s="312">
        <v>428</v>
      </c>
      <c r="BB202" s="21">
        <f t="shared" ref="BB202:BC203" si="110">(1+7/8)*25.4</f>
        <v>47.625</v>
      </c>
      <c r="BC202" s="21">
        <f t="shared" si="110"/>
        <v>47.625</v>
      </c>
      <c r="BD202" s="21">
        <f t="shared" ref="BD202:BE203" si="111">3.5*25.4</f>
        <v>88.899999999999991</v>
      </c>
      <c r="BE202" s="21">
        <f t="shared" si="111"/>
        <v>88.899999999999991</v>
      </c>
      <c r="BF202" s="21">
        <f t="shared" si="90"/>
        <v>285.75</v>
      </c>
      <c r="BG202" s="15" t="s">
        <v>6325</v>
      </c>
      <c r="BH202" s="312" t="s">
        <v>4462</v>
      </c>
      <c r="BI202" s="312" t="s">
        <v>4462</v>
      </c>
      <c r="BJ202" s="312">
        <v>4</v>
      </c>
      <c r="BK202" s="312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91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92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12">CT202*1.1</f>
        <v>379.50000000000006</v>
      </c>
      <c r="CV202" s="58">
        <v>450</v>
      </c>
      <c r="CW202" s="32">
        <f t="shared" si="93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12" t="s">
        <v>4419</v>
      </c>
      <c r="DH202" s="312">
        <v>640</v>
      </c>
      <c r="DI202" s="32">
        <v>730</v>
      </c>
      <c r="DJ202" s="312">
        <v>800</v>
      </c>
      <c r="DK202" s="32">
        <v>940</v>
      </c>
      <c r="DL202" s="65">
        <v>200000</v>
      </c>
      <c r="DM202" s="29" t="s">
        <v>5833</v>
      </c>
      <c r="DN202" s="312" t="s">
        <v>4432</v>
      </c>
      <c r="DO202" s="301" t="s">
        <v>4562</v>
      </c>
    </row>
    <row r="203" spans="1:119" ht="16.2" thickBot="1">
      <c r="A203" s="310">
        <v>198</v>
      </c>
      <c r="B203" s="318"/>
      <c r="C203" s="318"/>
      <c r="D203" s="321"/>
      <c r="E203" s="324"/>
      <c r="F203" s="318"/>
      <c r="G203" s="327"/>
      <c r="H203" s="327"/>
      <c r="I203" s="327"/>
      <c r="J203" s="284" t="s">
        <v>4404</v>
      </c>
      <c r="K203" s="310" t="s">
        <v>4531</v>
      </c>
      <c r="L203" s="313" t="s">
        <v>6049</v>
      </c>
      <c r="M203" s="310" t="s">
        <v>4505</v>
      </c>
      <c r="N203" s="313" t="s">
        <v>4699</v>
      </c>
      <c r="O203" s="14" t="s">
        <v>4503</v>
      </c>
      <c r="P203" s="313" t="s">
        <v>6325</v>
      </c>
      <c r="Q203" s="313" t="s">
        <v>4417</v>
      </c>
      <c r="R203" s="313" t="s">
        <v>4417</v>
      </c>
      <c r="S203" s="313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13" t="s">
        <v>4417</v>
      </c>
      <c r="Y203" s="313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314" t="s">
        <v>5626</v>
      </c>
      <c r="AE203" s="21">
        <f t="shared" si="77"/>
        <v>304.79999999999995</v>
      </c>
      <c r="AF203" s="21">
        <f t="shared" si="78"/>
        <v>203.2</v>
      </c>
      <c r="AG203" s="21">
        <v>25.4</v>
      </c>
      <c r="AH203" s="21">
        <f t="shared" si="79"/>
        <v>9.5249999999999986</v>
      </c>
      <c r="AI203" s="21">
        <f t="shared" si="80"/>
        <v>1524</v>
      </c>
      <c r="AJ203" s="310" t="s">
        <v>5629</v>
      </c>
      <c r="AK203" s="23">
        <f t="shared" si="103"/>
        <v>558.79999999999995</v>
      </c>
      <c r="AL203" s="23">
        <f t="shared" si="108"/>
        <v>203.2</v>
      </c>
      <c r="AM203" s="23">
        <f t="shared" si="96"/>
        <v>12.7</v>
      </c>
      <c r="AN203" s="23">
        <f t="shared" si="97"/>
        <v>6.35</v>
      </c>
      <c r="AO203" s="23">
        <f t="shared" si="85"/>
        <v>1765.3</v>
      </c>
      <c r="AP203" s="23">
        <f t="shared" si="74"/>
        <v>465181975.5481658</v>
      </c>
      <c r="AQ203" s="25">
        <f t="shared" si="75"/>
        <v>1860955.9554999955</v>
      </c>
      <c r="AR203" s="23">
        <f>3/4*25.4</f>
        <v>19.049999999999997</v>
      </c>
      <c r="AS203" s="23">
        <f t="shared" si="109"/>
        <v>203.2</v>
      </c>
      <c r="AT203" s="23">
        <f t="shared" si="106"/>
        <v>558.79999999999995</v>
      </c>
      <c r="AU203" s="23">
        <v>0</v>
      </c>
      <c r="AV203" s="23">
        <v>0</v>
      </c>
      <c r="AW203" s="310" t="s">
        <v>5801</v>
      </c>
      <c r="AX203" s="313" t="s">
        <v>5631</v>
      </c>
      <c r="AY203" s="23">
        <f t="shared" si="76"/>
        <v>191.744</v>
      </c>
      <c r="AZ203" s="23">
        <v>25.4</v>
      </c>
      <c r="BA203" s="313">
        <v>428</v>
      </c>
      <c r="BB203" s="23">
        <f t="shared" si="110"/>
        <v>47.625</v>
      </c>
      <c r="BC203" s="23">
        <f t="shared" si="110"/>
        <v>47.625</v>
      </c>
      <c r="BD203" s="23">
        <f t="shared" si="111"/>
        <v>88.899999999999991</v>
      </c>
      <c r="BE203" s="23">
        <f t="shared" si="111"/>
        <v>88.899999999999991</v>
      </c>
      <c r="BF203" s="23">
        <f t="shared" si="90"/>
        <v>285.75</v>
      </c>
      <c r="BG203" s="19" t="s">
        <v>6325</v>
      </c>
      <c r="BH203" s="313" t="s">
        <v>4462</v>
      </c>
      <c r="BI203" s="313" t="s">
        <v>4462</v>
      </c>
      <c r="BJ203" s="313">
        <v>4</v>
      </c>
      <c r="BK203" s="313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91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92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93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13" t="s">
        <v>4419</v>
      </c>
      <c r="DH203" s="313">
        <v>640</v>
      </c>
      <c r="DI203" s="34">
        <v>730</v>
      </c>
      <c r="DJ203" s="313">
        <v>800</v>
      </c>
      <c r="DK203" s="34">
        <v>940</v>
      </c>
      <c r="DL203" s="68">
        <v>200000</v>
      </c>
      <c r="DM203" s="27" t="s">
        <v>5832</v>
      </c>
      <c r="DN203" s="313" t="s">
        <v>4432</v>
      </c>
      <c r="DO203" s="302" t="s">
        <v>4562</v>
      </c>
    </row>
    <row r="204" spans="1:119">
      <c r="A204" s="314">
        <v>199</v>
      </c>
      <c r="B204" s="317">
        <v>29</v>
      </c>
      <c r="C204" s="317">
        <v>1999</v>
      </c>
      <c r="D204" s="329" t="s">
        <v>4530</v>
      </c>
      <c r="E204" s="329" t="s">
        <v>4850</v>
      </c>
      <c r="F204" s="317">
        <v>7</v>
      </c>
      <c r="G204" s="317" t="s">
        <v>5904</v>
      </c>
      <c r="H204" s="317" t="s">
        <v>5898</v>
      </c>
      <c r="I204" s="317" t="s">
        <v>6224</v>
      </c>
      <c r="J204" s="285" t="s">
        <v>4533</v>
      </c>
      <c r="K204" s="314" t="s">
        <v>4531</v>
      </c>
      <c r="L204" s="312" t="s">
        <v>6050</v>
      </c>
      <c r="M204" s="314" t="s">
        <v>4505</v>
      </c>
      <c r="N204" s="312" t="s">
        <v>4699</v>
      </c>
      <c r="O204" s="18" t="s">
        <v>4503</v>
      </c>
      <c r="P204" s="312" t="s">
        <v>4417</v>
      </c>
      <c r="Q204" s="312" t="s">
        <v>4417</v>
      </c>
      <c r="R204" s="312" t="s">
        <v>6156</v>
      </c>
      <c r="S204" s="312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12" t="s">
        <v>4417</v>
      </c>
      <c r="Y204" s="312" t="s">
        <v>5786</v>
      </c>
      <c r="Z204" s="312" t="s">
        <v>4555</v>
      </c>
      <c r="AA204" s="18">
        <v>6</v>
      </c>
      <c r="AB204" s="223">
        <v>0</v>
      </c>
      <c r="AC204" s="139">
        <v>0</v>
      </c>
      <c r="AD204" s="30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14" t="s">
        <v>4744</v>
      </c>
      <c r="AK204" s="21">
        <f t="shared" ref="AK204:AK210" si="113">16*25.4</f>
        <v>406.4</v>
      </c>
      <c r="AL204" s="21">
        <f t="shared" ref="AL204:AL210" si="114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5">5.5*12*25.4</f>
        <v>1676.3999999999999</v>
      </c>
      <c r="AP204" s="21">
        <f t="shared" si="74"/>
        <v>109736597.1258291</v>
      </c>
      <c r="AQ204" s="24">
        <f t="shared" si="75"/>
        <v>633206.3948749993</v>
      </c>
      <c r="AR204" s="21">
        <f>3/8*25.4</f>
        <v>9.5249999999999986</v>
      </c>
      <c r="AS204" s="21">
        <f t="shared" ref="AS204:AS210" si="116">AL204</f>
        <v>152.39999999999998</v>
      </c>
      <c r="AT204" s="21">
        <f t="shared" ref="AT204:AT210" si="117">AK204</f>
        <v>406.4</v>
      </c>
      <c r="AU204" s="312">
        <v>0</v>
      </c>
      <c r="AV204" s="312">
        <v>0</v>
      </c>
      <c r="AW204" s="314" t="s">
        <v>5801</v>
      </c>
      <c r="AX204" s="312" t="s">
        <v>4495</v>
      </c>
      <c r="AY204" s="21">
        <v>124.55</v>
      </c>
      <c r="AZ204" s="21">
        <f>3/4*25.4</f>
        <v>19.049999999999997</v>
      </c>
      <c r="BA204" s="312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2" t="s">
        <v>4467</v>
      </c>
      <c r="BH204" s="312" t="s">
        <v>6196</v>
      </c>
      <c r="BI204" s="312" t="s">
        <v>6196</v>
      </c>
      <c r="BJ204" s="312">
        <v>2</v>
      </c>
      <c r="BK204" s="312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12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314" t="s">
        <v>4532</v>
      </c>
      <c r="CN204" s="312">
        <v>345</v>
      </c>
      <c r="CO204" s="21">
        <v>465.3963</v>
      </c>
      <c r="CP204" s="312">
        <v>450</v>
      </c>
      <c r="CQ204" s="21">
        <v>579.15984000000003</v>
      </c>
      <c r="CR204" s="65">
        <v>200000</v>
      </c>
      <c r="CS204" s="312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12" t="s">
        <v>4419</v>
      </c>
      <c r="DH204" s="311">
        <v>640</v>
      </c>
      <c r="DI204" s="30">
        <v>730</v>
      </c>
      <c r="DJ204" s="311">
        <v>800</v>
      </c>
      <c r="DK204" s="30">
        <v>940</v>
      </c>
      <c r="DL204" s="59">
        <v>200000</v>
      </c>
      <c r="DM204" s="40" t="s">
        <v>4765</v>
      </c>
      <c r="DN204" s="309" t="s">
        <v>6045</v>
      </c>
      <c r="DO204" s="301" t="s">
        <v>4562</v>
      </c>
    </row>
    <row r="205" spans="1:119">
      <c r="A205" s="314">
        <v>200</v>
      </c>
      <c r="B205" s="318"/>
      <c r="C205" s="318"/>
      <c r="D205" s="330"/>
      <c r="E205" s="330"/>
      <c r="F205" s="318"/>
      <c r="G205" s="318"/>
      <c r="H205" s="318"/>
      <c r="I205" s="318"/>
      <c r="J205" s="285" t="s">
        <v>4534</v>
      </c>
      <c r="K205" s="314" t="s">
        <v>4531</v>
      </c>
      <c r="L205" s="312" t="s">
        <v>6050</v>
      </c>
      <c r="M205" s="314" t="s">
        <v>4505</v>
      </c>
      <c r="N205" s="312" t="s">
        <v>4699</v>
      </c>
      <c r="O205" s="18" t="s">
        <v>4503</v>
      </c>
      <c r="P205" s="312" t="s">
        <v>4417</v>
      </c>
      <c r="Q205" s="312" t="s">
        <v>4417</v>
      </c>
      <c r="R205" s="312" t="s">
        <v>6156</v>
      </c>
      <c r="S205" s="312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12" t="s">
        <v>4417</v>
      </c>
      <c r="Y205" s="312" t="s">
        <v>5786</v>
      </c>
      <c r="Z205" s="312" t="s">
        <v>4555</v>
      </c>
      <c r="AA205" s="18">
        <v>6</v>
      </c>
      <c r="AB205" s="223">
        <v>0</v>
      </c>
      <c r="AC205" s="139">
        <v>0</v>
      </c>
      <c r="AD205" s="314" t="s">
        <v>4799</v>
      </c>
      <c r="AE205" s="21">
        <f t="shared" ref="AE205:AE210" si="118">12*25.4</f>
        <v>304.79999999999995</v>
      </c>
      <c r="AF205" s="21">
        <f t="shared" ref="AF205:AF210" si="119">6*25.4</f>
        <v>152.39999999999998</v>
      </c>
      <c r="AG205" s="21">
        <f t="shared" ref="AG205:AG210" si="120">3/8*25.4</f>
        <v>9.5249999999999986</v>
      </c>
      <c r="AH205" s="21">
        <f t="shared" ref="AH205:AH210" si="121">0.25*25.4</f>
        <v>6.35</v>
      </c>
      <c r="AI205" s="32">
        <v>2716</v>
      </c>
      <c r="AJ205" s="314" t="s">
        <v>4744</v>
      </c>
      <c r="AK205" s="21">
        <f t="shared" si="113"/>
        <v>406.4</v>
      </c>
      <c r="AL205" s="21">
        <f t="shared" si="114"/>
        <v>152.39999999999998</v>
      </c>
      <c r="AM205" s="21">
        <f>0.25*25.4</f>
        <v>6.35</v>
      </c>
      <c r="AN205" s="21">
        <f>0.25*25.4</f>
        <v>6.35</v>
      </c>
      <c r="AO205" s="21">
        <f t="shared" si="115"/>
        <v>1676.3999999999999</v>
      </c>
      <c r="AP205" s="21">
        <f t="shared" si="74"/>
        <v>109736597.1258291</v>
      </c>
      <c r="AQ205" s="24">
        <f t="shared" si="75"/>
        <v>633206.3948749993</v>
      </c>
      <c r="AR205" s="21">
        <f t="shared" ref="AR205:AR210" si="122">3/8*25.4</f>
        <v>9.5249999999999986</v>
      </c>
      <c r="AS205" s="21">
        <f t="shared" si="116"/>
        <v>152.39999999999998</v>
      </c>
      <c r="AT205" s="21">
        <f t="shared" si="117"/>
        <v>406.4</v>
      </c>
      <c r="AU205" s="312">
        <v>0</v>
      </c>
      <c r="AV205" s="312">
        <v>0</v>
      </c>
      <c r="AW205" s="314" t="s">
        <v>5801</v>
      </c>
      <c r="AX205" s="312" t="s">
        <v>4495</v>
      </c>
      <c r="AY205" s="21">
        <v>124.55</v>
      </c>
      <c r="AZ205" s="21">
        <f>3/4*25.4</f>
        <v>19.049999999999997</v>
      </c>
      <c r="BA205" s="312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3">AT205-BB205-BC205-BD205</f>
        <v>317.5</v>
      </c>
      <c r="BG205" s="312" t="s">
        <v>4467</v>
      </c>
      <c r="BH205" s="312" t="s">
        <v>6196</v>
      </c>
      <c r="BI205" s="312" t="s">
        <v>6196</v>
      </c>
      <c r="BJ205" s="312">
        <v>2</v>
      </c>
      <c r="BK205" s="312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12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314" t="s">
        <v>4532</v>
      </c>
      <c r="CN205" s="312">
        <v>345</v>
      </c>
      <c r="CO205" s="21">
        <v>461.94891999999999</v>
      </c>
      <c r="CP205" s="312">
        <v>450</v>
      </c>
      <c r="CQ205" s="21">
        <v>579.15984000000003</v>
      </c>
      <c r="CR205" s="65">
        <v>200000</v>
      </c>
      <c r="CS205" s="312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12" t="s">
        <v>4419</v>
      </c>
      <c r="DH205" s="312">
        <v>640</v>
      </c>
      <c r="DI205" s="32">
        <v>730</v>
      </c>
      <c r="DJ205" s="312">
        <v>800</v>
      </c>
      <c r="DK205" s="32">
        <v>940</v>
      </c>
      <c r="DL205" s="59">
        <v>200000</v>
      </c>
      <c r="DM205" s="40" t="s">
        <v>4765</v>
      </c>
      <c r="DN205" s="307" t="s">
        <v>6045</v>
      </c>
      <c r="DO205" s="301" t="s">
        <v>4562</v>
      </c>
    </row>
    <row r="206" spans="1:119">
      <c r="A206" s="314">
        <v>201</v>
      </c>
      <c r="B206" s="318"/>
      <c r="C206" s="318"/>
      <c r="D206" s="330"/>
      <c r="E206" s="330"/>
      <c r="F206" s="318"/>
      <c r="G206" s="318"/>
      <c r="H206" s="318"/>
      <c r="I206" s="318"/>
      <c r="J206" s="285" t="s">
        <v>4535</v>
      </c>
      <c r="K206" s="314" t="s">
        <v>4531</v>
      </c>
      <c r="L206" s="312" t="s">
        <v>6312</v>
      </c>
      <c r="M206" s="314" t="s">
        <v>4505</v>
      </c>
      <c r="N206" s="312" t="s">
        <v>4699</v>
      </c>
      <c r="O206" s="18" t="s">
        <v>4503</v>
      </c>
      <c r="P206" s="312" t="s">
        <v>4417</v>
      </c>
      <c r="Q206" s="312" t="s">
        <v>4417</v>
      </c>
      <c r="R206" s="312" t="s">
        <v>6156</v>
      </c>
      <c r="S206" s="312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12" t="s">
        <v>4417</v>
      </c>
      <c r="Y206" s="312" t="s">
        <v>5786</v>
      </c>
      <c r="Z206" s="312" t="s">
        <v>4555</v>
      </c>
      <c r="AA206" s="18">
        <v>6</v>
      </c>
      <c r="AB206" s="223">
        <v>0</v>
      </c>
      <c r="AC206" s="139">
        <v>0</v>
      </c>
      <c r="AD206" s="314" t="s">
        <v>4799</v>
      </c>
      <c r="AE206" s="21">
        <f t="shared" si="118"/>
        <v>304.79999999999995</v>
      </c>
      <c r="AF206" s="21">
        <f t="shared" si="119"/>
        <v>152.39999999999998</v>
      </c>
      <c r="AG206" s="21">
        <f t="shared" si="120"/>
        <v>9.5249999999999986</v>
      </c>
      <c r="AH206" s="21">
        <f t="shared" si="121"/>
        <v>6.35</v>
      </c>
      <c r="AI206" s="32">
        <v>2716</v>
      </c>
      <c r="AJ206" s="314" t="s">
        <v>4744</v>
      </c>
      <c r="AK206" s="21">
        <f t="shared" si="113"/>
        <v>406.4</v>
      </c>
      <c r="AL206" s="21">
        <f t="shared" si="114"/>
        <v>152.39999999999998</v>
      </c>
      <c r="AM206" s="21">
        <f t="shared" ref="AM206:AN210" si="124">0.25*25.4</f>
        <v>6.35</v>
      </c>
      <c r="AN206" s="21">
        <f t="shared" si="124"/>
        <v>6.35</v>
      </c>
      <c r="AO206" s="21">
        <f t="shared" si="115"/>
        <v>1676.3999999999999</v>
      </c>
      <c r="AP206" s="21">
        <f t="shared" si="74"/>
        <v>109736597.1258291</v>
      </c>
      <c r="AQ206" s="24">
        <f t="shared" si="75"/>
        <v>633206.3948749993</v>
      </c>
      <c r="AR206" s="21">
        <f t="shared" si="122"/>
        <v>9.5249999999999986</v>
      </c>
      <c r="AS206" s="21">
        <f t="shared" si="116"/>
        <v>152.39999999999998</v>
      </c>
      <c r="AT206" s="21">
        <f t="shared" si="117"/>
        <v>406.4</v>
      </c>
      <c r="AU206" s="312">
        <v>0</v>
      </c>
      <c r="AV206" s="312">
        <v>0</v>
      </c>
      <c r="AW206" s="314" t="s">
        <v>5801</v>
      </c>
      <c r="AX206" s="312" t="s">
        <v>6311</v>
      </c>
      <c r="AY206" s="33">
        <f>AY205*BA206/BA205</f>
        <v>85.272821576763491</v>
      </c>
      <c r="AZ206" s="21">
        <f>5/8*25.4</f>
        <v>15.875</v>
      </c>
      <c r="BA206" s="312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3"/>
        <v>323.85000000000002</v>
      </c>
      <c r="BG206" s="312" t="s">
        <v>4467</v>
      </c>
      <c r="BH206" s="312" t="s">
        <v>6196</v>
      </c>
      <c r="BI206" s="312" t="s">
        <v>6196</v>
      </c>
      <c r="BJ206" s="312">
        <v>2</v>
      </c>
      <c r="BK206" s="312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12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314" t="s">
        <v>4532</v>
      </c>
      <c r="CN206" s="312">
        <v>345</v>
      </c>
      <c r="CO206" s="21">
        <v>461.94891999999999</v>
      </c>
      <c r="CP206" s="312">
        <v>450</v>
      </c>
      <c r="CQ206" s="21">
        <v>579.15984000000003</v>
      </c>
      <c r="CR206" s="65">
        <v>200000</v>
      </c>
      <c r="CS206" s="312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12" t="s">
        <v>4419</v>
      </c>
      <c r="DH206" s="312">
        <v>640</v>
      </c>
      <c r="DI206" s="32">
        <v>730</v>
      </c>
      <c r="DJ206" s="312">
        <v>800</v>
      </c>
      <c r="DK206" s="32">
        <v>940</v>
      </c>
      <c r="DL206" s="59">
        <v>200000</v>
      </c>
      <c r="DM206" s="40" t="s">
        <v>12</v>
      </c>
      <c r="DN206" s="307" t="s">
        <v>6045</v>
      </c>
      <c r="DO206" s="301" t="s">
        <v>4562</v>
      </c>
    </row>
    <row r="207" spans="1:119" ht="15.6" customHeight="1">
      <c r="A207" s="314">
        <v>202</v>
      </c>
      <c r="B207" s="318"/>
      <c r="C207" s="318"/>
      <c r="D207" s="330"/>
      <c r="E207" s="330"/>
      <c r="F207" s="318"/>
      <c r="G207" s="318"/>
      <c r="H207" s="318"/>
      <c r="I207" s="318"/>
      <c r="J207" s="285" t="s">
        <v>4536</v>
      </c>
      <c r="K207" s="314" t="s">
        <v>4531</v>
      </c>
      <c r="L207" s="312" t="s">
        <v>6312</v>
      </c>
      <c r="M207" s="314" t="s">
        <v>4505</v>
      </c>
      <c r="N207" s="312" t="s">
        <v>4699</v>
      </c>
      <c r="O207" s="18" t="s">
        <v>4503</v>
      </c>
      <c r="P207" s="312" t="s">
        <v>4417</v>
      </c>
      <c r="Q207" s="312" t="s">
        <v>4417</v>
      </c>
      <c r="R207" s="312" t="s">
        <v>6156</v>
      </c>
      <c r="S207" s="312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12" t="s">
        <v>4417</v>
      </c>
      <c r="Y207" s="312" t="s">
        <v>5786</v>
      </c>
      <c r="Z207" s="312" t="s">
        <v>4555</v>
      </c>
      <c r="AA207" s="18">
        <v>6</v>
      </c>
      <c r="AB207" s="223">
        <v>0</v>
      </c>
      <c r="AC207" s="139">
        <v>0</v>
      </c>
      <c r="AD207" s="314" t="s">
        <v>4799</v>
      </c>
      <c r="AE207" s="21">
        <f t="shared" si="118"/>
        <v>304.79999999999995</v>
      </c>
      <c r="AF207" s="21">
        <f t="shared" si="119"/>
        <v>152.39999999999998</v>
      </c>
      <c r="AG207" s="21">
        <f t="shared" si="120"/>
        <v>9.5249999999999986</v>
      </c>
      <c r="AH207" s="21">
        <f t="shared" si="121"/>
        <v>6.35</v>
      </c>
      <c r="AI207" s="32">
        <v>2716</v>
      </c>
      <c r="AJ207" s="314" t="s">
        <v>4744</v>
      </c>
      <c r="AK207" s="21">
        <f t="shared" si="113"/>
        <v>406.4</v>
      </c>
      <c r="AL207" s="21">
        <f t="shared" si="114"/>
        <v>152.39999999999998</v>
      </c>
      <c r="AM207" s="21">
        <f t="shared" si="124"/>
        <v>6.35</v>
      </c>
      <c r="AN207" s="21">
        <f t="shared" si="124"/>
        <v>6.35</v>
      </c>
      <c r="AO207" s="21">
        <f t="shared" si="115"/>
        <v>1676.3999999999999</v>
      </c>
      <c r="AP207" s="21">
        <f t="shared" si="74"/>
        <v>109736597.1258291</v>
      </c>
      <c r="AQ207" s="24">
        <f t="shared" si="75"/>
        <v>633206.3948749993</v>
      </c>
      <c r="AR207" s="21">
        <f t="shared" si="122"/>
        <v>9.5249999999999986</v>
      </c>
      <c r="AS207" s="21">
        <f t="shared" si="116"/>
        <v>152.39999999999998</v>
      </c>
      <c r="AT207" s="21">
        <f t="shared" si="117"/>
        <v>406.4</v>
      </c>
      <c r="AU207" s="312">
        <v>0</v>
      </c>
      <c r="AV207" s="312">
        <v>0</v>
      </c>
      <c r="AW207" s="314" t="s">
        <v>5801</v>
      </c>
      <c r="AX207" s="312" t="s">
        <v>6311</v>
      </c>
      <c r="AY207" s="33">
        <f>AY206*BA207/BA206</f>
        <v>85.272821576763491</v>
      </c>
      <c r="AZ207" s="21">
        <f>5/8*25.4</f>
        <v>15.875</v>
      </c>
      <c r="BA207" s="312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3"/>
        <v>323.85000000000002</v>
      </c>
      <c r="BG207" s="312" t="s">
        <v>4467</v>
      </c>
      <c r="BH207" s="312" t="s">
        <v>6196</v>
      </c>
      <c r="BI207" s="312" t="s">
        <v>6196</v>
      </c>
      <c r="BJ207" s="312">
        <v>2</v>
      </c>
      <c r="BK207" s="312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12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314" t="s">
        <v>4532</v>
      </c>
      <c r="CN207" s="312">
        <v>345</v>
      </c>
      <c r="CO207" s="21">
        <v>461.94891999999999</v>
      </c>
      <c r="CP207" s="312">
        <v>450</v>
      </c>
      <c r="CQ207" s="21">
        <v>579.15984000000003</v>
      </c>
      <c r="CR207" s="65">
        <v>200000</v>
      </c>
      <c r="CS207" s="312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12" t="s">
        <v>4419</v>
      </c>
      <c r="DH207" s="312">
        <v>640</v>
      </c>
      <c r="DI207" s="32">
        <v>730</v>
      </c>
      <c r="DJ207" s="312">
        <v>800</v>
      </c>
      <c r="DK207" s="32">
        <v>940</v>
      </c>
      <c r="DL207" s="59">
        <v>200000</v>
      </c>
      <c r="DM207" s="40" t="s">
        <v>12</v>
      </c>
      <c r="DN207" s="307" t="s">
        <v>6045</v>
      </c>
      <c r="DO207" s="301" t="s">
        <v>4562</v>
      </c>
    </row>
    <row r="208" spans="1:119" ht="15.6" customHeight="1">
      <c r="A208" s="314">
        <v>203</v>
      </c>
      <c r="B208" s="318"/>
      <c r="C208" s="318"/>
      <c r="D208" s="330"/>
      <c r="E208" s="330"/>
      <c r="F208" s="318"/>
      <c r="G208" s="318"/>
      <c r="H208" s="318"/>
      <c r="I208" s="318"/>
      <c r="J208" s="285" t="s">
        <v>4539</v>
      </c>
      <c r="K208" s="314" t="s">
        <v>4531</v>
      </c>
      <c r="L208" s="312" t="s">
        <v>6050</v>
      </c>
      <c r="M208" s="314" t="s">
        <v>4505</v>
      </c>
      <c r="N208" s="312" t="s">
        <v>4699</v>
      </c>
      <c r="O208" s="18" t="s">
        <v>4503</v>
      </c>
      <c r="P208" s="312" t="s">
        <v>4417</v>
      </c>
      <c r="Q208" s="312" t="s">
        <v>4417</v>
      </c>
      <c r="R208" s="312" t="s">
        <v>6156</v>
      </c>
      <c r="S208" s="312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12" t="s">
        <v>4417</v>
      </c>
      <c r="Y208" s="312" t="s">
        <v>5786</v>
      </c>
      <c r="Z208" s="312" t="s">
        <v>4555</v>
      </c>
      <c r="AA208" s="18">
        <v>6</v>
      </c>
      <c r="AB208" s="223">
        <v>0</v>
      </c>
      <c r="AC208" s="139">
        <v>0</v>
      </c>
      <c r="AD208" s="314" t="s">
        <v>4799</v>
      </c>
      <c r="AE208" s="21">
        <f t="shared" si="118"/>
        <v>304.79999999999995</v>
      </c>
      <c r="AF208" s="21">
        <f t="shared" si="119"/>
        <v>152.39999999999998</v>
      </c>
      <c r="AG208" s="21">
        <f t="shared" si="120"/>
        <v>9.5249999999999986</v>
      </c>
      <c r="AH208" s="21">
        <f t="shared" si="121"/>
        <v>6.35</v>
      </c>
      <c r="AI208" s="32">
        <v>2716</v>
      </c>
      <c r="AJ208" s="314" t="s">
        <v>4744</v>
      </c>
      <c r="AK208" s="21">
        <f t="shared" si="113"/>
        <v>406.4</v>
      </c>
      <c r="AL208" s="21">
        <f t="shared" si="114"/>
        <v>152.39999999999998</v>
      </c>
      <c r="AM208" s="21">
        <f t="shared" si="124"/>
        <v>6.35</v>
      </c>
      <c r="AN208" s="21">
        <f t="shared" si="124"/>
        <v>6.35</v>
      </c>
      <c r="AO208" s="21">
        <f t="shared" si="115"/>
        <v>1676.3999999999999</v>
      </c>
      <c r="AP208" s="21">
        <f t="shared" si="74"/>
        <v>109736597.1258291</v>
      </c>
      <c r="AQ208" s="24">
        <f t="shared" si="75"/>
        <v>633206.3948749993</v>
      </c>
      <c r="AR208" s="21">
        <f t="shared" si="122"/>
        <v>9.5249999999999986</v>
      </c>
      <c r="AS208" s="21">
        <f t="shared" si="116"/>
        <v>152.39999999999998</v>
      </c>
      <c r="AT208" s="21">
        <f t="shared" si="117"/>
        <v>406.4</v>
      </c>
      <c r="AU208" s="312">
        <v>0</v>
      </c>
      <c r="AV208" s="312">
        <v>0</v>
      </c>
      <c r="AW208" s="314" t="s">
        <v>5801</v>
      </c>
      <c r="AX208" s="312" t="s">
        <v>4495</v>
      </c>
      <c r="AY208" s="21">
        <v>124.55</v>
      </c>
      <c r="AZ208" s="21">
        <f>3/4*25.4</f>
        <v>19.049999999999997</v>
      </c>
      <c r="BA208" s="312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2" t="s">
        <v>4417</v>
      </c>
      <c r="BH208" s="312" t="s">
        <v>4462</v>
      </c>
      <c r="BI208" s="312" t="s">
        <v>4462</v>
      </c>
      <c r="BJ208" s="312">
        <v>4</v>
      </c>
      <c r="BK208" s="312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12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314" t="s">
        <v>4532</v>
      </c>
      <c r="CN208" s="312">
        <v>345</v>
      </c>
      <c r="CO208" s="21">
        <v>466.5339353999999</v>
      </c>
      <c r="CP208" s="312">
        <v>450</v>
      </c>
      <c r="CQ208" s="21">
        <v>582.60721999999998</v>
      </c>
      <c r="CR208" s="65">
        <v>200000</v>
      </c>
      <c r="CS208" s="312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12" t="s">
        <v>4419</v>
      </c>
      <c r="DH208" s="312">
        <v>640</v>
      </c>
      <c r="DI208" s="32">
        <v>730</v>
      </c>
      <c r="DJ208" s="312">
        <v>800</v>
      </c>
      <c r="DK208" s="32">
        <v>940</v>
      </c>
      <c r="DL208" s="59">
        <v>200000</v>
      </c>
      <c r="DM208" s="40" t="s">
        <v>4791</v>
      </c>
      <c r="DN208" s="307" t="s">
        <v>6045</v>
      </c>
      <c r="DO208" s="301" t="s">
        <v>4562</v>
      </c>
    </row>
    <row r="209" spans="1:119">
      <c r="A209" s="314">
        <v>204</v>
      </c>
      <c r="B209" s="318"/>
      <c r="C209" s="318"/>
      <c r="D209" s="330"/>
      <c r="E209" s="330"/>
      <c r="F209" s="318"/>
      <c r="G209" s="318"/>
      <c r="H209" s="318"/>
      <c r="I209" s="318"/>
      <c r="J209" s="285" t="s">
        <v>4537</v>
      </c>
      <c r="K209" s="314" t="s">
        <v>4531</v>
      </c>
      <c r="L209" s="312" t="s">
        <v>6050</v>
      </c>
      <c r="M209" s="314" t="s">
        <v>4505</v>
      </c>
      <c r="N209" s="312" t="s">
        <v>4699</v>
      </c>
      <c r="O209" s="18" t="s">
        <v>4503</v>
      </c>
      <c r="P209" s="312" t="s">
        <v>4417</v>
      </c>
      <c r="Q209" s="312" t="s">
        <v>4417</v>
      </c>
      <c r="R209" s="312" t="s">
        <v>6156</v>
      </c>
      <c r="S209" s="312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12" t="s">
        <v>4417</v>
      </c>
      <c r="Y209" s="312" t="s">
        <v>5786</v>
      </c>
      <c r="Z209" s="312" t="s">
        <v>4555</v>
      </c>
      <c r="AA209" s="18">
        <v>6</v>
      </c>
      <c r="AB209" s="223">
        <v>0</v>
      </c>
      <c r="AC209" s="139">
        <v>0</v>
      </c>
      <c r="AD209" s="314" t="s">
        <v>4799</v>
      </c>
      <c r="AE209" s="21">
        <f t="shared" si="118"/>
        <v>304.79999999999995</v>
      </c>
      <c r="AF209" s="21">
        <f t="shared" si="119"/>
        <v>152.39999999999998</v>
      </c>
      <c r="AG209" s="21">
        <f t="shared" si="120"/>
        <v>9.5249999999999986</v>
      </c>
      <c r="AH209" s="21">
        <f t="shared" si="121"/>
        <v>6.35</v>
      </c>
      <c r="AI209" s="32">
        <v>2716</v>
      </c>
      <c r="AJ209" s="314" t="s">
        <v>4744</v>
      </c>
      <c r="AK209" s="21">
        <f t="shared" si="113"/>
        <v>406.4</v>
      </c>
      <c r="AL209" s="21">
        <f t="shared" si="114"/>
        <v>152.39999999999998</v>
      </c>
      <c r="AM209" s="21">
        <f t="shared" si="124"/>
        <v>6.35</v>
      </c>
      <c r="AN209" s="21">
        <f t="shared" si="124"/>
        <v>6.35</v>
      </c>
      <c r="AO209" s="21">
        <f t="shared" si="115"/>
        <v>1676.3999999999999</v>
      </c>
      <c r="AP209" s="21">
        <f t="shared" si="74"/>
        <v>109736597.1258291</v>
      </c>
      <c r="AQ209" s="24">
        <f t="shared" si="75"/>
        <v>633206.3948749993</v>
      </c>
      <c r="AR209" s="21">
        <f t="shared" si="122"/>
        <v>9.5249999999999986</v>
      </c>
      <c r="AS209" s="21">
        <f t="shared" si="116"/>
        <v>152.39999999999998</v>
      </c>
      <c r="AT209" s="21">
        <f t="shared" si="117"/>
        <v>406.4</v>
      </c>
      <c r="AU209" s="312">
        <v>0</v>
      </c>
      <c r="AV209" s="312">
        <v>0</v>
      </c>
      <c r="AW209" s="314" t="s">
        <v>5801</v>
      </c>
      <c r="AX209" s="312" t="s">
        <v>6311</v>
      </c>
      <c r="AY209" s="33">
        <f>AY208*BA209/BA208</f>
        <v>85.272821576763491</v>
      </c>
      <c r="AZ209" s="21">
        <f>5/8*25.4</f>
        <v>15.875</v>
      </c>
      <c r="BA209" s="312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5">AT209-BB209-BC209-2*BD209</f>
        <v>171.45000000000005</v>
      </c>
      <c r="BG209" s="312" t="s">
        <v>4417</v>
      </c>
      <c r="BH209" s="312" t="s">
        <v>4462</v>
      </c>
      <c r="BI209" s="312" t="s">
        <v>4462</v>
      </c>
      <c r="BJ209" s="312">
        <v>4</v>
      </c>
      <c r="BK209" s="312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12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314" t="s">
        <v>4532</v>
      </c>
      <c r="CN209" s="312">
        <v>345</v>
      </c>
      <c r="CO209" s="21">
        <v>465.3963</v>
      </c>
      <c r="CP209" s="312">
        <v>450</v>
      </c>
      <c r="CQ209" s="21">
        <v>582.60721999999998</v>
      </c>
      <c r="CR209" s="65">
        <v>200000</v>
      </c>
      <c r="CS209" s="312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12" t="s">
        <v>4419</v>
      </c>
      <c r="DH209" s="312">
        <v>640</v>
      </c>
      <c r="DI209" s="32">
        <v>730</v>
      </c>
      <c r="DJ209" s="312">
        <v>800</v>
      </c>
      <c r="DK209" s="32">
        <v>940</v>
      </c>
      <c r="DL209" s="59">
        <v>200000</v>
      </c>
      <c r="DM209" s="40" t="s">
        <v>12</v>
      </c>
      <c r="DN209" s="307" t="s">
        <v>6045</v>
      </c>
      <c r="DO209" s="301" t="s">
        <v>4562</v>
      </c>
    </row>
    <row r="210" spans="1:119" ht="16.2" thickBot="1">
      <c r="A210" s="310">
        <v>205</v>
      </c>
      <c r="B210" s="319"/>
      <c r="C210" s="319"/>
      <c r="D210" s="331"/>
      <c r="E210" s="331"/>
      <c r="F210" s="319"/>
      <c r="G210" s="319"/>
      <c r="H210" s="319"/>
      <c r="I210" s="319"/>
      <c r="J210" s="284" t="s">
        <v>4538</v>
      </c>
      <c r="K210" s="310" t="s">
        <v>4531</v>
      </c>
      <c r="L210" s="313" t="s">
        <v>6050</v>
      </c>
      <c r="M210" s="310" t="s">
        <v>4505</v>
      </c>
      <c r="N210" s="313" t="s">
        <v>4699</v>
      </c>
      <c r="O210" s="14" t="s">
        <v>4503</v>
      </c>
      <c r="P210" s="313" t="s">
        <v>4417</v>
      </c>
      <c r="Q210" s="313" t="s">
        <v>4417</v>
      </c>
      <c r="R210" s="313" t="s">
        <v>6156</v>
      </c>
      <c r="S210" s="313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13" t="s">
        <v>4417</v>
      </c>
      <c r="Y210" s="313" t="s">
        <v>5786</v>
      </c>
      <c r="Z210" s="313" t="s">
        <v>4555</v>
      </c>
      <c r="AA210" s="14">
        <v>6</v>
      </c>
      <c r="AB210" s="223">
        <v>0</v>
      </c>
      <c r="AC210" s="139">
        <v>0</v>
      </c>
      <c r="AD210" s="310" t="s">
        <v>4799</v>
      </c>
      <c r="AE210" s="23">
        <f t="shared" si="118"/>
        <v>304.79999999999995</v>
      </c>
      <c r="AF210" s="23">
        <f t="shared" si="119"/>
        <v>152.39999999999998</v>
      </c>
      <c r="AG210" s="23">
        <f t="shared" si="120"/>
        <v>9.5249999999999986</v>
      </c>
      <c r="AH210" s="23">
        <f t="shared" si="121"/>
        <v>6.35</v>
      </c>
      <c r="AI210" s="34">
        <v>2716</v>
      </c>
      <c r="AJ210" s="314" t="s">
        <v>4744</v>
      </c>
      <c r="AK210" s="21">
        <f t="shared" si="113"/>
        <v>406.4</v>
      </c>
      <c r="AL210" s="21">
        <f t="shared" si="114"/>
        <v>152.39999999999998</v>
      </c>
      <c r="AM210" s="21">
        <f t="shared" si="124"/>
        <v>6.35</v>
      </c>
      <c r="AN210" s="21">
        <f t="shared" si="124"/>
        <v>6.35</v>
      </c>
      <c r="AO210" s="21">
        <f t="shared" si="115"/>
        <v>1676.3999999999999</v>
      </c>
      <c r="AP210" s="21">
        <f t="shared" si="74"/>
        <v>109736597.1258291</v>
      </c>
      <c r="AQ210" s="24">
        <f t="shared" si="75"/>
        <v>633206.3948749993</v>
      </c>
      <c r="AR210" s="21">
        <f t="shared" si="122"/>
        <v>9.5249999999999986</v>
      </c>
      <c r="AS210" s="21">
        <f t="shared" si="116"/>
        <v>152.39999999999998</v>
      </c>
      <c r="AT210" s="21">
        <f t="shared" si="117"/>
        <v>406.4</v>
      </c>
      <c r="AU210" s="312">
        <v>0</v>
      </c>
      <c r="AV210" s="312">
        <v>0</v>
      </c>
      <c r="AW210" s="314" t="s">
        <v>5801</v>
      </c>
      <c r="AX210" s="312" t="s">
        <v>6311</v>
      </c>
      <c r="AY210" s="33">
        <f>AY209*BA210/BA209</f>
        <v>85.272821576763491</v>
      </c>
      <c r="AZ210" s="21">
        <f>5/8*25.4</f>
        <v>15.875</v>
      </c>
      <c r="BA210" s="312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5"/>
        <v>171.45000000000005</v>
      </c>
      <c r="BG210" s="312" t="s">
        <v>4417</v>
      </c>
      <c r="BH210" s="312" t="s">
        <v>4462</v>
      </c>
      <c r="BI210" s="312" t="s">
        <v>4462</v>
      </c>
      <c r="BJ210" s="312">
        <v>4</v>
      </c>
      <c r="BK210" s="312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12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314" t="s">
        <v>4532</v>
      </c>
      <c r="CN210" s="312">
        <v>345</v>
      </c>
      <c r="CO210" s="21">
        <v>465.3963</v>
      </c>
      <c r="CP210" s="312">
        <v>450</v>
      </c>
      <c r="CQ210" s="21">
        <v>582.60721999999998</v>
      </c>
      <c r="CR210" s="65">
        <v>200000</v>
      </c>
      <c r="CS210" s="312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12" t="s">
        <v>4419</v>
      </c>
      <c r="DH210" s="312">
        <v>640</v>
      </c>
      <c r="DI210" s="32">
        <v>730</v>
      </c>
      <c r="DJ210" s="312">
        <v>800</v>
      </c>
      <c r="DK210" s="32">
        <v>940</v>
      </c>
      <c r="DL210" s="59">
        <v>200000</v>
      </c>
      <c r="DM210" s="40" t="s">
        <v>12</v>
      </c>
      <c r="DN210" s="307" t="s">
        <v>6045</v>
      </c>
      <c r="DO210" s="301" t="s">
        <v>4562</v>
      </c>
    </row>
    <row r="211" spans="1:119">
      <c r="A211" s="314">
        <v>206</v>
      </c>
      <c r="B211" s="380">
        <v>30</v>
      </c>
      <c r="C211" s="380">
        <v>1999</v>
      </c>
      <c r="D211" s="320" t="s">
        <v>4672</v>
      </c>
      <c r="E211" s="323" t="s">
        <v>4849</v>
      </c>
      <c r="F211" s="317">
        <v>17</v>
      </c>
      <c r="G211" s="326" t="s">
        <v>5903</v>
      </c>
      <c r="H211" s="326" t="s">
        <v>5896</v>
      </c>
      <c r="I211" s="326" t="s">
        <v>6229</v>
      </c>
      <c r="J211" s="290" t="s">
        <v>4394</v>
      </c>
      <c r="K211" s="314" t="s">
        <v>4531</v>
      </c>
      <c r="L211" s="312" t="s">
        <v>6052</v>
      </c>
      <c r="M211" s="314" t="s">
        <v>4505</v>
      </c>
      <c r="N211" s="312" t="s">
        <v>4699</v>
      </c>
      <c r="O211" s="18" t="s">
        <v>4503</v>
      </c>
      <c r="P211" s="312" t="s">
        <v>4417</v>
      </c>
      <c r="Q211" s="312" t="s">
        <v>4417</v>
      </c>
      <c r="R211" s="312" t="s">
        <v>4417</v>
      </c>
      <c r="S211" s="312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12" t="s">
        <v>4417</v>
      </c>
      <c r="Y211" s="312" t="s">
        <v>5786</v>
      </c>
      <c r="Z211" s="312" t="s">
        <v>6041</v>
      </c>
      <c r="AA211" s="18">
        <v>6</v>
      </c>
      <c r="AB211" s="224">
        <v>0</v>
      </c>
      <c r="AC211" s="151">
        <v>80</v>
      </c>
      <c r="AD211" s="314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12">
        <v>1700</v>
      </c>
      <c r="AJ211" s="309" t="s">
        <v>6338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6">(AT211-AK211)-AV211</f>
        <v>9.9999999999994316E-2</v>
      </c>
      <c r="AV211" s="16">
        <f t="shared" ref="AV211:AV273" si="127">(AT211-AK211)/2</f>
        <v>9.9999999999994316E-2</v>
      </c>
      <c r="AW211" s="309" t="s">
        <v>5801</v>
      </c>
      <c r="AX211" s="311" t="s">
        <v>4702</v>
      </c>
      <c r="AY211" s="16">
        <f t="shared" ref="AY211:AY227" si="128" xml:space="preserve"> 160/AZ211/0.25</f>
        <v>32</v>
      </c>
      <c r="AZ211" s="16">
        <v>20</v>
      </c>
      <c r="BA211" s="311">
        <f t="shared" ref="BA211:BA257" si="129">IF(AZ211=24,353,IF(AZ211=22,303,IF(AZ211=20,245,IF(AZ211=16,157,0))))</f>
        <v>245</v>
      </c>
      <c r="BB211" s="16">
        <v>60</v>
      </c>
      <c r="BC211" s="311">
        <v>90</v>
      </c>
      <c r="BD211" s="16">
        <v>100</v>
      </c>
      <c r="BE211" s="16">
        <v>100</v>
      </c>
      <c r="BF211" s="16">
        <f>AT211-BB211-BC211-2*BD211</f>
        <v>100</v>
      </c>
      <c r="BG211" s="311" t="s">
        <v>4417</v>
      </c>
      <c r="BH211" s="311" t="s">
        <v>4462</v>
      </c>
      <c r="BI211" s="311" t="s">
        <v>4462</v>
      </c>
      <c r="BJ211" s="311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309" t="s">
        <v>6327</v>
      </c>
      <c r="CH211" s="311">
        <v>275</v>
      </c>
      <c r="CI211" s="16">
        <v>318</v>
      </c>
      <c r="CJ211" s="311">
        <v>410</v>
      </c>
      <c r="CK211" s="16">
        <v>466</v>
      </c>
      <c r="CL211" s="94">
        <v>201000</v>
      </c>
      <c r="CM211" s="309" t="s">
        <v>6327</v>
      </c>
      <c r="CN211" s="311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309" t="s">
        <v>6327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311">
        <v>8.8000000000000007</v>
      </c>
      <c r="DH211" s="311">
        <v>640</v>
      </c>
      <c r="DI211" s="30">
        <v>730</v>
      </c>
      <c r="DJ211" s="311">
        <v>800</v>
      </c>
      <c r="DK211" s="30">
        <v>940</v>
      </c>
      <c r="DL211" s="64">
        <v>200000</v>
      </c>
      <c r="DM211" s="42" t="s">
        <v>5834</v>
      </c>
      <c r="DN211" s="309" t="s">
        <v>4432</v>
      </c>
      <c r="DO211" s="300" t="s">
        <v>4562</v>
      </c>
    </row>
    <row r="212" spans="1:119">
      <c r="A212" s="314">
        <v>207</v>
      </c>
      <c r="B212" s="419"/>
      <c r="C212" s="419"/>
      <c r="D212" s="321"/>
      <c r="E212" s="324"/>
      <c r="F212" s="318"/>
      <c r="G212" s="327"/>
      <c r="H212" s="327"/>
      <c r="I212" s="327"/>
      <c r="J212" s="290" t="s">
        <v>4396</v>
      </c>
      <c r="K212" s="314" t="s">
        <v>4531</v>
      </c>
      <c r="L212" s="312" t="s">
        <v>6052</v>
      </c>
      <c r="M212" s="314" t="s">
        <v>4505</v>
      </c>
      <c r="N212" s="312" t="s">
        <v>4699</v>
      </c>
      <c r="O212" s="18" t="s">
        <v>4503</v>
      </c>
      <c r="P212" s="312" t="s">
        <v>4417</v>
      </c>
      <c r="Q212" s="312" t="s">
        <v>4417</v>
      </c>
      <c r="R212" s="312" t="s">
        <v>4417</v>
      </c>
      <c r="S212" s="312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12" t="s">
        <v>4417</v>
      </c>
      <c r="Y212" s="312" t="s">
        <v>5786</v>
      </c>
      <c r="Z212" s="312" t="s">
        <v>6041</v>
      </c>
      <c r="AA212" s="18">
        <v>6</v>
      </c>
      <c r="AB212" s="223">
        <v>0</v>
      </c>
      <c r="AC212" s="139">
        <v>80</v>
      </c>
      <c r="AD212" s="314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12">
        <v>1700</v>
      </c>
      <c r="AJ212" s="314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14" t="s">
        <v>5801</v>
      </c>
      <c r="AX212" s="312" t="s">
        <v>4702</v>
      </c>
      <c r="AY212" s="21">
        <f t="shared" si="128"/>
        <v>32</v>
      </c>
      <c r="AZ212" s="21">
        <v>20</v>
      </c>
      <c r="BA212" s="312">
        <f t="shared" si="129"/>
        <v>245</v>
      </c>
      <c r="BB212" s="21">
        <v>60</v>
      </c>
      <c r="BC212" s="312">
        <v>90</v>
      </c>
      <c r="BD212" s="21">
        <v>100</v>
      </c>
      <c r="BE212" s="21">
        <v>100</v>
      </c>
      <c r="BF212" s="21">
        <f t="shared" ref="BF212:BF262" si="130">AT212-BB212-BC212-BD212</f>
        <v>100</v>
      </c>
      <c r="BG212" s="312" t="s">
        <v>4417</v>
      </c>
      <c r="BH212" s="312" t="s">
        <v>4462</v>
      </c>
      <c r="BI212" s="312" t="s">
        <v>6196</v>
      </c>
      <c r="BJ212" s="312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314" t="s">
        <v>6327</v>
      </c>
      <c r="CH212" s="312">
        <v>275</v>
      </c>
      <c r="CI212" s="21">
        <v>318</v>
      </c>
      <c r="CJ212" s="312">
        <v>410</v>
      </c>
      <c r="CK212" s="21">
        <v>466</v>
      </c>
      <c r="CL212" s="138">
        <v>201000</v>
      </c>
      <c r="CM212" s="314" t="s">
        <v>4447</v>
      </c>
      <c r="CN212" s="312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314" t="s">
        <v>6327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12">
        <v>8.8000000000000007</v>
      </c>
      <c r="DH212" s="312">
        <v>640</v>
      </c>
      <c r="DI212" s="32">
        <v>730</v>
      </c>
      <c r="DJ212" s="312">
        <v>800</v>
      </c>
      <c r="DK212" s="32">
        <v>940</v>
      </c>
      <c r="DL212" s="65">
        <v>200000</v>
      </c>
      <c r="DM212" s="40" t="s">
        <v>4760</v>
      </c>
      <c r="DN212" s="314" t="s">
        <v>4432</v>
      </c>
      <c r="DO212" s="301" t="s">
        <v>4562</v>
      </c>
    </row>
    <row r="213" spans="1:119">
      <c r="A213" s="314">
        <v>208</v>
      </c>
      <c r="B213" s="419"/>
      <c r="C213" s="419"/>
      <c r="D213" s="321"/>
      <c r="E213" s="324"/>
      <c r="F213" s="318"/>
      <c r="G213" s="327"/>
      <c r="H213" s="327"/>
      <c r="I213" s="327"/>
      <c r="J213" s="290" t="s">
        <v>4397</v>
      </c>
      <c r="K213" s="314" t="s">
        <v>4531</v>
      </c>
      <c r="L213" s="312" t="s">
        <v>6052</v>
      </c>
      <c r="M213" s="314" t="s">
        <v>4505</v>
      </c>
      <c r="N213" s="312" t="s">
        <v>4699</v>
      </c>
      <c r="O213" s="18" t="s">
        <v>4503</v>
      </c>
      <c r="P213" s="312" t="s">
        <v>4417</v>
      </c>
      <c r="Q213" s="312" t="s">
        <v>4417</v>
      </c>
      <c r="R213" s="312" t="s">
        <v>4417</v>
      </c>
      <c r="S213" s="312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12" t="s">
        <v>4417</v>
      </c>
      <c r="Y213" s="312" t="s">
        <v>5786</v>
      </c>
      <c r="Z213" s="312" t="s">
        <v>6041</v>
      </c>
      <c r="AA213" s="18">
        <v>6</v>
      </c>
      <c r="AB213" s="223">
        <v>0</v>
      </c>
      <c r="AC213" s="139">
        <v>80</v>
      </c>
      <c r="AD213" s="314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12">
        <v>1700</v>
      </c>
      <c r="AJ213" s="314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14" t="s">
        <v>5801</v>
      </c>
      <c r="AX213" s="312" t="s">
        <v>4702</v>
      </c>
      <c r="AY213" s="21">
        <f t="shared" si="128"/>
        <v>32</v>
      </c>
      <c r="AZ213" s="21">
        <v>20</v>
      </c>
      <c r="BA213" s="312">
        <f t="shared" si="129"/>
        <v>245</v>
      </c>
      <c r="BB213" s="21">
        <v>60</v>
      </c>
      <c r="BC213" s="312">
        <v>90</v>
      </c>
      <c r="BD213" s="21">
        <v>100</v>
      </c>
      <c r="BE213" s="21">
        <v>80</v>
      </c>
      <c r="BF213" s="21">
        <f t="shared" si="130"/>
        <v>100</v>
      </c>
      <c r="BG213" s="312" t="s">
        <v>4417</v>
      </c>
      <c r="BH213" s="312" t="s">
        <v>4462</v>
      </c>
      <c r="BI213" s="312" t="s">
        <v>6196</v>
      </c>
      <c r="BJ213" s="312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314" t="s">
        <v>6327</v>
      </c>
      <c r="CH213" s="312">
        <v>275</v>
      </c>
      <c r="CI213" s="21">
        <v>318</v>
      </c>
      <c r="CJ213" s="312">
        <v>410</v>
      </c>
      <c r="CK213" s="21">
        <v>466</v>
      </c>
      <c r="CL213" s="138">
        <v>201000</v>
      </c>
      <c r="CM213" s="314" t="s">
        <v>4447</v>
      </c>
      <c r="CN213" s="312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314" t="s">
        <v>6327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12">
        <v>8.8000000000000007</v>
      </c>
      <c r="DH213" s="312">
        <v>640</v>
      </c>
      <c r="DI213" s="32">
        <v>730</v>
      </c>
      <c r="DJ213" s="312">
        <v>800</v>
      </c>
      <c r="DK213" s="32">
        <v>940</v>
      </c>
      <c r="DL213" s="65">
        <v>200000</v>
      </c>
      <c r="DM213" s="40" t="s">
        <v>4760</v>
      </c>
      <c r="DN213" s="314" t="s">
        <v>4432</v>
      </c>
      <c r="DO213" s="301" t="s">
        <v>4562</v>
      </c>
    </row>
    <row r="214" spans="1:119">
      <c r="A214" s="314">
        <v>209</v>
      </c>
      <c r="B214" s="419"/>
      <c r="C214" s="419"/>
      <c r="D214" s="321"/>
      <c r="E214" s="324"/>
      <c r="F214" s="318"/>
      <c r="G214" s="327"/>
      <c r="H214" s="327"/>
      <c r="I214" s="327"/>
      <c r="J214" s="290" t="s">
        <v>4398</v>
      </c>
      <c r="K214" s="314" t="s">
        <v>4531</v>
      </c>
      <c r="L214" s="312" t="s">
        <v>6052</v>
      </c>
      <c r="M214" s="314" t="s">
        <v>4505</v>
      </c>
      <c r="N214" s="312" t="s">
        <v>4699</v>
      </c>
      <c r="O214" s="18" t="s">
        <v>4503</v>
      </c>
      <c r="P214" s="312" t="s">
        <v>4417</v>
      </c>
      <c r="Q214" s="312" t="s">
        <v>4417</v>
      </c>
      <c r="R214" s="312" t="s">
        <v>4417</v>
      </c>
      <c r="S214" s="312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12" t="s">
        <v>4417</v>
      </c>
      <c r="Y214" s="312" t="s">
        <v>5786</v>
      </c>
      <c r="Z214" s="312" t="s">
        <v>6041</v>
      </c>
      <c r="AA214" s="18">
        <v>6</v>
      </c>
      <c r="AB214" s="223">
        <v>0</v>
      </c>
      <c r="AC214" s="139">
        <v>80</v>
      </c>
      <c r="AD214" s="314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2">
        <v>1700</v>
      </c>
      <c r="AJ214" s="314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14" t="s">
        <v>5801</v>
      </c>
      <c r="AX214" s="312" t="s">
        <v>4702</v>
      </c>
      <c r="AY214" s="21">
        <f t="shared" si="128"/>
        <v>32</v>
      </c>
      <c r="AZ214" s="21">
        <v>20</v>
      </c>
      <c r="BA214" s="312">
        <f t="shared" si="129"/>
        <v>245</v>
      </c>
      <c r="BB214" s="21">
        <v>60</v>
      </c>
      <c r="BC214" s="312">
        <v>90</v>
      </c>
      <c r="BD214" s="21">
        <v>100</v>
      </c>
      <c r="BE214" s="21">
        <v>120</v>
      </c>
      <c r="BF214" s="21">
        <f t="shared" si="130"/>
        <v>100</v>
      </c>
      <c r="BG214" s="312" t="s">
        <v>4417</v>
      </c>
      <c r="BH214" s="312" t="s">
        <v>4462</v>
      </c>
      <c r="BI214" s="312" t="s">
        <v>6196</v>
      </c>
      <c r="BJ214" s="312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314" t="s">
        <v>6327</v>
      </c>
      <c r="CH214" s="312">
        <v>275</v>
      </c>
      <c r="CI214" s="21">
        <v>318</v>
      </c>
      <c r="CJ214" s="312">
        <v>410</v>
      </c>
      <c r="CK214" s="21">
        <v>466</v>
      </c>
      <c r="CL214" s="138">
        <v>201000</v>
      </c>
      <c r="CM214" s="314" t="s">
        <v>4447</v>
      </c>
      <c r="CN214" s="312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314" t="s">
        <v>6327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12">
        <v>8.8000000000000007</v>
      </c>
      <c r="DH214" s="312">
        <v>640</v>
      </c>
      <c r="DI214" s="32">
        <v>730</v>
      </c>
      <c r="DJ214" s="312">
        <v>800</v>
      </c>
      <c r="DK214" s="32">
        <v>940</v>
      </c>
      <c r="DL214" s="65">
        <v>200000</v>
      </c>
      <c r="DM214" s="40" t="s">
        <v>5835</v>
      </c>
      <c r="DN214" s="314" t="s">
        <v>4432</v>
      </c>
      <c r="DO214" s="301" t="s">
        <v>4562</v>
      </c>
    </row>
    <row r="215" spans="1:119">
      <c r="A215" s="314">
        <v>210</v>
      </c>
      <c r="B215" s="419"/>
      <c r="C215" s="419"/>
      <c r="D215" s="321"/>
      <c r="E215" s="324"/>
      <c r="F215" s="318"/>
      <c r="G215" s="327"/>
      <c r="H215" s="327"/>
      <c r="I215" s="327"/>
      <c r="J215" s="290" t="s">
        <v>4399</v>
      </c>
      <c r="K215" s="314" t="s">
        <v>4531</v>
      </c>
      <c r="L215" s="312" t="s">
        <v>6052</v>
      </c>
      <c r="M215" s="314" t="s">
        <v>4505</v>
      </c>
      <c r="N215" s="312" t="s">
        <v>4699</v>
      </c>
      <c r="O215" s="18" t="s">
        <v>4503</v>
      </c>
      <c r="P215" s="312" t="s">
        <v>4417</v>
      </c>
      <c r="Q215" s="312" t="s">
        <v>4417</v>
      </c>
      <c r="R215" s="312" t="s">
        <v>4417</v>
      </c>
      <c r="S215" s="312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12" t="s">
        <v>4417</v>
      </c>
      <c r="Y215" s="312" t="s">
        <v>5786</v>
      </c>
      <c r="Z215" s="312" t="s">
        <v>6041</v>
      </c>
      <c r="AA215" s="18">
        <v>6</v>
      </c>
      <c r="AB215" s="223">
        <v>0</v>
      </c>
      <c r="AC215" s="139">
        <v>80</v>
      </c>
      <c r="AD215" s="314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2">
        <v>1700</v>
      </c>
      <c r="AJ215" s="314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14" t="s">
        <v>5801</v>
      </c>
      <c r="AX215" s="312" t="s">
        <v>4702</v>
      </c>
      <c r="AY215" s="21">
        <f t="shared" si="128"/>
        <v>32</v>
      </c>
      <c r="AZ215" s="21">
        <v>20</v>
      </c>
      <c r="BA215" s="312">
        <f t="shared" si="129"/>
        <v>245</v>
      </c>
      <c r="BB215" s="21">
        <v>60</v>
      </c>
      <c r="BC215" s="312">
        <v>90</v>
      </c>
      <c r="BD215" s="21">
        <v>100</v>
      </c>
      <c r="BE215" s="21">
        <v>100</v>
      </c>
      <c r="BF215" s="21">
        <f t="shared" si="130"/>
        <v>100</v>
      </c>
      <c r="BG215" s="312" t="s">
        <v>4417</v>
      </c>
      <c r="BH215" s="312" t="s">
        <v>4462</v>
      </c>
      <c r="BI215" s="312" t="s">
        <v>6196</v>
      </c>
      <c r="BJ215" s="312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314" t="s">
        <v>6327</v>
      </c>
      <c r="CH215" s="312">
        <v>275</v>
      </c>
      <c r="CI215" s="21">
        <v>336</v>
      </c>
      <c r="CJ215" s="312">
        <v>410</v>
      </c>
      <c r="CK215" s="21">
        <v>479</v>
      </c>
      <c r="CL215" s="138">
        <v>205000</v>
      </c>
      <c r="CM215" s="314" t="s">
        <v>4447</v>
      </c>
      <c r="CN215" s="312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314" t="s">
        <v>6327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12">
        <v>8.8000000000000007</v>
      </c>
      <c r="DH215" s="312">
        <v>640</v>
      </c>
      <c r="DI215" s="32">
        <v>730</v>
      </c>
      <c r="DJ215" s="312">
        <v>800</v>
      </c>
      <c r="DK215" s="32">
        <v>940</v>
      </c>
      <c r="DL215" s="65">
        <v>200000</v>
      </c>
      <c r="DM215" s="40" t="s">
        <v>4760</v>
      </c>
      <c r="DN215" s="314" t="s">
        <v>4432</v>
      </c>
      <c r="DO215" s="301" t="s">
        <v>4562</v>
      </c>
    </row>
    <row r="216" spans="1:119">
      <c r="A216" s="314">
        <v>211</v>
      </c>
      <c r="B216" s="419"/>
      <c r="C216" s="419"/>
      <c r="D216" s="321"/>
      <c r="E216" s="324"/>
      <c r="F216" s="318"/>
      <c r="G216" s="327"/>
      <c r="H216" s="327"/>
      <c r="I216" s="327"/>
      <c r="J216" s="290" t="s">
        <v>4400</v>
      </c>
      <c r="K216" s="314" t="s">
        <v>4531</v>
      </c>
      <c r="L216" s="312" t="s">
        <v>6052</v>
      </c>
      <c r="M216" s="314" t="s">
        <v>4505</v>
      </c>
      <c r="N216" s="312" t="s">
        <v>4699</v>
      </c>
      <c r="O216" s="18" t="s">
        <v>4503</v>
      </c>
      <c r="P216" s="312" t="s">
        <v>4417</v>
      </c>
      <c r="Q216" s="312" t="s">
        <v>4417</v>
      </c>
      <c r="R216" s="312" t="s">
        <v>4417</v>
      </c>
      <c r="S216" s="312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12" t="s">
        <v>4417</v>
      </c>
      <c r="Y216" s="312" t="s">
        <v>5786</v>
      </c>
      <c r="Z216" s="312" t="s">
        <v>6041</v>
      </c>
      <c r="AA216" s="18">
        <v>6</v>
      </c>
      <c r="AB216" s="223">
        <v>0</v>
      </c>
      <c r="AC216" s="139">
        <v>80</v>
      </c>
      <c r="AD216" s="314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12">
        <v>1700</v>
      </c>
      <c r="AJ216" s="314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14" t="s">
        <v>5801</v>
      </c>
      <c r="AX216" s="312" t="s">
        <v>4702</v>
      </c>
      <c r="AY216" s="21">
        <f t="shared" si="128"/>
        <v>32</v>
      </c>
      <c r="AZ216" s="21">
        <v>20</v>
      </c>
      <c r="BA216" s="312">
        <f t="shared" si="129"/>
        <v>245</v>
      </c>
      <c r="BB216" s="21">
        <v>60</v>
      </c>
      <c r="BC216" s="312">
        <v>90</v>
      </c>
      <c r="BD216" s="21">
        <v>100</v>
      </c>
      <c r="BE216" s="21">
        <v>100</v>
      </c>
      <c r="BF216" s="21">
        <f t="shared" si="130"/>
        <v>100</v>
      </c>
      <c r="BG216" s="312" t="s">
        <v>4417</v>
      </c>
      <c r="BH216" s="312" t="s">
        <v>4462</v>
      </c>
      <c r="BI216" s="312" t="s">
        <v>6196</v>
      </c>
      <c r="BJ216" s="312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314" t="s">
        <v>6327</v>
      </c>
      <c r="CH216" s="312">
        <v>275</v>
      </c>
      <c r="CI216" s="21">
        <v>307</v>
      </c>
      <c r="CJ216" s="312">
        <v>410</v>
      </c>
      <c r="CK216" s="21">
        <v>452</v>
      </c>
      <c r="CL216" s="138">
        <v>207000</v>
      </c>
      <c r="CM216" s="314" t="s">
        <v>4447</v>
      </c>
      <c r="CN216" s="312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314" t="s">
        <v>6327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12">
        <v>8.8000000000000007</v>
      </c>
      <c r="DH216" s="312">
        <v>640</v>
      </c>
      <c r="DI216" s="32">
        <v>730</v>
      </c>
      <c r="DJ216" s="312">
        <v>800</v>
      </c>
      <c r="DK216" s="32">
        <v>940</v>
      </c>
      <c r="DL216" s="65">
        <v>200000</v>
      </c>
      <c r="DM216" s="40" t="s">
        <v>5836</v>
      </c>
      <c r="DN216" s="314" t="s">
        <v>4432</v>
      </c>
      <c r="DO216" s="301" t="s">
        <v>4562</v>
      </c>
    </row>
    <row r="217" spans="1:119">
      <c r="A217" s="314">
        <v>212</v>
      </c>
      <c r="B217" s="419"/>
      <c r="C217" s="419"/>
      <c r="D217" s="321"/>
      <c r="E217" s="324"/>
      <c r="F217" s="318"/>
      <c r="G217" s="327"/>
      <c r="H217" s="327"/>
      <c r="I217" s="327"/>
      <c r="J217" s="290" t="s">
        <v>4402</v>
      </c>
      <c r="K217" s="314" t="s">
        <v>4531</v>
      </c>
      <c r="L217" s="312" t="s">
        <v>6052</v>
      </c>
      <c r="M217" s="314" t="s">
        <v>4505</v>
      </c>
      <c r="N217" s="312" t="s">
        <v>4699</v>
      </c>
      <c r="O217" s="18" t="s">
        <v>4503</v>
      </c>
      <c r="P217" s="312" t="s">
        <v>4417</v>
      </c>
      <c r="Q217" s="312" t="s">
        <v>4417</v>
      </c>
      <c r="R217" s="312" t="s">
        <v>4417</v>
      </c>
      <c r="S217" s="312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12" t="s">
        <v>4417</v>
      </c>
      <c r="Y217" s="312" t="s">
        <v>5786</v>
      </c>
      <c r="Z217" s="312" t="s">
        <v>6041</v>
      </c>
      <c r="AA217" s="18">
        <v>6</v>
      </c>
      <c r="AB217" s="223">
        <v>0</v>
      </c>
      <c r="AC217" s="139">
        <v>80</v>
      </c>
      <c r="AD217" s="314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12">
        <v>1700</v>
      </c>
      <c r="AJ217" s="314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14" t="s">
        <v>5801</v>
      </c>
      <c r="AX217" s="312" t="s">
        <v>4702</v>
      </c>
      <c r="AY217" s="21">
        <f t="shared" si="128"/>
        <v>32</v>
      </c>
      <c r="AZ217" s="21">
        <v>20</v>
      </c>
      <c r="BA217" s="312">
        <f t="shared" si="129"/>
        <v>245</v>
      </c>
      <c r="BB217" s="21">
        <v>60</v>
      </c>
      <c r="BC217" s="312">
        <v>90</v>
      </c>
      <c r="BD217" s="21">
        <v>0</v>
      </c>
      <c r="BE217" s="21">
        <v>100</v>
      </c>
      <c r="BF217" s="21">
        <f t="shared" si="130"/>
        <v>100</v>
      </c>
      <c r="BG217" s="312" t="s">
        <v>4467</v>
      </c>
      <c r="BH217" s="312" t="s">
        <v>6196</v>
      </c>
      <c r="BI217" s="312" t="s">
        <v>6196</v>
      </c>
      <c r="BJ217" s="312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314" t="s">
        <v>6327</v>
      </c>
      <c r="CH217" s="312">
        <v>275</v>
      </c>
      <c r="CI217" s="21">
        <v>318</v>
      </c>
      <c r="CJ217" s="312">
        <v>410</v>
      </c>
      <c r="CK217" s="21">
        <v>466</v>
      </c>
      <c r="CL217" s="138">
        <v>201000</v>
      </c>
      <c r="CM217" s="314" t="s">
        <v>4447</v>
      </c>
      <c r="CN217" s="312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314" t="s">
        <v>6327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12">
        <v>8.8000000000000007</v>
      </c>
      <c r="DH217" s="312">
        <v>640</v>
      </c>
      <c r="DI217" s="32">
        <v>730</v>
      </c>
      <c r="DJ217" s="312">
        <v>800</v>
      </c>
      <c r="DK217" s="32">
        <v>940</v>
      </c>
      <c r="DL217" s="65">
        <v>200000</v>
      </c>
      <c r="DM217" s="40" t="s">
        <v>5836</v>
      </c>
      <c r="DN217" s="314" t="s">
        <v>4432</v>
      </c>
      <c r="DO217" s="301" t="s">
        <v>4562</v>
      </c>
    </row>
    <row r="218" spans="1:119">
      <c r="A218" s="314">
        <v>213</v>
      </c>
      <c r="B218" s="419"/>
      <c r="C218" s="419"/>
      <c r="D218" s="321"/>
      <c r="E218" s="324"/>
      <c r="F218" s="318"/>
      <c r="G218" s="327"/>
      <c r="H218" s="327"/>
      <c r="I218" s="327"/>
      <c r="J218" s="290" t="s">
        <v>4403</v>
      </c>
      <c r="K218" s="314" t="s">
        <v>6328</v>
      </c>
      <c r="L218" s="312" t="s">
        <v>5786</v>
      </c>
      <c r="M218" s="314" t="s">
        <v>4505</v>
      </c>
      <c r="N218" s="312" t="s">
        <v>4699</v>
      </c>
      <c r="O218" s="18" t="s">
        <v>4503</v>
      </c>
      <c r="P218" s="312" t="s">
        <v>4417</v>
      </c>
      <c r="Q218" s="312" t="s">
        <v>4417</v>
      </c>
      <c r="R218" s="312" t="s">
        <v>4417</v>
      </c>
      <c r="S218" s="312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12" t="s">
        <v>4417</v>
      </c>
      <c r="Y218" s="312" t="s">
        <v>5786</v>
      </c>
      <c r="Z218" s="312" t="s">
        <v>6041</v>
      </c>
      <c r="AA218" s="18">
        <v>6</v>
      </c>
      <c r="AB218" s="223">
        <v>0</v>
      </c>
      <c r="AC218" s="139">
        <v>506</v>
      </c>
      <c r="AD218" s="314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12">
        <v>1700</v>
      </c>
      <c r="AJ218" s="314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14" t="s">
        <v>5801</v>
      </c>
      <c r="AX218" s="312" t="s">
        <v>4702</v>
      </c>
      <c r="AY218" s="21">
        <f t="shared" si="128"/>
        <v>32</v>
      </c>
      <c r="AZ218" s="21">
        <v>20</v>
      </c>
      <c r="BA218" s="312">
        <f t="shared" si="129"/>
        <v>245</v>
      </c>
      <c r="BB218" s="21">
        <v>60</v>
      </c>
      <c r="BC218" s="312">
        <v>90</v>
      </c>
      <c r="BD218" s="21">
        <v>100</v>
      </c>
      <c r="BE218" s="21">
        <v>100</v>
      </c>
      <c r="BF218" s="21">
        <f t="shared" si="130"/>
        <v>100</v>
      </c>
      <c r="BG218" s="312" t="s">
        <v>4417</v>
      </c>
      <c r="BH218" s="312" t="s">
        <v>4462</v>
      </c>
      <c r="BI218" s="312" t="s">
        <v>6196</v>
      </c>
      <c r="BJ218" s="312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314" t="s">
        <v>6327</v>
      </c>
      <c r="CH218" s="312">
        <v>275</v>
      </c>
      <c r="CI218" s="21">
        <v>336</v>
      </c>
      <c r="CJ218" s="312">
        <v>410</v>
      </c>
      <c r="CK218" s="21">
        <v>479</v>
      </c>
      <c r="CL218" s="138">
        <v>205000</v>
      </c>
      <c r="CM218" s="314" t="s">
        <v>4447</v>
      </c>
      <c r="CN218" s="312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314" t="s">
        <v>6327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12">
        <v>8.8000000000000007</v>
      </c>
      <c r="DH218" s="312">
        <v>640</v>
      </c>
      <c r="DI218" s="32">
        <v>730</v>
      </c>
      <c r="DJ218" s="312">
        <v>800</v>
      </c>
      <c r="DK218" s="32">
        <v>940</v>
      </c>
      <c r="DL218" s="65">
        <v>200000</v>
      </c>
      <c r="DM218" s="40" t="s">
        <v>4760</v>
      </c>
      <c r="DN218" s="314" t="s">
        <v>4432</v>
      </c>
      <c r="DO218" s="301" t="s">
        <v>4562</v>
      </c>
    </row>
    <row r="219" spans="1:119">
      <c r="A219" s="314">
        <v>214</v>
      </c>
      <c r="B219" s="419"/>
      <c r="C219" s="419"/>
      <c r="D219" s="321"/>
      <c r="E219" s="324"/>
      <c r="F219" s="318"/>
      <c r="G219" s="327"/>
      <c r="H219" s="327"/>
      <c r="I219" s="327"/>
      <c r="J219" s="290" t="s">
        <v>4404</v>
      </c>
      <c r="K219" s="314" t="s">
        <v>6328</v>
      </c>
      <c r="L219" s="312" t="s">
        <v>5786</v>
      </c>
      <c r="M219" s="314" t="s">
        <v>4505</v>
      </c>
      <c r="N219" s="312" t="s">
        <v>4699</v>
      </c>
      <c r="O219" s="18" t="s">
        <v>4503</v>
      </c>
      <c r="P219" s="312" t="s">
        <v>4417</v>
      </c>
      <c r="Q219" s="312" t="s">
        <v>4417</v>
      </c>
      <c r="R219" s="312" t="s">
        <v>4417</v>
      </c>
      <c r="S219" s="312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12" t="s">
        <v>4417</v>
      </c>
      <c r="Y219" s="312" t="s">
        <v>5786</v>
      </c>
      <c r="Z219" s="312" t="s">
        <v>6041</v>
      </c>
      <c r="AA219" s="18">
        <v>6</v>
      </c>
      <c r="AB219" s="223">
        <v>0</v>
      </c>
      <c r="AC219" s="139">
        <v>906</v>
      </c>
      <c r="AD219" s="314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12">
        <v>1700</v>
      </c>
      <c r="AJ219" s="314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14" t="s">
        <v>5801</v>
      </c>
      <c r="AX219" s="312" t="s">
        <v>4702</v>
      </c>
      <c r="AY219" s="21">
        <f t="shared" si="128"/>
        <v>32</v>
      </c>
      <c r="AZ219" s="21">
        <v>20</v>
      </c>
      <c r="BA219" s="312">
        <f t="shared" si="129"/>
        <v>245</v>
      </c>
      <c r="BB219" s="21">
        <v>60</v>
      </c>
      <c r="BC219" s="312">
        <v>90</v>
      </c>
      <c r="BD219" s="21">
        <v>100</v>
      </c>
      <c r="BE219" s="21">
        <v>100</v>
      </c>
      <c r="BF219" s="21">
        <f t="shared" si="130"/>
        <v>100</v>
      </c>
      <c r="BG219" s="312" t="s">
        <v>4417</v>
      </c>
      <c r="BH219" s="312" t="s">
        <v>4462</v>
      </c>
      <c r="BI219" s="312" t="s">
        <v>6196</v>
      </c>
      <c r="BJ219" s="312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314" t="s">
        <v>6327</v>
      </c>
      <c r="CH219" s="312">
        <v>275</v>
      </c>
      <c r="CI219" s="21">
        <v>336</v>
      </c>
      <c r="CJ219" s="312">
        <v>410</v>
      </c>
      <c r="CK219" s="21">
        <v>479</v>
      </c>
      <c r="CL219" s="138">
        <v>205000</v>
      </c>
      <c r="CM219" s="314" t="s">
        <v>4447</v>
      </c>
      <c r="CN219" s="312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314" t="s">
        <v>6327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12">
        <v>8.8000000000000007</v>
      </c>
      <c r="DH219" s="312">
        <v>640</v>
      </c>
      <c r="DI219" s="32">
        <v>730</v>
      </c>
      <c r="DJ219" s="312">
        <v>800</v>
      </c>
      <c r="DK219" s="32">
        <v>940</v>
      </c>
      <c r="DL219" s="65">
        <v>200000</v>
      </c>
      <c r="DM219" s="40" t="s">
        <v>4760</v>
      </c>
      <c r="DN219" s="314" t="s">
        <v>4432</v>
      </c>
      <c r="DO219" s="301" t="s">
        <v>4562</v>
      </c>
    </row>
    <row r="220" spans="1:119">
      <c r="A220" s="314">
        <v>215</v>
      </c>
      <c r="B220" s="419"/>
      <c r="C220" s="419"/>
      <c r="D220" s="321"/>
      <c r="E220" s="324"/>
      <c r="F220" s="318"/>
      <c r="G220" s="327"/>
      <c r="H220" s="327"/>
      <c r="I220" s="327"/>
      <c r="J220" s="290" t="s">
        <v>4405</v>
      </c>
      <c r="K220" s="314" t="s">
        <v>6328</v>
      </c>
      <c r="L220" s="312" t="s">
        <v>5786</v>
      </c>
      <c r="M220" s="314" t="s">
        <v>4505</v>
      </c>
      <c r="N220" s="312" t="s">
        <v>4699</v>
      </c>
      <c r="O220" s="18" t="s">
        <v>4503</v>
      </c>
      <c r="P220" s="312" t="s">
        <v>4417</v>
      </c>
      <c r="Q220" s="312" t="s">
        <v>4417</v>
      </c>
      <c r="R220" s="312" t="s">
        <v>4417</v>
      </c>
      <c r="S220" s="312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12" t="s">
        <v>4417</v>
      </c>
      <c r="Y220" s="312" t="s">
        <v>5786</v>
      </c>
      <c r="Z220" s="312" t="s">
        <v>6041</v>
      </c>
      <c r="AA220" s="18">
        <v>6</v>
      </c>
      <c r="AB220" s="223">
        <v>0</v>
      </c>
      <c r="AC220" s="139">
        <v>702</v>
      </c>
      <c r="AD220" s="314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12">
        <v>1700</v>
      </c>
      <c r="AJ220" s="314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14" t="s">
        <v>5801</v>
      </c>
      <c r="AX220" s="312" t="s">
        <v>4702</v>
      </c>
      <c r="AY220" s="21">
        <f t="shared" si="128"/>
        <v>32</v>
      </c>
      <c r="AZ220" s="21">
        <v>20</v>
      </c>
      <c r="BA220" s="312">
        <f t="shared" si="129"/>
        <v>245</v>
      </c>
      <c r="BB220" s="21">
        <v>60</v>
      </c>
      <c r="BC220" s="312">
        <v>90</v>
      </c>
      <c r="BD220" s="21">
        <v>100</v>
      </c>
      <c r="BE220" s="21">
        <v>100</v>
      </c>
      <c r="BF220" s="21">
        <f t="shared" si="130"/>
        <v>100</v>
      </c>
      <c r="BG220" s="312" t="s">
        <v>4417</v>
      </c>
      <c r="BH220" s="312" t="s">
        <v>4462</v>
      </c>
      <c r="BI220" s="312" t="s">
        <v>6196</v>
      </c>
      <c r="BJ220" s="312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314" t="s">
        <v>6327</v>
      </c>
      <c r="CH220" s="312">
        <v>275</v>
      </c>
      <c r="CI220" s="21">
        <v>336</v>
      </c>
      <c r="CJ220" s="312">
        <v>410</v>
      </c>
      <c r="CK220" s="21">
        <v>479</v>
      </c>
      <c r="CL220" s="138">
        <v>205000</v>
      </c>
      <c r="CM220" s="314" t="s">
        <v>4447</v>
      </c>
      <c r="CN220" s="312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314" t="s">
        <v>6327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12">
        <v>8.8000000000000007</v>
      </c>
      <c r="DH220" s="312">
        <v>640</v>
      </c>
      <c r="DI220" s="32">
        <v>730</v>
      </c>
      <c r="DJ220" s="312">
        <v>800</v>
      </c>
      <c r="DK220" s="32">
        <v>940</v>
      </c>
      <c r="DL220" s="65">
        <v>200000</v>
      </c>
      <c r="DM220" s="40" t="s">
        <v>4760</v>
      </c>
      <c r="DN220" s="314" t="s">
        <v>4432</v>
      </c>
      <c r="DO220" s="301" t="s">
        <v>4562</v>
      </c>
    </row>
    <row r="221" spans="1:119">
      <c r="A221" s="314">
        <v>216</v>
      </c>
      <c r="B221" s="419"/>
      <c r="C221" s="419"/>
      <c r="D221" s="321"/>
      <c r="E221" s="324"/>
      <c r="F221" s="318"/>
      <c r="G221" s="327"/>
      <c r="H221" s="327"/>
      <c r="I221" s="327"/>
      <c r="J221" s="290" t="s">
        <v>4410</v>
      </c>
      <c r="K221" s="314" t="s">
        <v>4531</v>
      </c>
      <c r="L221" s="312" t="s">
        <v>6049</v>
      </c>
      <c r="M221" s="314" t="s">
        <v>4505</v>
      </c>
      <c r="N221" s="312" t="s">
        <v>4699</v>
      </c>
      <c r="O221" s="18" t="s">
        <v>4503</v>
      </c>
      <c r="P221" s="312" t="s">
        <v>4417</v>
      </c>
      <c r="Q221" s="312" t="s">
        <v>4417</v>
      </c>
      <c r="R221" s="312" t="s">
        <v>4417</v>
      </c>
      <c r="S221" s="312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12" t="s">
        <v>4417</v>
      </c>
      <c r="Y221" s="312" t="s">
        <v>5786</v>
      </c>
      <c r="Z221" s="312" t="s">
        <v>6041</v>
      </c>
      <c r="AA221" s="18">
        <v>6</v>
      </c>
      <c r="AB221" s="223">
        <v>0</v>
      </c>
      <c r="AC221" s="139">
        <v>80</v>
      </c>
      <c r="AD221" s="314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2">
        <v>1700</v>
      </c>
      <c r="AJ221" s="314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14" t="s">
        <v>5801</v>
      </c>
      <c r="AX221" s="312" t="s">
        <v>4702</v>
      </c>
      <c r="AY221" s="21">
        <f t="shared" si="128"/>
        <v>32</v>
      </c>
      <c r="AZ221" s="21">
        <v>20</v>
      </c>
      <c r="BA221" s="312">
        <f t="shared" si="129"/>
        <v>245</v>
      </c>
      <c r="BB221" s="21">
        <v>60</v>
      </c>
      <c r="BC221" s="312">
        <v>90</v>
      </c>
      <c r="BD221" s="21">
        <v>100</v>
      </c>
      <c r="BE221" s="21">
        <v>100</v>
      </c>
      <c r="BF221" s="21">
        <f t="shared" si="130"/>
        <v>100</v>
      </c>
      <c r="BG221" s="312" t="s">
        <v>4417</v>
      </c>
      <c r="BH221" s="312" t="s">
        <v>4462</v>
      </c>
      <c r="BI221" s="312" t="s">
        <v>6196</v>
      </c>
      <c r="BJ221" s="312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314" t="s">
        <v>6327</v>
      </c>
      <c r="CH221" s="312">
        <v>275</v>
      </c>
      <c r="CI221" s="21">
        <v>318</v>
      </c>
      <c r="CJ221" s="312">
        <v>410</v>
      </c>
      <c r="CK221" s="21">
        <v>466</v>
      </c>
      <c r="CL221" s="138">
        <v>201000</v>
      </c>
      <c r="CM221" s="314" t="s">
        <v>4447</v>
      </c>
      <c r="CN221" s="312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314" t="s">
        <v>6327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12">
        <v>8.8000000000000007</v>
      </c>
      <c r="DH221" s="312">
        <v>640</v>
      </c>
      <c r="DI221" s="32">
        <v>730</v>
      </c>
      <c r="DJ221" s="312">
        <v>800</v>
      </c>
      <c r="DK221" s="32">
        <v>940</v>
      </c>
      <c r="DL221" s="65">
        <v>200000</v>
      </c>
      <c r="DM221" s="40" t="s">
        <v>4760</v>
      </c>
      <c r="DN221" s="314" t="s">
        <v>4432</v>
      </c>
      <c r="DO221" s="301" t="s">
        <v>4562</v>
      </c>
    </row>
    <row r="222" spans="1:119">
      <c r="A222" s="314">
        <v>217</v>
      </c>
      <c r="B222" s="419"/>
      <c r="C222" s="419"/>
      <c r="D222" s="321"/>
      <c r="E222" s="324"/>
      <c r="F222" s="318"/>
      <c r="G222" s="327"/>
      <c r="H222" s="327"/>
      <c r="I222" s="327"/>
      <c r="J222" s="290" t="s">
        <v>4477</v>
      </c>
      <c r="K222" s="314" t="s">
        <v>6328</v>
      </c>
      <c r="L222" s="312" t="s">
        <v>5786</v>
      </c>
      <c r="M222" s="314" t="s">
        <v>4505</v>
      </c>
      <c r="N222" s="312" t="s">
        <v>4699</v>
      </c>
      <c r="O222" s="18" t="s">
        <v>4503</v>
      </c>
      <c r="P222" s="312" t="s">
        <v>4417</v>
      </c>
      <c r="Q222" s="312" t="s">
        <v>4417</v>
      </c>
      <c r="R222" s="312" t="s">
        <v>4417</v>
      </c>
      <c r="S222" s="312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12" t="s">
        <v>4417</v>
      </c>
      <c r="Y222" s="312" t="s">
        <v>5786</v>
      </c>
      <c r="Z222" s="312" t="s">
        <v>6041</v>
      </c>
      <c r="AA222" s="18">
        <v>12</v>
      </c>
      <c r="AB222" s="223">
        <v>0</v>
      </c>
      <c r="AC222" s="139">
        <v>0</v>
      </c>
      <c r="AD222" s="314" t="s">
        <v>6339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12">
        <v>1505</v>
      </c>
      <c r="AJ222" s="314" t="s">
        <v>6340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6"/>
        <v>15.800000000000011</v>
      </c>
      <c r="AV222" s="21">
        <f t="shared" si="127"/>
        <v>15.800000000000011</v>
      </c>
      <c r="AW222" s="314" t="s">
        <v>5788</v>
      </c>
      <c r="AX222" s="312" t="s">
        <v>4702</v>
      </c>
      <c r="AY222" s="21">
        <f t="shared" si="128"/>
        <v>32</v>
      </c>
      <c r="AZ222" s="21">
        <v>20</v>
      </c>
      <c r="BA222" s="312">
        <f t="shared" si="129"/>
        <v>245</v>
      </c>
      <c r="BB222" s="21">
        <v>75</v>
      </c>
      <c r="BC222" s="312">
        <v>120</v>
      </c>
      <c r="BD222" s="21">
        <v>100</v>
      </c>
      <c r="BE222" s="21">
        <v>120</v>
      </c>
      <c r="BF222" s="21">
        <f t="shared" si="130"/>
        <v>100</v>
      </c>
      <c r="BG222" s="312" t="s">
        <v>6325</v>
      </c>
      <c r="BH222" s="312" t="s">
        <v>4462</v>
      </c>
      <c r="BI222" s="312" t="s">
        <v>6196</v>
      </c>
      <c r="BJ222" s="312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314" t="s">
        <v>6327</v>
      </c>
      <c r="CH222" s="312">
        <v>275</v>
      </c>
      <c r="CI222" s="21">
        <v>329</v>
      </c>
      <c r="CJ222" s="312">
        <v>430</v>
      </c>
      <c r="CK222" s="21">
        <v>477</v>
      </c>
      <c r="CL222" s="138">
        <v>211000</v>
      </c>
      <c r="CM222" s="314" t="s">
        <v>4447</v>
      </c>
      <c r="CN222" s="312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314" t="s">
        <v>6327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12">
        <v>8.8000000000000007</v>
      </c>
      <c r="DH222" s="312">
        <v>640</v>
      </c>
      <c r="DI222" s="32">
        <v>730</v>
      </c>
      <c r="DJ222" s="312">
        <v>800</v>
      </c>
      <c r="DK222" s="32">
        <v>940</v>
      </c>
      <c r="DL222" s="65">
        <v>200000</v>
      </c>
      <c r="DM222" s="40" t="s">
        <v>4754</v>
      </c>
      <c r="DN222" s="314" t="s">
        <v>4432</v>
      </c>
      <c r="DO222" s="301" t="s">
        <v>4562</v>
      </c>
    </row>
    <row r="223" spans="1:119">
      <c r="A223" s="314">
        <v>218</v>
      </c>
      <c r="B223" s="419"/>
      <c r="C223" s="419"/>
      <c r="D223" s="321"/>
      <c r="E223" s="324"/>
      <c r="F223" s="318"/>
      <c r="G223" s="327"/>
      <c r="H223" s="327"/>
      <c r="I223" s="327"/>
      <c r="J223" s="290" t="s">
        <v>4478</v>
      </c>
      <c r="K223" s="314" t="s">
        <v>4380</v>
      </c>
      <c r="L223" s="312" t="s">
        <v>5786</v>
      </c>
      <c r="M223" s="314" t="s">
        <v>4505</v>
      </c>
      <c r="N223" s="312" t="s">
        <v>4699</v>
      </c>
      <c r="O223" s="18" t="s">
        <v>4503</v>
      </c>
      <c r="P223" s="312" t="s">
        <v>4417</v>
      </c>
      <c r="Q223" s="312" t="s">
        <v>4417</v>
      </c>
      <c r="R223" s="312" t="s">
        <v>4417</v>
      </c>
      <c r="S223" s="312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12" t="s">
        <v>4417</v>
      </c>
      <c r="Y223" s="312" t="s">
        <v>5786</v>
      </c>
      <c r="Z223" s="312" t="s">
        <v>6041</v>
      </c>
      <c r="AA223" s="18">
        <v>12</v>
      </c>
      <c r="AB223" s="223">
        <v>0</v>
      </c>
      <c r="AC223" s="139">
        <v>0</v>
      </c>
      <c r="AD223" s="314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12">
        <v>1505</v>
      </c>
      <c r="AJ223" s="314" t="s">
        <v>6340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6"/>
        <v>15.800000000000011</v>
      </c>
      <c r="AV223" s="21">
        <f t="shared" si="127"/>
        <v>15.800000000000011</v>
      </c>
      <c r="AW223" s="314" t="s">
        <v>5788</v>
      </c>
      <c r="AX223" s="312" t="s">
        <v>4702</v>
      </c>
      <c r="AY223" s="21">
        <f t="shared" si="128"/>
        <v>32</v>
      </c>
      <c r="AZ223" s="21">
        <v>20</v>
      </c>
      <c r="BA223" s="312">
        <f t="shared" si="129"/>
        <v>245</v>
      </c>
      <c r="BB223" s="21">
        <v>75</v>
      </c>
      <c r="BC223" s="312">
        <v>120</v>
      </c>
      <c r="BD223" s="21">
        <v>100</v>
      </c>
      <c r="BE223" s="21">
        <v>120</v>
      </c>
      <c r="BF223" s="21">
        <f t="shared" si="130"/>
        <v>100</v>
      </c>
      <c r="BG223" s="312" t="s">
        <v>6325</v>
      </c>
      <c r="BH223" s="312" t="s">
        <v>4462</v>
      </c>
      <c r="BI223" s="312" t="s">
        <v>6196</v>
      </c>
      <c r="BJ223" s="312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314" t="s">
        <v>6327</v>
      </c>
      <c r="CH223" s="312">
        <v>275</v>
      </c>
      <c r="CI223" s="21">
        <v>346</v>
      </c>
      <c r="CJ223" s="312">
        <v>430</v>
      </c>
      <c r="CK223" s="21">
        <v>489</v>
      </c>
      <c r="CL223" s="138">
        <v>206000</v>
      </c>
      <c r="CM223" s="314" t="s">
        <v>4447</v>
      </c>
      <c r="CN223" s="312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314" t="s">
        <v>6327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12">
        <v>8.8000000000000007</v>
      </c>
      <c r="DH223" s="312">
        <v>640</v>
      </c>
      <c r="DI223" s="32">
        <v>730</v>
      </c>
      <c r="DJ223" s="312">
        <v>800</v>
      </c>
      <c r="DK223" s="32">
        <v>940</v>
      </c>
      <c r="DL223" s="65">
        <v>200000</v>
      </c>
      <c r="DM223" s="40" t="s">
        <v>4754</v>
      </c>
      <c r="DN223" s="314" t="s">
        <v>4432</v>
      </c>
      <c r="DO223" s="301" t="s">
        <v>4562</v>
      </c>
    </row>
    <row r="224" spans="1:119" ht="15.6" customHeight="1">
      <c r="A224" s="314">
        <v>219</v>
      </c>
      <c r="B224" s="419"/>
      <c r="C224" s="419"/>
      <c r="D224" s="321"/>
      <c r="E224" s="324"/>
      <c r="F224" s="318"/>
      <c r="G224" s="327"/>
      <c r="H224" s="327"/>
      <c r="I224" s="327"/>
      <c r="J224" s="290" t="s">
        <v>4406</v>
      </c>
      <c r="K224" s="314" t="s">
        <v>4380</v>
      </c>
      <c r="L224" s="312" t="s">
        <v>5786</v>
      </c>
      <c r="M224" s="314" t="s">
        <v>4505</v>
      </c>
      <c r="N224" s="312" t="s">
        <v>4699</v>
      </c>
      <c r="O224" s="18" t="s">
        <v>4503</v>
      </c>
      <c r="P224" s="312" t="s">
        <v>4417</v>
      </c>
      <c r="Q224" s="312" t="s">
        <v>4467</v>
      </c>
      <c r="R224" s="312" t="s">
        <v>4417</v>
      </c>
      <c r="S224" s="312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12" t="s">
        <v>4417</v>
      </c>
      <c r="Y224" s="312" t="s">
        <v>5786</v>
      </c>
      <c r="Z224" s="312" t="s">
        <v>6041</v>
      </c>
      <c r="AA224" s="18">
        <v>6</v>
      </c>
      <c r="AB224" s="223">
        <v>0</v>
      </c>
      <c r="AC224" s="139">
        <v>0</v>
      </c>
      <c r="AD224" s="314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12">
        <v>1700</v>
      </c>
      <c r="AJ224" s="314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7"/>
        <v>9.9999999999994316E-2</v>
      </c>
      <c r="AW224" s="314" t="s">
        <v>5801</v>
      </c>
      <c r="AX224" s="312" t="s">
        <v>4702</v>
      </c>
      <c r="AY224" s="21">
        <f t="shared" si="128"/>
        <v>32</v>
      </c>
      <c r="AZ224" s="21">
        <v>20</v>
      </c>
      <c r="BA224" s="312">
        <f t="shared" si="129"/>
        <v>245</v>
      </c>
      <c r="BB224" s="21">
        <v>60</v>
      </c>
      <c r="BC224" s="312">
        <v>90</v>
      </c>
      <c r="BD224" s="21">
        <v>100</v>
      </c>
      <c r="BE224" s="21">
        <v>100</v>
      </c>
      <c r="BF224" s="21">
        <f t="shared" si="130"/>
        <v>200</v>
      </c>
      <c r="BG224" s="312" t="s">
        <v>4417</v>
      </c>
      <c r="BH224" s="312" t="s">
        <v>4462</v>
      </c>
      <c r="BI224" s="312" t="s">
        <v>4462</v>
      </c>
      <c r="BJ224" s="312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314" t="s">
        <v>6327</v>
      </c>
      <c r="CH224" s="312">
        <v>275</v>
      </c>
      <c r="CI224" s="21">
        <v>318</v>
      </c>
      <c r="CJ224" s="312">
        <v>410</v>
      </c>
      <c r="CK224" s="21">
        <v>466</v>
      </c>
      <c r="CL224" s="138">
        <v>201000</v>
      </c>
      <c r="CM224" s="314" t="s">
        <v>4447</v>
      </c>
      <c r="CN224" s="312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314" t="s">
        <v>6327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12">
        <v>8.8000000000000007</v>
      </c>
      <c r="DH224" s="312">
        <v>640</v>
      </c>
      <c r="DI224" s="32">
        <v>730</v>
      </c>
      <c r="DJ224" s="312">
        <v>800</v>
      </c>
      <c r="DK224" s="32">
        <v>940</v>
      </c>
      <c r="DL224" s="65">
        <v>200000</v>
      </c>
      <c r="DM224" s="29" t="s">
        <v>5826</v>
      </c>
      <c r="DN224" s="314" t="s">
        <v>4432</v>
      </c>
      <c r="DO224" s="301" t="s">
        <v>4562</v>
      </c>
    </row>
    <row r="225" spans="1:119" ht="15.6" customHeight="1">
      <c r="A225" s="314">
        <v>220</v>
      </c>
      <c r="B225" s="419"/>
      <c r="C225" s="419"/>
      <c r="D225" s="321"/>
      <c r="E225" s="324"/>
      <c r="F225" s="318"/>
      <c r="G225" s="327"/>
      <c r="H225" s="327"/>
      <c r="I225" s="327"/>
      <c r="J225" s="290" t="s">
        <v>4407</v>
      </c>
      <c r="K225" s="314" t="s">
        <v>4380</v>
      </c>
      <c r="L225" s="312" t="s">
        <v>5786</v>
      </c>
      <c r="M225" s="314" t="s">
        <v>4505</v>
      </c>
      <c r="N225" s="312" t="s">
        <v>4699</v>
      </c>
      <c r="O225" s="18" t="s">
        <v>4503</v>
      </c>
      <c r="P225" s="312" t="s">
        <v>4417</v>
      </c>
      <c r="Q225" s="312" t="s">
        <v>4467</v>
      </c>
      <c r="R225" s="312" t="s">
        <v>4417</v>
      </c>
      <c r="S225" s="312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12" t="s">
        <v>4417</v>
      </c>
      <c r="Y225" s="312" t="s">
        <v>5786</v>
      </c>
      <c r="Z225" s="312" t="s">
        <v>6041</v>
      </c>
      <c r="AA225" s="18">
        <v>6</v>
      </c>
      <c r="AB225" s="222">
        <v>0</v>
      </c>
      <c r="AC225" s="18">
        <v>0</v>
      </c>
      <c r="AD225" s="314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14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14" t="s">
        <v>5801</v>
      </c>
      <c r="AX225" s="312" t="s">
        <v>4702</v>
      </c>
      <c r="AY225" s="312">
        <f t="shared" si="128"/>
        <v>32</v>
      </c>
      <c r="AZ225" s="312">
        <v>20</v>
      </c>
      <c r="BA225" s="312">
        <f t="shared" si="129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30"/>
        <v>100</v>
      </c>
      <c r="BG225" s="312" t="s">
        <v>4417</v>
      </c>
      <c r="BH225" s="312" t="s">
        <v>4462</v>
      </c>
      <c r="BI225" s="312" t="s">
        <v>6196</v>
      </c>
      <c r="BJ225" s="312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314" t="s">
        <v>6327</v>
      </c>
      <c r="CH225" s="312">
        <v>275</v>
      </c>
      <c r="CI225" s="21">
        <v>318</v>
      </c>
      <c r="CJ225" s="312">
        <v>410</v>
      </c>
      <c r="CK225" s="21">
        <v>466</v>
      </c>
      <c r="CL225" s="138">
        <v>201000</v>
      </c>
      <c r="CM225" s="314" t="s">
        <v>4447</v>
      </c>
      <c r="CN225" s="312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314" t="s">
        <v>6327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12">
        <v>8.8000000000000007</v>
      </c>
      <c r="DH225" s="312">
        <v>640</v>
      </c>
      <c r="DI225" s="32">
        <v>730</v>
      </c>
      <c r="DJ225" s="312">
        <v>800</v>
      </c>
      <c r="DK225" s="32">
        <v>940</v>
      </c>
      <c r="DL225" s="65">
        <v>200000</v>
      </c>
      <c r="DM225" s="29" t="s">
        <v>5826</v>
      </c>
      <c r="DN225" s="314" t="s">
        <v>4432</v>
      </c>
      <c r="DO225" s="301" t="s">
        <v>4562</v>
      </c>
    </row>
    <row r="226" spans="1:119">
      <c r="A226" s="314">
        <v>221</v>
      </c>
      <c r="B226" s="419"/>
      <c r="C226" s="419"/>
      <c r="D226" s="321"/>
      <c r="E226" s="324"/>
      <c r="F226" s="318"/>
      <c r="G226" s="327"/>
      <c r="H226" s="327"/>
      <c r="I226" s="327"/>
      <c r="J226" s="290" t="s">
        <v>4408</v>
      </c>
      <c r="K226" s="314" t="s">
        <v>4380</v>
      </c>
      <c r="L226" s="312" t="s">
        <v>5786</v>
      </c>
      <c r="M226" s="314" t="s">
        <v>4505</v>
      </c>
      <c r="N226" s="312" t="s">
        <v>4699</v>
      </c>
      <c r="O226" s="18" t="s">
        <v>4503</v>
      </c>
      <c r="P226" s="312" t="s">
        <v>4417</v>
      </c>
      <c r="Q226" s="312" t="s">
        <v>4467</v>
      </c>
      <c r="R226" s="312" t="s">
        <v>4417</v>
      </c>
      <c r="S226" s="312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12" t="s">
        <v>4417</v>
      </c>
      <c r="Y226" s="312" t="s">
        <v>5786</v>
      </c>
      <c r="Z226" s="312" t="s">
        <v>6041</v>
      </c>
      <c r="AA226" s="18">
        <v>6</v>
      </c>
      <c r="AB226" s="222">
        <v>0</v>
      </c>
      <c r="AC226" s="18">
        <v>0</v>
      </c>
      <c r="AD226" s="314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12">
        <v>1700</v>
      </c>
      <c r="AJ226" s="314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14" t="s">
        <v>5801</v>
      </c>
      <c r="AX226" s="312" t="s">
        <v>4702</v>
      </c>
      <c r="AY226" s="312">
        <f t="shared" si="128"/>
        <v>32</v>
      </c>
      <c r="AZ226" s="312">
        <v>20</v>
      </c>
      <c r="BA226" s="312">
        <f t="shared" si="129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30"/>
        <v>100</v>
      </c>
      <c r="BG226" s="312" t="s">
        <v>4417</v>
      </c>
      <c r="BH226" s="312" t="s">
        <v>4462</v>
      </c>
      <c r="BI226" s="312" t="s">
        <v>6196</v>
      </c>
      <c r="BJ226" s="312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314" t="s">
        <v>6327</v>
      </c>
      <c r="CH226" s="312">
        <v>275</v>
      </c>
      <c r="CI226" s="21">
        <v>336</v>
      </c>
      <c r="CJ226" s="312">
        <v>410</v>
      </c>
      <c r="CK226" s="21">
        <v>479</v>
      </c>
      <c r="CL226" s="138">
        <v>205000</v>
      </c>
      <c r="CM226" s="314" t="s">
        <v>4447</v>
      </c>
      <c r="CN226" s="312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314" t="s">
        <v>6327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12">
        <v>8.8000000000000007</v>
      </c>
      <c r="DH226" s="312">
        <v>640</v>
      </c>
      <c r="DI226" s="32">
        <v>730</v>
      </c>
      <c r="DJ226" s="312">
        <v>800</v>
      </c>
      <c r="DK226" s="32">
        <v>940</v>
      </c>
      <c r="DL226" s="65">
        <v>200000</v>
      </c>
      <c r="DM226" s="29" t="s">
        <v>4760</v>
      </c>
      <c r="DN226" s="314" t="s">
        <v>4432</v>
      </c>
      <c r="DO226" s="301" t="s">
        <v>4562</v>
      </c>
    </row>
    <row r="227" spans="1:119" ht="16.2" thickBot="1">
      <c r="A227" s="314">
        <v>222</v>
      </c>
      <c r="B227" s="381"/>
      <c r="C227" s="381"/>
      <c r="D227" s="322"/>
      <c r="E227" s="325"/>
      <c r="F227" s="319"/>
      <c r="G227" s="328"/>
      <c r="H227" s="328"/>
      <c r="I227" s="328"/>
      <c r="J227" s="290" t="s">
        <v>4409</v>
      </c>
      <c r="K227" s="314" t="s">
        <v>4380</v>
      </c>
      <c r="L227" s="312" t="s">
        <v>5786</v>
      </c>
      <c r="M227" s="314" t="s">
        <v>4505</v>
      </c>
      <c r="N227" s="312" t="s">
        <v>4699</v>
      </c>
      <c r="O227" s="18" t="s">
        <v>4503</v>
      </c>
      <c r="P227" s="312" t="s">
        <v>4417</v>
      </c>
      <c r="Q227" s="312" t="s">
        <v>4467</v>
      </c>
      <c r="R227" s="312" t="s">
        <v>4417</v>
      </c>
      <c r="S227" s="312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12" t="s">
        <v>4417</v>
      </c>
      <c r="Y227" s="312" t="s">
        <v>5786</v>
      </c>
      <c r="Z227" s="312" t="s">
        <v>6041</v>
      </c>
      <c r="AA227" s="18">
        <v>6</v>
      </c>
      <c r="AB227" s="227">
        <v>0</v>
      </c>
      <c r="AC227" s="14">
        <v>0</v>
      </c>
      <c r="AD227" s="314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14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10" t="s">
        <v>5801</v>
      </c>
      <c r="AX227" s="313" t="s">
        <v>4702</v>
      </c>
      <c r="AY227" s="313">
        <f t="shared" si="128"/>
        <v>32</v>
      </c>
      <c r="AZ227" s="313">
        <v>20</v>
      </c>
      <c r="BA227" s="313">
        <f t="shared" si="129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30"/>
        <v>100</v>
      </c>
      <c r="BG227" s="313" t="s">
        <v>4467</v>
      </c>
      <c r="BH227" s="313" t="s">
        <v>6196</v>
      </c>
      <c r="BI227" s="313" t="s">
        <v>6196</v>
      </c>
      <c r="BJ227" s="313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310" t="s">
        <v>6327</v>
      </c>
      <c r="CH227" s="313">
        <v>275</v>
      </c>
      <c r="CI227" s="23">
        <v>318</v>
      </c>
      <c r="CJ227" s="313">
        <v>410</v>
      </c>
      <c r="CK227" s="23">
        <v>466</v>
      </c>
      <c r="CL227" s="99">
        <v>201000</v>
      </c>
      <c r="CM227" s="310" t="s">
        <v>4447</v>
      </c>
      <c r="CN227" s="313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310" t="s">
        <v>6327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13">
        <v>8.8000000000000007</v>
      </c>
      <c r="DH227" s="313">
        <v>640</v>
      </c>
      <c r="DI227" s="34">
        <v>730</v>
      </c>
      <c r="DJ227" s="313">
        <v>800</v>
      </c>
      <c r="DK227" s="34">
        <v>940</v>
      </c>
      <c r="DL227" s="68">
        <v>200000</v>
      </c>
      <c r="DM227" s="27" t="s">
        <v>5826</v>
      </c>
      <c r="DN227" s="310" t="s">
        <v>4432</v>
      </c>
      <c r="DO227" s="302" t="s">
        <v>4562</v>
      </c>
    </row>
    <row r="228" spans="1:119">
      <c r="A228" s="309">
        <v>223</v>
      </c>
      <c r="B228" s="380">
        <v>31</v>
      </c>
      <c r="C228" s="380">
        <v>2001</v>
      </c>
      <c r="D228" s="320" t="s">
        <v>4673</v>
      </c>
      <c r="E228" s="323" t="s">
        <v>4848</v>
      </c>
      <c r="F228" s="317">
        <v>5</v>
      </c>
      <c r="G228" s="326" t="s">
        <v>5906</v>
      </c>
      <c r="H228" s="326" t="s">
        <v>5896</v>
      </c>
      <c r="I228" s="326" t="s">
        <v>6230</v>
      </c>
      <c r="J228" s="283" t="s">
        <v>6324</v>
      </c>
      <c r="K228" s="309" t="s">
        <v>6328</v>
      </c>
      <c r="L228" s="311" t="s">
        <v>5786</v>
      </c>
      <c r="M228" s="309" t="s">
        <v>4504</v>
      </c>
      <c r="N228" s="311" t="s">
        <v>4698</v>
      </c>
      <c r="O228" s="17" t="s">
        <v>4503</v>
      </c>
      <c r="P228" s="311" t="s">
        <v>4417</v>
      </c>
      <c r="Q228" s="311" t="s">
        <v>4417</v>
      </c>
      <c r="R228" s="311" t="s">
        <v>6157</v>
      </c>
      <c r="S228" s="311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311" t="s">
        <v>4417</v>
      </c>
      <c r="Y228" s="311" t="s">
        <v>5786</v>
      </c>
      <c r="Z228" s="311" t="s">
        <v>4555</v>
      </c>
      <c r="AA228" s="17">
        <v>10</v>
      </c>
      <c r="AB228" s="222">
        <v>0</v>
      </c>
      <c r="AC228" s="18">
        <v>0</v>
      </c>
      <c r="AD228" s="309" t="s">
        <v>6329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309" t="s">
        <v>6338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6"/>
        <v>25.099999999999994</v>
      </c>
      <c r="AV228" s="16">
        <f t="shared" si="127"/>
        <v>25.099999999999994</v>
      </c>
      <c r="AW228" s="314" t="s">
        <v>5801</v>
      </c>
      <c r="AX228" s="312" t="s">
        <v>4559</v>
      </c>
      <c r="AY228" s="312">
        <f t="shared" ref="AY228:AY229" si="131" xml:space="preserve"> 200/AZ228/0.25</f>
        <v>40</v>
      </c>
      <c r="AZ228" s="312">
        <v>20</v>
      </c>
      <c r="BA228" s="312">
        <f t="shared" si="129"/>
        <v>245</v>
      </c>
      <c r="BB228" s="21">
        <v>75</v>
      </c>
      <c r="BC228" s="21">
        <f t="shared" ref="BC228:BC257" si="132">BB228</f>
        <v>75</v>
      </c>
      <c r="BD228" s="21">
        <v>90</v>
      </c>
      <c r="BE228" s="21">
        <v>90</v>
      </c>
      <c r="BF228" s="21">
        <f t="shared" si="130"/>
        <v>260</v>
      </c>
      <c r="BG228" s="312" t="s">
        <v>6326</v>
      </c>
      <c r="BH228" s="312" t="s">
        <v>6196</v>
      </c>
      <c r="BI228" s="312" t="s">
        <v>4462</v>
      </c>
      <c r="BJ228" s="312">
        <v>2</v>
      </c>
      <c r="BK228" s="312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12" t="s">
        <v>6076</v>
      </c>
      <c r="CH228" s="312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12" t="s">
        <v>6076</v>
      </c>
      <c r="CN228" s="312">
        <v>275</v>
      </c>
      <c r="CO228" s="21">
        <f>(339+312+341+311)/4</f>
        <v>325.75</v>
      </c>
      <c r="CP228" s="312">
        <v>430</v>
      </c>
      <c r="CQ228" s="21">
        <v>489.5</v>
      </c>
      <c r="CR228" s="94">
        <f>(197000+211000+193000+210000)/4</f>
        <v>202750</v>
      </c>
      <c r="CS228" s="312" t="s">
        <v>6076</v>
      </c>
      <c r="CT228" s="58">
        <v>275</v>
      </c>
      <c r="CU228" s="58">
        <v>305</v>
      </c>
      <c r="CV228" s="312">
        <v>410</v>
      </c>
      <c r="CW228" s="312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311">
        <v>8.8000000000000007</v>
      </c>
      <c r="DH228" s="311">
        <v>640</v>
      </c>
      <c r="DI228" s="30">
        <v>730</v>
      </c>
      <c r="DJ228" s="311">
        <v>800</v>
      </c>
      <c r="DK228" s="30">
        <v>940</v>
      </c>
      <c r="DL228" s="74">
        <v>200000</v>
      </c>
      <c r="DM228" s="28" t="s">
        <v>5826</v>
      </c>
      <c r="DN228" s="312" t="s">
        <v>4432</v>
      </c>
      <c r="DO228" s="301" t="s">
        <v>4562</v>
      </c>
    </row>
    <row r="229" spans="1:119" ht="15.6" customHeight="1">
      <c r="A229" s="314">
        <v>224</v>
      </c>
      <c r="B229" s="419"/>
      <c r="C229" s="419"/>
      <c r="D229" s="321"/>
      <c r="E229" s="324"/>
      <c r="F229" s="318"/>
      <c r="G229" s="327"/>
      <c r="H229" s="327"/>
      <c r="I229" s="327"/>
      <c r="J229" s="285" t="s">
        <v>4394</v>
      </c>
      <c r="K229" s="314" t="s">
        <v>6328</v>
      </c>
      <c r="L229" s="312" t="s">
        <v>5786</v>
      </c>
      <c r="M229" s="314" t="s">
        <v>4504</v>
      </c>
      <c r="N229" s="312" t="s">
        <v>4698</v>
      </c>
      <c r="O229" s="18" t="s">
        <v>4503</v>
      </c>
      <c r="P229" s="312" t="s">
        <v>4467</v>
      </c>
      <c r="Q229" s="312" t="s">
        <v>4417</v>
      </c>
      <c r="R229" s="312" t="s">
        <v>6157</v>
      </c>
      <c r="S229" s="312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12" t="s">
        <v>4417</v>
      </c>
      <c r="Y229" s="312" t="s">
        <v>5786</v>
      </c>
      <c r="Z229" s="312" t="s">
        <v>4555</v>
      </c>
      <c r="AA229" s="18">
        <v>10</v>
      </c>
      <c r="AB229" s="222">
        <v>0</v>
      </c>
      <c r="AC229" s="18">
        <v>0</v>
      </c>
      <c r="AD229" s="314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14" t="s">
        <v>6338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6"/>
        <v>25.099999999999994</v>
      </c>
      <c r="AV229" s="21">
        <f t="shared" si="127"/>
        <v>25.099999999999994</v>
      </c>
      <c r="AW229" s="314" t="s">
        <v>5801</v>
      </c>
      <c r="AX229" s="312" t="s">
        <v>4559</v>
      </c>
      <c r="AY229" s="312">
        <f t="shared" si="131"/>
        <v>40</v>
      </c>
      <c r="AZ229" s="312">
        <v>20</v>
      </c>
      <c r="BA229" s="312">
        <f t="shared" si="129"/>
        <v>245</v>
      </c>
      <c r="BB229" s="21">
        <v>75</v>
      </c>
      <c r="BC229" s="21">
        <f t="shared" si="132"/>
        <v>75</v>
      </c>
      <c r="BD229" s="21">
        <v>90</v>
      </c>
      <c r="BE229" s="21">
        <v>90</v>
      </c>
      <c r="BF229" s="21">
        <f t="shared" si="130"/>
        <v>260</v>
      </c>
      <c r="BG229" s="15" t="s">
        <v>6326</v>
      </c>
      <c r="BH229" s="312" t="s">
        <v>6196</v>
      </c>
      <c r="BI229" s="312" t="s">
        <v>4462</v>
      </c>
      <c r="BJ229" s="312">
        <v>2</v>
      </c>
      <c r="BK229" s="312">
        <v>6</v>
      </c>
      <c r="BL229" s="314">
        <v>120</v>
      </c>
      <c r="BM229" s="312">
        <v>1100</v>
      </c>
      <c r="BN229" s="312" t="s">
        <v>6180</v>
      </c>
      <c r="BO229" s="312">
        <v>0.9</v>
      </c>
      <c r="BP229" s="312">
        <v>105</v>
      </c>
      <c r="BQ229" s="312">
        <v>1137</v>
      </c>
      <c r="BR229" s="312">
        <v>46</v>
      </c>
      <c r="BS229" s="312" t="s">
        <v>4587</v>
      </c>
      <c r="BT229" s="314" t="s">
        <v>5850</v>
      </c>
      <c r="BU229" s="312">
        <v>7</v>
      </c>
      <c r="BV229" s="312">
        <v>1</v>
      </c>
      <c r="BW229" s="312">
        <v>19</v>
      </c>
      <c r="BX229" s="312">
        <v>100</v>
      </c>
      <c r="BY229" s="312">
        <v>75</v>
      </c>
      <c r="BZ229" s="18">
        <v>225</v>
      </c>
      <c r="CA229" s="312" t="s">
        <v>4570</v>
      </c>
      <c r="CB229" s="312" t="s">
        <v>4576</v>
      </c>
      <c r="CC229" s="21">
        <f>142*BM165/1000</f>
        <v>170.4</v>
      </c>
      <c r="CD229" s="21">
        <f>4*PI()*16^2/4</f>
        <v>804.24771931898704</v>
      </c>
      <c r="CE229" s="312">
        <v>25</v>
      </c>
      <c r="CF229" s="118">
        <v>0.01</v>
      </c>
      <c r="CG229" s="312" t="s">
        <v>6076</v>
      </c>
      <c r="CH229" s="312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12" t="s">
        <v>6076</v>
      </c>
      <c r="CN229" s="312">
        <v>275</v>
      </c>
      <c r="CO229" s="21">
        <f>(329+312+334+310)/4</f>
        <v>321.25</v>
      </c>
      <c r="CP229" s="312">
        <v>410</v>
      </c>
      <c r="CQ229" s="21">
        <v>473.5</v>
      </c>
      <c r="CR229" s="138">
        <f>(198+194+200+196)*1000/4</f>
        <v>197000</v>
      </c>
      <c r="CS229" s="312" t="s">
        <v>6076</v>
      </c>
      <c r="CT229" s="58">
        <v>275</v>
      </c>
      <c r="CU229" s="58">
        <v>305</v>
      </c>
      <c r="CV229" s="312">
        <v>410</v>
      </c>
      <c r="CW229" s="312">
        <v>483</v>
      </c>
      <c r="CX229" s="138">
        <v>215000</v>
      </c>
      <c r="CY229" s="314" t="s">
        <v>5790</v>
      </c>
      <c r="CZ229" s="95">
        <v>45.05</v>
      </c>
      <c r="DA229" s="95">
        <v>3.85</v>
      </c>
      <c r="DB229" s="65">
        <v>33000</v>
      </c>
      <c r="DC229" s="314">
        <v>504</v>
      </c>
      <c r="DD229" s="95">
        <v>611</v>
      </c>
      <c r="DE229" s="138">
        <v>200000</v>
      </c>
      <c r="DF229" s="298">
        <v>280</v>
      </c>
      <c r="DG229" s="312">
        <v>8.8000000000000007</v>
      </c>
      <c r="DH229" s="312">
        <v>640</v>
      </c>
      <c r="DI229" s="32">
        <v>730</v>
      </c>
      <c r="DJ229" s="312">
        <v>800</v>
      </c>
      <c r="DK229" s="32">
        <v>940</v>
      </c>
      <c r="DL229" s="59">
        <v>200000</v>
      </c>
      <c r="DM229" s="40" t="s">
        <v>5837</v>
      </c>
      <c r="DN229" s="312" t="s">
        <v>4432</v>
      </c>
      <c r="DO229" s="301" t="s">
        <v>4562</v>
      </c>
    </row>
    <row r="230" spans="1:119" ht="15.6" customHeight="1">
      <c r="A230" s="314">
        <v>225</v>
      </c>
      <c r="B230" s="419"/>
      <c r="C230" s="419"/>
      <c r="D230" s="321"/>
      <c r="E230" s="324"/>
      <c r="F230" s="318"/>
      <c r="G230" s="327"/>
      <c r="H230" s="327"/>
      <c r="I230" s="327"/>
      <c r="J230" s="285" t="s">
        <v>4395</v>
      </c>
      <c r="K230" s="314" t="s">
        <v>6328</v>
      </c>
      <c r="L230" s="312" t="s">
        <v>5786</v>
      </c>
      <c r="M230" s="314" t="s">
        <v>4504</v>
      </c>
      <c r="N230" s="312" t="s">
        <v>4698</v>
      </c>
      <c r="O230" s="18" t="s">
        <v>4503</v>
      </c>
      <c r="P230" s="312" t="s">
        <v>4467</v>
      </c>
      <c r="Q230" s="312" t="s">
        <v>4417</v>
      </c>
      <c r="R230" s="312" t="s">
        <v>6157</v>
      </c>
      <c r="S230" s="312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12" t="s">
        <v>4417</v>
      </c>
      <c r="Y230" s="312" t="s">
        <v>5786</v>
      </c>
      <c r="Z230" s="312" t="s">
        <v>4555</v>
      </c>
      <c r="AA230" s="18">
        <v>10</v>
      </c>
      <c r="AB230" s="222">
        <v>0</v>
      </c>
      <c r="AC230" s="18">
        <v>0</v>
      </c>
      <c r="AD230" s="314" t="s">
        <v>6329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14" t="s">
        <v>6338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6"/>
        <v>25.099999999999994</v>
      </c>
      <c r="AV230" s="21">
        <f t="shared" si="127"/>
        <v>25.099999999999994</v>
      </c>
      <c r="AW230" s="314" t="s">
        <v>5801</v>
      </c>
      <c r="AX230" s="312" t="s">
        <v>4559</v>
      </c>
      <c r="AY230" s="312">
        <f xml:space="preserve"> 200/AZ230/0.25</f>
        <v>40</v>
      </c>
      <c r="AZ230" s="312">
        <v>20</v>
      </c>
      <c r="BA230" s="312">
        <f t="shared" si="129"/>
        <v>245</v>
      </c>
      <c r="BB230" s="312">
        <v>75</v>
      </c>
      <c r="BC230" s="312">
        <f t="shared" si="132"/>
        <v>75</v>
      </c>
      <c r="BD230" s="21">
        <v>90</v>
      </c>
      <c r="BE230" s="312">
        <v>90</v>
      </c>
      <c r="BF230" s="312">
        <f t="shared" si="130"/>
        <v>260</v>
      </c>
      <c r="BG230" s="312" t="s">
        <v>6326</v>
      </c>
      <c r="BH230" s="312" t="s">
        <v>6196</v>
      </c>
      <c r="BI230" s="312" t="s">
        <v>4462</v>
      </c>
      <c r="BJ230" s="312">
        <v>2</v>
      </c>
      <c r="BK230" s="312">
        <v>6</v>
      </c>
      <c r="BL230" s="314">
        <v>120</v>
      </c>
      <c r="BM230" s="312">
        <v>1100</v>
      </c>
      <c r="BN230" s="312" t="s">
        <v>6180</v>
      </c>
      <c r="BO230" s="312">
        <v>0.9</v>
      </c>
      <c r="BP230" s="312">
        <v>105</v>
      </c>
      <c r="BQ230" s="312">
        <v>1137</v>
      </c>
      <c r="BR230" s="312">
        <v>46</v>
      </c>
      <c r="BS230" s="312" t="s">
        <v>4587</v>
      </c>
      <c r="BT230" s="314" t="s">
        <v>5850</v>
      </c>
      <c r="BU230" s="312">
        <v>7</v>
      </c>
      <c r="BV230" s="312">
        <v>1</v>
      </c>
      <c r="BW230" s="312">
        <v>19</v>
      </c>
      <c r="BX230" s="312">
        <v>100</v>
      </c>
      <c r="BY230" s="312">
        <v>75</v>
      </c>
      <c r="BZ230" s="18">
        <v>225</v>
      </c>
      <c r="CA230" s="312" t="s">
        <v>4570</v>
      </c>
      <c r="CB230" s="312" t="s">
        <v>4577</v>
      </c>
      <c r="CC230" s="21">
        <f>142*BM165/1000</f>
        <v>170.4</v>
      </c>
      <c r="CD230" s="21">
        <f t="shared" ref="CD230" si="133">4*PI()*16^2/4</f>
        <v>804.24771931898704</v>
      </c>
      <c r="CE230" s="312">
        <v>25</v>
      </c>
      <c r="CF230" s="118">
        <v>0.01</v>
      </c>
      <c r="CG230" s="312" t="s">
        <v>6076</v>
      </c>
      <c r="CH230" s="312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12" t="s">
        <v>6076</v>
      </c>
      <c r="CN230" s="312">
        <v>275</v>
      </c>
      <c r="CO230" s="21">
        <f>(331+293+329+306)/4</f>
        <v>314.75</v>
      </c>
      <c r="CP230" s="312">
        <v>410</v>
      </c>
      <c r="CQ230" s="21">
        <v>471.25</v>
      </c>
      <c r="CR230" s="138">
        <f>(199+198+197+196)*1000/4</f>
        <v>197500</v>
      </c>
      <c r="CS230" s="312" t="s">
        <v>6076</v>
      </c>
      <c r="CT230" s="58">
        <v>275</v>
      </c>
      <c r="CU230" s="58">
        <v>305</v>
      </c>
      <c r="CV230" s="312">
        <v>410</v>
      </c>
      <c r="CW230" s="312">
        <v>483</v>
      </c>
      <c r="CX230" s="138">
        <v>215000</v>
      </c>
      <c r="CY230" s="314" t="s">
        <v>5790</v>
      </c>
      <c r="CZ230" s="95">
        <v>45.75</v>
      </c>
      <c r="DA230" s="95">
        <v>3.4</v>
      </c>
      <c r="DB230" s="65">
        <v>33000</v>
      </c>
      <c r="DC230" s="314">
        <v>504</v>
      </c>
      <c r="DD230" s="95">
        <v>611</v>
      </c>
      <c r="DE230" s="138">
        <v>200000</v>
      </c>
      <c r="DF230" s="298">
        <v>280</v>
      </c>
      <c r="DG230" s="312">
        <v>8.8000000000000007</v>
      </c>
      <c r="DH230" s="312">
        <v>640</v>
      </c>
      <c r="DI230" s="32">
        <v>730</v>
      </c>
      <c r="DJ230" s="312">
        <v>800</v>
      </c>
      <c r="DK230" s="32">
        <v>940</v>
      </c>
      <c r="DL230" s="59">
        <v>200000</v>
      </c>
      <c r="DM230" s="40" t="s">
        <v>5837</v>
      </c>
      <c r="DN230" s="312" t="s">
        <v>4432</v>
      </c>
      <c r="DO230" s="301" t="s">
        <v>4562</v>
      </c>
    </row>
    <row r="231" spans="1:119">
      <c r="A231" s="314">
        <v>226</v>
      </c>
      <c r="B231" s="419"/>
      <c r="C231" s="419"/>
      <c r="D231" s="321"/>
      <c r="E231" s="324"/>
      <c r="F231" s="318"/>
      <c r="G231" s="327"/>
      <c r="H231" s="327"/>
      <c r="I231" s="327"/>
      <c r="J231" s="285" t="s">
        <v>4396</v>
      </c>
      <c r="K231" s="314" t="s">
        <v>6328</v>
      </c>
      <c r="L231" s="312" t="s">
        <v>5786</v>
      </c>
      <c r="M231" s="314" t="s">
        <v>4504</v>
      </c>
      <c r="N231" s="312" t="s">
        <v>4698</v>
      </c>
      <c r="O231" s="18" t="s">
        <v>4503</v>
      </c>
      <c r="P231" s="312" t="s">
        <v>4467</v>
      </c>
      <c r="Q231" s="312" t="s">
        <v>4417</v>
      </c>
      <c r="R231" s="312" t="s">
        <v>6157</v>
      </c>
      <c r="S231" s="312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12" t="s">
        <v>4417</v>
      </c>
      <c r="Y231" s="312" t="s">
        <v>5786</v>
      </c>
      <c r="Z231" s="312" t="s">
        <v>4555</v>
      </c>
      <c r="AA231" s="18">
        <v>10</v>
      </c>
      <c r="AB231" s="222">
        <v>0</v>
      </c>
      <c r="AC231" s="18">
        <v>0</v>
      </c>
      <c r="AD231" s="314" t="s">
        <v>6329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14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6"/>
        <v>25.099999999999994</v>
      </c>
      <c r="AV231" s="21">
        <f t="shared" si="127"/>
        <v>25.099999999999994</v>
      </c>
      <c r="AW231" s="314" t="s">
        <v>5801</v>
      </c>
      <c r="AX231" s="312" t="s">
        <v>4559</v>
      </c>
      <c r="AY231" s="21">
        <f t="shared" ref="AY231:AY232" si="134" xml:space="preserve"> 200/AZ231/0.25</f>
        <v>33.333333333333336</v>
      </c>
      <c r="AZ231" s="312">
        <v>24</v>
      </c>
      <c r="BA231" s="312">
        <f t="shared" si="129"/>
        <v>353</v>
      </c>
      <c r="BB231" s="312">
        <v>75</v>
      </c>
      <c r="BC231" s="312">
        <f t="shared" si="132"/>
        <v>75</v>
      </c>
      <c r="BD231" s="21">
        <v>90</v>
      </c>
      <c r="BE231" s="312">
        <v>90</v>
      </c>
      <c r="BF231" s="312">
        <f t="shared" si="130"/>
        <v>260</v>
      </c>
      <c r="BG231" s="312" t="s">
        <v>6326</v>
      </c>
      <c r="BH231" s="312" t="s">
        <v>6196</v>
      </c>
      <c r="BI231" s="312" t="s">
        <v>4462</v>
      </c>
      <c r="BJ231" s="312">
        <v>2</v>
      </c>
      <c r="BK231" s="312">
        <v>6</v>
      </c>
      <c r="BL231" s="314">
        <v>120</v>
      </c>
      <c r="BM231" s="312">
        <v>1100</v>
      </c>
      <c r="BN231" s="312" t="s">
        <v>6180</v>
      </c>
      <c r="BO231" s="312">
        <v>0.9</v>
      </c>
      <c r="BP231" s="312">
        <v>105</v>
      </c>
      <c r="BQ231" s="312">
        <v>1137</v>
      </c>
      <c r="BR231" s="312">
        <v>46</v>
      </c>
      <c r="BS231" s="312" t="s">
        <v>4587</v>
      </c>
      <c r="BT231" s="314" t="s">
        <v>5850</v>
      </c>
      <c r="BU231" s="312">
        <v>7</v>
      </c>
      <c r="BV231" s="312">
        <v>1</v>
      </c>
      <c r="BW231" s="312">
        <v>19</v>
      </c>
      <c r="BX231" s="312">
        <v>100</v>
      </c>
      <c r="BY231" s="312">
        <v>75</v>
      </c>
      <c r="BZ231" s="18">
        <v>225</v>
      </c>
      <c r="CA231" s="312" t="s">
        <v>4570</v>
      </c>
      <c r="CB231" s="312" t="s">
        <v>4577</v>
      </c>
      <c r="CC231" s="21">
        <f>142*BM165/1000</f>
        <v>170.4</v>
      </c>
      <c r="CD231" s="21">
        <f>4*PI()*16^2/4</f>
        <v>804.24771931898704</v>
      </c>
      <c r="CE231" s="312">
        <v>25</v>
      </c>
      <c r="CF231" s="118">
        <v>0.01</v>
      </c>
      <c r="CG231" s="312" t="s">
        <v>6076</v>
      </c>
      <c r="CH231" s="312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12" t="s">
        <v>6076</v>
      </c>
      <c r="CN231" s="312">
        <v>275</v>
      </c>
      <c r="CO231" s="21">
        <f>(317+324+317+302)/4</f>
        <v>315</v>
      </c>
      <c r="CP231" s="312">
        <v>410</v>
      </c>
      <c r="CQ231" s="21">
        <v>452.75</v>
      </c>
      <c r="CR231" s="138">
        <f>(204+207+198+205)*1000/4</f>
        <v>203500</v>
      </c>
      <c r="CS231" s="312" t="s">
        <v>6076</v>
      </c>
      <c r="CT231" s="58">
        <v>275</v>
      </c>
      <c r="CU231" s="58">
        <v>350</v>
      </c>
      <c r="CV231" s="312">
        <v>410</v>
      </c>
      <c r="CW231" s="312">
        <v>509</v>
      </c>
      <c r="CX231" s="138">
        <v>201000</v>
      </c>
      <c r="CY231" s="314" t="s">
        <v>5790</v>
      </c>
      <c r="CZ231" s="95">
        <v>38.9</v>
      </c>
      <c r="DA231" s="95">
        <v>3.6</v>
      </c>
      <c r="DB231" s="65">
        <v>33000</v>
      </c>
      <c r="DC231" s="314">
        <v>504</v>
      </c>
      <c r="DD231" s="95">
        <v>611</v>
      </c>
      <c r="DE231" s="138">
        <v>200000</v>
      </c>
      <c r="DF231" s="298">
        <v>280</v>
      </c>
      <c r="DG231" s="312">
        <v>8.8000000000000007</v>
      </c>
      <c r="DH231" s="312">
        <v>640</v>
      </c>
      <c r="DI231" s="32">
        <v>730</v>
      </c>
      <c r="DJ231" s="312">
        <v>800</v>
      </c>
      <c r="DK231" s="32">
        <v>940</v>
      </c>
      <c r="DL231" s="59">
        <v>200000</v>
      </c>
      <c r="DM231" s="40" t="s">
        <v>5837</v>
      </c>
      <c r="DN231" s="312" t="s">
        <v>4432</v>
      </c>
      <c r="DO231" s="301" t="s">
        <v>4562</v>
      </c>
    </row>
    <row r="232" spans="1:119" ht="15.6" customHeight="1" thickBot="1">
      <c r="A232" s="314">
        <v>227</v>
      </c>
      <c r="B232" s="381"/>
      <c r="C232" s="381"/>
      <c r="D232" s="322"/>
      <c r="E232" s="325"/>
      <c r="F232" s="319"/>
      <c r="G232" s="328"/>
      <c r="H232" s="328"/>
      <c r="I232" s="328"/>
      <c r="J232" s="284" t="s">
        <v>4397</v>
      </c>
      <c r="K232" s="314" t="s">
        <v>6328</v>
      </c>
      <c r="L232" s="312" t="s">
        <v>5786</v>
      </c>
      <c r="M232" s="314" t="s">
        <v>4504</v>
      </c>
      <c r="N232" s="312" t="s">
        <v>4698</v>
      </c>
      <c r="O232" s="18" t="s">
        <v>4503</v>
      </c>
      <c r="P232" s="312" t="s">
        <v>4467</v>
      </c>
      <c r="Q232" s="312" t="s">
        <v>4417</v>
      </c>
      <c r="R232" s="312" t="s">
        <v>6157</v>
      </c>
      <c r="S232" s="312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12" t="s">
        <v>4417</v>
      </c>
      <c r="Y232" s="312" t="s">
        <v>5786</v>
      </c>
      <c r="Z232" s="312" t="s">
        <v>4555</v>
      </c>
      <c r="AA232" s="18">
        <v>10</v>
      </c>
      <c r="AB232" s="227">
        <v>0</v>
      </c>
      <c r="AC232" s="14">
        <v>0</v>
      </c>
      <c r="AD232" s="31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1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6"/>
        <v>24.850000000000023</v>
      </c>
      <c r="AV232" s="23">
        <f t="shared" si="127"/>
        <v>24.850000000000023</v>
      </c>
      <c r="AW232" s="310" t="s">
        <v>5801</v>
      </c>
      <c r="AX232" s="312" t="s">
        <v>4559</v>
      </c>
      <c r="AY232" s="21">
        <f t="shared" si="134"/>
        <v>33.333333333333336</v>
      </c>
      <c r="AZ232" s="313">
        <v>24</v>
      </c>
      <c r="BA232" s="313">
        <f t="shared" si="129"/>
        <v>353</v>
      </c>
      <c r="BB232" s="313">
        <v>80</v>
      </c>
      <c r="BC232" s="313">
        <f t="shared" si="132"/>
        <v>80</v>
      </c>
      <c r="BD232" s="23">
        <v>90</v>
      </c>
      <c r="BE232" s="313">
        <v>90</v>
      </c>
      <c r="BF232" s="313">
        <f t="shared" si="130"/>
        <v>328</v>
      </c>
      <c r="BG232" s="313" t="s">
        <v>6326</v>
      </c>
      <c r="BH232" s="313" t="s">
        <v>6196</v>
      </c>
      <c r="BI232" s="313" t="s">
        <v>4462</v>
      </c>
      <c r="BJ232" s="313">
        <v>2</v>
      </c>
      <c r="BK232" s="313">
        <v>6</v>
      </c>
      <c r="BL232" s="310">
        <v>120</v>
      </c>
      <c r="BM232" s="313">
        <v>1100</v>
      </c>
      <c r="BN232" s="313" t="s">
        <v>6180</v>
      </c>
      <c r="BO232" s="313">
        <v>0.9</v>
      </c>
      <c r="BP232" s="313">
        <v>105</v>
      </c>
      <c r="BQ232" s="313">
        <v>1137</v>
      </c>
      <c r="BR232" s="313">
        <v>46</v>
      </c>
      <c r="BS232" s="313" t="s">
        <v>4587</v>
      </c>
      <c r="BT232" s="310" t="s">
        <v>5850</v>
      </c>
      <c r="BU232" s="313">
        <v>7</v>
      </c>
      <c r="BV232" s="313">
        <v>1</v>
      </c>
      <c r="BW232" s="313">
        <v>19</v>
      </c>
      <c r="BX232" s="313">
        <v>100</v>
      </c>
      <c r="BY232" s="313">
        <v>75</v>
      </c>
      <c r="BZ232" s="14">
        <v>225</v>
      </c>
      <c r="CA232" s="313" t="s">
        <v>4570</v>
      </c>
      <c r="CB232" s="312" t="s">
        <v>4577</v>
      </c>
      <c r="CC232" s="21">
        <f>142*BM165/1000</f>
        <v>170.4</v>
      </c>
      <c r="CD232" s="21">
        <f>4*PI()*16^2/4</f>
        <v>804.24771931898704</v>
      </c>
      <c r="CE232" s="312">
        <v>25</v>
      </c>
      <c r="CF232" s="118">
        <v>0.01</v>
      </c>
      <c r="CG232" s="313" t="s">
        <v>6076</v>
      </c>
      <c r="CH232" s="313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13" t="s">
        <v>6076</v>
      </c>
      <c r="CN232" s="313">
        <v>275</v>
      </c>
      <c r="CO232" s="23">
        <f>(385+351+389+345)/4</f>
        <v>367.5</v>
      </c>
      <c r="CP232" s="313">
        <v>410</v>
      </c>
      <c r="CQ232" s="23">
        <v>509.25</v>
      </c>
      <c r="CR232" s="138">
        <f>(202+207+200+206)*1000/4</f>
        <v>203750</v>
      </c>
      <c r="CS232" s="313" t="s">
        <v>6076</v>
      </c>
      <c r="CT232" s="85">
        <v>275</v>
      </c>
      <c r="CU232" s="85">
        <v>305</v>
      </c>
      <c r="CV232" s="313">
        <v>410</v>
      </c>
      <c r="CW232" s="313">
        <v>483</v>
      </c>
      <c r="CX232" s="138">
        <v>215000</v>
      </c>
      <c r="CY232" s="310" t="s">
        <v>5790</v>
      </c>
      <c r="CZ232" s="97">
        <v>47.95</v>
      </c>
      <c r="DA232" s="97">
        <v>3.5</v>
      </c>
      <c r="DB232" s="65">
        <v>33000</v>
      </c>
      <c r="DC232" s="310">
        <v>504</v>
      </c>
      <c r="DD232" s="97">
        <v>611</v>
      </c>
      <c r="DE232" s="138">
        <v>200000</v>
      </c>
      <c r="DF232" s="299">
        <v>280</v>
      </c>
      <c r="DG232" s="313">
        <v>8.8000000000000007</v>
      </c>
      <c r="DH232" s="313">
        <v>640</v>
      </c>
      <c r="DI232" s="34">
        <v>730</v>
      </c>
      <c r="DJ232" s="313">
        <v>800</v>
      </c>
      <c r="DK232" s="34">
        <v>940</v>
      </c>
      <c r="DL232" s="75">
        <v>200000</v>
      </c>
      <c r="DM232" s="41" t="s">
        <v>5826</v>
      </c>
      <c r="DN232" s="313" t="s">
        <v>4432</v>
      </c>
      <c r="DO232" s="302" t="s">
        <v>4562</v>
      </c>
    </row>
    <row r="233" spans="1:119" ht="15.6" customHeight="1">
      <c r="A233" s="309">
        <v>228</v>
      </c>
      <c r="B233" s="317">
        <v>32</v>
      </c>
      <c r="C233" s="317">
        <v>2001</v>
      </c>
      <c r="D233" s="317" t="s">
        <v>5970</v>
      </c>
      <c r="E233" s="317" t="s">
        <v>5978</v>
      </c>
      <c r="F233" s="317">
        <v>3</v>
      </c>
      <c r="G233" s="317" t="s">
        <v>5972</v>
      </c>
      <c r="H233" s="317" t="s">
        <v>5977</v>
      </c>
      <c r="I233" s="317" t="s">
        <v>4737</v>
      </c>
      <c r="J233" s="283" t="s">
        <v>5971</v>
      </c>
      <c r="K233" s="309" t="s">
        <v>4380</v>
      </c>
      <c r="L233" s="311" t="s">
        <v>5786</v>
      </c>
      <c r="M233" s="309" t="s">
        <v>4548</v>
      </c>
      <c r="N233" s="311" t="s">
        <v>4699</v>
      </c>
      <c r="O233" s="17" t="s">
        <v>4503</v>
      </c>
      <c r="P233" s="309" t="s">
        <v>4417</v>
      </c>
      <c r="Q233" s="311" t="s">
        <v>4417</v>
      </c>
      <c r="R233" s="311" t="s">
        <v>4417</v>
      </c>
      <c r="S233" s="311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311" t="s">
        <v>4417</v>
      </c>
      <c r="Y233" s="311" t="s">
        <v>5786</v>
      </c>
      <c r="Z233" s="311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30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3" t="s">
        <v>5801</v>
      </c>
      <c r="AX233" s="311" t="s">
        <v>5975</v>
      </c>
      <c r="AY233" s="16">
        <f>40/AZ233/0.25</f>
        <v>8</v>
      </c>
      <c r="AZ233" s="306">
        <v>20</v>
      </c>
      <c r="BA233" s="306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311" t="s">
        <v>6196</v>
      </c>
      <c r="BI233" s="311" t="s">
        <v>6196</v>
      </c>
      <c r="BJ233" s="311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6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6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311">
        <v>10.9</v>
      </c>
      <c r="DH233" s="311">
        <v>900</v>
      </c>
      <c r="DI233" s="30">
        <v>990</v>
      </c>
      <c r="DJ233" s="311">
        <v>1000</v>
      </c>
      <c r="DK233" s="30">
        <v>1100</v>
      </c>
      <c r="DL233" s="74">
        <v>200000</v>
      </c>
      <c r="DM233" s="239" t="s">
        <v>5976</v>
      </c>
      <c r="DN233" s="303" t="s">
        <v>4432</v>
      </c>
      <c r="DO233" s="300" t="s">
        <v>6008</v>
      </c>
    </row>
    <row r="234" spans="1:119">
      <c r="A234" s="314">
        <v>229</v>
      </c>
      <c r="B234" s="318"/>
      <c r="C234" s="318"/>
      <c r="D234" s="318"/>
      <c r="E234" s="318"/>
      <c r="F234" s="318"/>
      <c r="G234" s="318"/>
      <c r="H234" s="318"/>
      <c r="I234" s="318"/>
      <c r="J234" s="285" t="s">
        <v>5973</v>
      </c>
      <c r="K234" s="314" t="s">
        <v>4380</v>
      </c>
      <c r="L234" s="312" t="s">
        <v>5786</v>
      </c>
      <c r="M234" s="314" t="s">
        <v>4548</v>
      </c>
      <c r="N234" s="312" t="s">
        <v>4699</v>
      </c>
      <c r="O234" s="18" t="s">
        <v>4503</v>
      </c>
      <c r="P234" s="314" t="s">
        <v>4417</v>
      </c>
      <c r="Q234" s="312" t="s">
        <v>4417</v>
      </c>
      <c r="R234" s="312" t="s">
        <v>4417</v>
      </c>
      <c r="S234" s="312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12" t="s">
        <v>4417</v>
      </c>
      <c r="Y234" s="312" t="s">
        <v>5786</v>
      </c>
      <c r="Z234" s="312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314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4" t="s">
        <v>5801</v>
      </c>
      <c r="AX234" s="312" t="s">
        <v>5975</v>
      </c>
      <c r="AY234" s="307">
        <f t="shared" ref="AY234:AY235" si="135">40/AZ234/0.25</f>
        <v>8</v>
      </c>
      <c r="AZ234" s="307">
        <v>20</v>
      </c>
      <c r="BA234" s="307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12" t="s">
        <v>6196</v>
      </c>
      <c r="BI234" s="312" t="s">
        <v>6196</v>
      </c>
      <c r="BJ234" s="312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7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7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7">
        <v>10.9</v>
      </c>
      <c r="DH234" s="307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304" t="s">
        <v>4432</v>
      </c>
      <c r="DO234" s="301" t="s">
        <v>6008</v>
      </c>
    </row>
    <row r="235" spans="1:119" ht="16.2" thickBot="1">
      <c r="A235" s="310">
        <v>230</v>
      </c>
      <c r="B235" s="319"/>
      <c r="C235" s="319"/>
      <c r="D235" s="319"/>
      <c r="E235" s="319"/>
      <c r="F235" s="319"/>
      <c r="G235" s="319"/>
      <c r="H235" s="319"/>
      <c r="I235" s="319"/>
      <c r="J235" s="284" t="s">
        <v>5974</v>
      </c>
      <c r="K235" s="310" t="s">
        <v>4380</v>
      </c>
      <c r="L235" s="313" t="s">
        <v>5786</v>
      </c>
      <c r="M235" s="310" t="s">
        <v>4548</v>
      </c>
      <c r="N235" s="308" t="s">
        <v>4699</v>
      </c>
      <c r="O235" s="14" t="s">
        <v>4503</v>
      </c>
      <c r="P235" s="310" t="s">
        <v>4417</v>
      </c>
      <c r="Q235" s="313" t="s">
        <v>4417</v>
      </c>
      <c r="R235" s="313" t="s">
        <v>4417</v>
      </c>
      <c r="S235" s="313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13" t="s">
        <v>4417</v>
      </c>
      <c r="Y235" s="313" t="s">
        <v>5786</v>
      </c>
      <c r="Z235" s="313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31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5" t="s">
        <v>5801</v>
      </c>
      <c r="AX235" s="313" t="s">
        <v>5975</v>
      </c>
      <c r="AY235" s="313">
        <f t="shared" si="135"/>
        <v>8</v>
      </c>
      <c r="AZ235" s="308">
        <v>20</v>
      </c>
      <c r="BA235" s="308">
        <f t="shared" ref="BA235" si="136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13" t="s">
        <v>6196</v>
      </c>
      <c r="BI235" s="313" t="s">
        <v>6196</v>
      </c>
      <c r="BJ235" s="313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8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8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13">
        <v>10.9</v>
      </c>
      <c r="DH235" s="313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305" t="s">
        <v>4432</v>
      </c>
      <c r="DO235" s="302" t="s">
        <v>6008</v>
      </c>
    </row>
    <row r="236" spans="1:119">
      <c r="A236" s="309">
        <v>231</v>
      </c>
      <c r="B236" s="317">
        <v>33</v>
      </c>
      <c r="C236" s="317">
        <v>2002</v>
      </c>
      <c r="D236" s="320" t="s">
        <v>4674</v>
      </c>
      <c r="E236" s="323" t="s">
        <v>4866</v>
      </c>
      <c r="F236" s="317">
        <v>16</v>
      </c>
      <c r="G236" s="326" t="s">
        <v>5910</v>
      </c>
      <c r="H236" s="326" t="s">
        <v>5909</v>
      </c>
      <c r="I236" s="326" t="s">
        <v>6231</v>
      </c>
      <c r="J236" s="283" t="s">
        <v>5932</v>
      </c>
      <c r="K236" s="309" t="s">
        <v>6333</v>
      </c>
      <c r="L236" s="311" t="s">
        <v>6051</v>
      </c>
      <c r="M236" s="309" t="s">
        <v>4505</v>
      </c>
      <c r="N236" s="311" t="s">
        <v>4699</v>
      </c>
      <c r="O236" s="17" t="s">
        <v>4503</v>
      </c>
      <c r="P236" s="311" t="s">
        <v>6325</v>
      </c>
      <c r="Q236" s="311" t="s">
        <v>4417</v>
      </c>
      <c r="R236" s="311" t="s">
        <v>4417</v>
      </c>
      <c r="S236" s="311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311" t="s">
        <v>4417</v>
      </c>
      <c r="Y236" s="311" t="s">
        <v>5786</v>
      </c>
      <c r="Z236" s="311" t="s">
        <v>4555</v>
      </c>
      <c r="AA236" s="17">
        <v>8</v>
      </c>
      <c r="AB236" s="222">
        <v>0</v>
      </c>
      <c r="AC236" s="18">
        <v>0</v>
      </c>
      <c r="AD236" s="309" t="s">
        <v>6341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309" t="s">
        <v>6342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6"/>
        <v>10.5</v>
      </c>
      <c r="AV236" s="16">
        <f t="shared" si="127"/>
        <v>10.5</v>
      </c>
      <c r="AW236" s="309" t="s">
        <v>5801</v>
      </c>
      <c r="AX236" s="312" t="s">
        <v>4712</v>
      </c>
      <c r="AY236" s="1">
        <f xml:space="preserve"> 50/AZ236/0.25</f>
        <v>10</v>
      </c>
      <c r="AZ236" s="311">
        <v>20</v>
      </c>
      <c r="BA236" s="311">
        <f t="shared" si="129"/>
        <v>245</v>
      </c>
      <c r="BB236" s="16">
        <f>60+AU236</f>
        <v>70.5</v>
      </c>
      <c r="BC236" s="16">
        <f t="shared" si="132"/>
        <v>70.5</v>
      </c>
      <c r="BD236" s="16">
        <v>0</v>
      </c>
      <c r="BE236" s="16">
        <v>90</v>
      </c>
      <c r="BF236" s="16">
        <f t="shared" si="130"/>
        <v>134</v>
      </c>
      <c r="BG236" s="22" t="s">
        <v>6326</v>
      </c>
      <c r="BH236" s="311" t="s">
        <v>6196</v>
      </c>
      <c r="BI236" s="311" t="s">
        <v>6196</v>
      </c>
      <c r="BJ236" s="311">
        <v>2</v>
      </c>
      <c r="BK236" s="311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311">
        <v>8.8000000000000007</v>
      </c>
      <c r="DH236" s="311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309" t="s">
        <v>4432</v>
      </c>
      <c r="DO236" s="300" t="s">
        <v>4562</v>
      </c>
    </row>
    <row r="237" spans="1:119">
      <c r="A237" s="314">
        <v>232</v>
      </c>
      <c r="B237" s="318"/>
      <c r="C237" s="318"/>
      <c r="D237" s="321"/>
      <c r="E237" s="324"/>
      <c r="F237" s="318"/>
      <c r="G237" s="327"/>
      <c r="H237" s="327"/>
      <c r="I237" s="327"/>
      <c r="J237" s="285" t="s">
        <v>5933</v>
      </c>
      <c r="K237" s="314" t="s">
        <v>6333</v>
      </c>
      <c r="L237" s="312" t="s">
        <v>6051</v>
      </c>
      <c r="M237" s="314" t="s">
        <v>4505</v>
      </c>
      <c r="N237" s="312" t="s">
        <v>4699</v>
      </c>
      <c r="O237" s="18" t="s">
        <v>4503</v>
      </c>
      <c r="P237" s="312" t="s">
        <v>6325</v>
      </c>
      <c r="Q237" s="312" t="s">
        <v>4417</v>
      </c>
      <c r="R237" s="312" t="s">
        <v>4417</v>
      </c>
      <c r="S237" s="312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12" t="s">
        <v>4417</v>
      </c>
      <c r="Y237" s="312" t="s">
        <v>5786</v>
      </c>
      <c r="Z237" s="312" t="s">
        <v>4555</v>
      </c>
      <c r="AA237" s="18">
        <v>8</v>
      </c>
      <c r="AB237" s="222">
        <v>0</v>
      </c>
      <c r="AC237" s="18">
        <v>0</v>
      </c>
      <c r="AD237" s="314" t="s">
        <v>6341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14" t="s">
        <v>6342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6"/>
        <v>10.5</v>
      </c>
      <c r="AV237" s="21">
        <f t="shared" si="127"/>
        <v>10.5</v>
      </c>
      <c r="AW237" s="314" t="s">
        <v>5801</v>
      </c>
      <c r="AX237" s="312" t="s">
        <v>4712</v>
      </c>
      <c r="AY237" s="312">
        <f t="shared" ref="AY237:AY249" si="137" xml:space="preserve"> 50/AZ237/0.25</f>
        <v>10</v>
      </c>
      <c r="AZ237" s="312">
        <v>20</v>
      </c>
      <c r="BA237" s="312">
        <f t="shared" si="129"/>
        <v>245</v>
      </c>
      <c r="BB237" s="21">
        <f t="shared" ref="BB237:BB251" si="138">60+AU237</f>
        <v>70.5</v>
      </c>
      <c r="BC237" s="21">
        <f t="shared" si="132"/>
        <v>70.5</v>
      </c>
      <c r="BD237" s="21">
        <v>0</v>
      </c>
      <c r="BE237" s="21">
        <v>90</v>
      </c>
      <c r="BF237" s="21">
        <f t="shared" si="130"/>
        <v>134</v>
      </c>
      <c r="BG237" s="15" t="s">
        <v>6326</v>
      </c>
      <c r="BH237" s="312" t="s">
        <v>6196</v>
      </c>
      <c r="BI237" s="312" t="s">
        <v>6196</v>
      </c>
      <c r="BJ237" s="312">
        <v>2</v>
      </c>
      <c r="BK237" s="312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12">
        <v>8.8000000000000007</v>
      </c>
      <c r="DH237" s="312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314" t="s">
        <v>4432</v>
      </c>
      <c r="DO237" s="301" t="s">
        <v>4562</v>
      </c>
    </row>
    <row r="238" spans="1:119">
      <c r="A238" s="314">
        <v>233</v>
      </c>
      <c r="B238" s="318"/>
      <c r="C238" s="318"/>
      <c r="D238" s="321"/>
      <c r="E238" s="324"/>
      <c r="F238" s="318"/>
      <c r="G238" s="327"/>
      <c r="H238" s="327"/>
      <c r="I238" s="327"/>
      <c r="J238" s="285" t="s">
        <v>5934</v>
      </c>
      <c r="K238" s="314" t="s">
        <v>6328</v>
      </c>
      <c r="L238" s="312" t="s">
        <v>5786</v>
      </c>
      <c r="M238" s="314" t="s">
        <v>4505</v>
      </c>
      <c r="N238" s="312" t="s">
        <v>4699</v>
      </c>
      <c r="O238" s="18" t="s">
        <v>4503</v>
      </c>
      <c r="P238" s="312" t="s">
        <v>6325</v>
      </c>
      <c r="Q238" s="312" t="s">
        <v>4417</v>
      </c>
      <c r="R238" s="312" t="s">
        <v>4417</v>
      </c>
      <c r="S238" s="312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12" t="s">
        <v>4417</v>
      </c>
      <c r="Y238" s="312" t="s">
        <v>5786</v>
      </c>
      <c r="Z238" s="312" t="s">
        <v>4555</v>
      </c>
      <c r="AA238" s="18">
        <v>8</v>
      </c>
      <c r="AB238" s="222">
        <v>0</v>
      </c>
      <c r="AC238" s="18">
        <v>0</v>
      </c>
      <c r="AD238" s="314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14" t="s">
        <v>6343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6"/>
        <v>9.5</v>
      </c>
      <c r="AV238" s="21">
        <f t="shared" si="127"/>
        <v>9.5</v>
      </c>
      <c r="AW238" s="314" t="s">
        <v>5801</v>
      </c>
      <c r="AX238" s="312" t="s">
        <v>4712</v>
      </c>
      <c r="AY238" s="312">
        <f t="shared" si="137"/>
        <v>10</v>
      </c>
      <c r="AZ238" s="312">
        <v>20</v>
      </c>
      <c r="BA238" s="312">
        <f t="shared" si="129"/>
        <v>245</v>
      </c>
      <c r="BB238" s="21">
        <f t="shared" si="138"/>
        <v>69.5</v>
      </c>
      <c r="BC238" s="21">
        <f t="shared" si="132"/>
        <v>69.5</v>
      </c>
      <c r="BD238" s="21">
        <v>0</v>
      </c>
      <c r="BE238" s="21">
        <v>90</v>
      </c>
      <c r="BF238" s="21">
        <f t="shared" si="130"/>
        <v>136</v>
      </c>
      <c r="BG238" s="15" t="s">
        <v>6326</v>
      </c>
      <c r="BH238" s="312" t="s">
        <v>6196</v>
      </c>
      <c r="BI238" s="312" t="s">
        <v>6196</v>
      </c>
      <c r="BJ238" s="312">
        <v>2</v>
      </c>
      <c r="BK238" s="312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12">
        <v>8.8000000000000007</v>
      </c>
      <c r="DH238" s="312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314" t="s">
        <v>4432</v>
      </c>
      <c r="DO238" s="301" t="s">
        <v>4562</v>
      </c>
    </row>
    <row r="239" spans="1:119">
      <c r="A239" s="314">
        <v>234</v>
      </c>
      <c r="B239" s="318"/>
      <c r="C239" s="318"/>
      <c r="D239" s="321"/>
      <c r="E239" s="324"/>
      <c r="F239" s="318"/>
      <c r="G239" s="327"/>
      <c r="H239" s="327"/>
      <c r="I239" s="327"/>
      <c r="J239" s="285" t="s">
        <v>5935</v>
      </c>
      <c r="K239" s="314" t="s">
        <v>6333</v>
      </c>
      <c r="L239" s="312" t="s">
        <v>6051</v>
      </c>
      <c r="M239" s="314" t="s">
        <v>4505</v>
      </c>
      <c r="N239" s="312" t="s">
        <v>4699</v>
      </c>
      <c r="O239" s="18" t="s">
        <v>4503</v>
      </c>
      <c r="P239" s="312" t="s">
        <v>6325</v>
      </c>
      <c r="Q239" s="312" t="s">
        <v>4417</v>
      </c>
      <c r="R239" s="312" t="s">
        <v>4417</v>
      </c>
      <c r="S239" s="312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12" t="s">
        <v>4417</v>
      </c>
      <c r="Y239" s="312" t="s">
        <v>5786</v>
      </c>
      <c r="Z239" s="312" t="s">
        <v>4555</v>
      </c>
      <c r="AA239" s="18">
        <v>8</v>
      </c>
      <c r="AB239" s="222">
        <v>0</v>
      </c>
      <c r="AC239" s="18">
        <v>0</v>
      </c>
      <c r="AD239" s="314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14" t="s">
        <v>6343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6"/>
        <v>9.5</v>
      </c>
      <c r="AV239" s="21">
        <f t="shared" si="127"/>
        <v>9.5</v>
      </c>
      <c r="AW239" s="314" t="s">
        <v>5801</v>
      </c>
      <c r="AX239" s="312" t="s">
        <v>4712</v>
      </c>
      <c r="AY239" s="312">
        <f t="shared" si="137"/>
        <v>10</v>
      </c>
      <c r="AZ239" s="312">
        <v>20</v>
      </c>
      <c r="BA239" s="312">
        <f t="shared" si="129"/>
        <v>245</v>
      </c>
      <c r="BB239" s="21">
        <f t="shared" si="138"/>
        <v>69.5</v>
      </c>
      <c r="BC239" s="21">
        <f t="shared" si="132"/>
        <v>69.5</v>
      </c>
      <c r="BD239" s="21">
        <v>0</v>
      </c>
      <c r="BE239" s="21">
        <v>90</v>
      </c>
      <c r="BF239" s="21">
        <f t="shared" si="130"/>
        <v>136</v>
      </c>
      <c r="BG239" s="15" t="s">
        <v>6326</v>
      </c>
      <c r="BH239" s="312" t="s">
        <v>6196</v>
      </c>
      <c r="BI239" s="312" t="s">
        <v>6196</v>
      </c>
      <c r="BJ239" s="312">
        <v>2</v>
      </c>
      <c r="BK239" s="312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12">
        <v>8.8000000000000007</v>
      </c>
      <c r="DH239" s="312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314" t="s">
        <v>4432</v>
      </c>
      <c r="DO239" s="301" t="s">
        <v>4562</v>
      </c>
    </row>
    <row r="240" spans="1:119">
      <c r="A240" s="314">
        <v>235</v>
      </c>
      <c r="B240" s="318"/>
      <c r="C240" s="318"/>
      <c r="D240" s="321"/>
      <c r="E240" s="324"/>
      <c r="F240" s="318"/>
      <c r="G240" s="327"/>
      <c r="H240" s="327"/>
      <c r="I240" s="327"/>
      <c r="J240" s="285" t="s">
        <v>5936</v>
      </c>
      <c r="K240" s="314" t="s">
        <v>6333</v>
      </c>
      <c r="L240" s="312" t="s">
        <v>6051</v>
      </c>
      <c r="M240" s="314" t="s">
        <v>4505</v>
      </c>
      <c r="N240" s="312" t="s">
        <v>4699</v>
      </c>
      <c r="O240" s="18" t="s">
        <v>4503</v>
      </c>
      <c r="P240" s="312" t="s">
        <v>6325</v>
      </c>
      <c r="Q240" s="312" t="s">
        <v>4417</v>
      </c>
      <c r="R240" s="312" t="s">
        <v>4417</v>
      </c>
      <c r="S240" s="312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12" t="s">
        <v>4417</v>
      </c>
      <c r="Y240" s="312" t="s">
        <v>5786</v>
      </c>
      <c r="Z240" s="312" t="s">
        <v>4555</v>
      </c>
      <c r="AA240" s="18">
        <v>8</v>
      </c>
      <c r="AB240" s="222">
        <v>0</v>
      </c>
      <c r="AC240" s="18">
        <v>0</v>
      </c>
      <c r="AD240" s="314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14" t="s">
        <v>6343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6"/>
        <v>9.5</v>
      </c>
      <c r="AV240" s="21">
        <f t="shared" si="127"/>
        <v>9.5</v>
      </c>
      <c r="AW240" s="314" t="s">
        <v>5801</v>
      </c>
      <c r="AX240" s="312" t="s">
        <v>4712</v>
      </c>
      <c r="AY240" s="21">
        <f t="shared" si="137"/>
        <v>10</v>
      </c>
      <c r="AZ240" s="312">
        <v>20</v>
      </c>
      <c r="BA240" s="312">
        <f t="shared" si="129"/>
        <v>245</v>
      </c>
      <c r="BB240" s="21">
        <f t="shared" si="138"/>
        <v>69.5</v>
      </c>
      <c r="BC240" s="21">
        <f t="shared" si="132"/>
        <v>69.5</v>
      </c>
      <c r="BD240" s="21">
        <v>0</v>
      </c>
      <c r="BE240" s="21">
        <v>90</v>
      </c>
      <c r="BF240" s="21">
        <f t="shared" si="130"/>
        <v>136</v>
      </c>
      <c r="BG240" s="15" t="s">
        <v>6326</v>
      </c>
      <c r="BH240" s="312" t="s">
        <v>6196</v>
      </c>
      <c r="BI240" s="312" t="s">
        <v>6196</v>
      </c>
      <c r="BJ240" s="312">
        <v>2</v>
      </c>
      <c r="BK240" s="312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12">
        <v>10.9</v>
      </c>
      <c r="DH240" s="312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314" t="s">
        <v>4432</v>
      </c>
      <c r="DO240" s="301" t="s">
        <v>4562</v>
      </c>
    </row>
    <row r="241" spans="1:119">
      <c r="A241" s="314">
        <v>236</v>
      </c>
      <c r="B241" s="318"/>
      <c r="C241" s="318"/>
      <c r="D241" s="321"/>
      <c r="E241" s="324"/>
      <c r="F241" s="318"/>
      <c r="G241" s="327"/>
      <c r="H241" s="327"/>
      <c r="I241" s="327"/>
      <c r="J241" s="285" t="s">
        <v>5937</v>
      </c>
      <c r="K241" s="314" t="s">
        <v>6328</v>
      </c>
      <c r="L241" s="312" t="s">
        <v>5786</v>
      </c>
      <c r="M241" s="314" t="s">
        <v>4505</v>
      </c>
      <c r="N241" s="312" t="s">
        <v>4699</v>
      </c>
      <c r="O241" s="18" t="s">
        <v>4503</v>
      </c>
      <c r="P241" s="312" t="s">
        <v>6325</v>
      </c>
      <c r="Q241" s="312" t="s">
        <v>4417</v>
      </c>
      <c r="R241" s="312" t="s">
        <v>4417</v>
      </c>
      <c r="S241" s="312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12" t="s">
        <v>4417</v>
      </c>
      <c r="Y241" s="312" t="s">
        <v>5786</v>
      </c>
      <c r="Z241" s="312" t="s">
        <v>4555</v>
      </c>
      <c r="AA241" s="18">
        <v>8</v>
      </c>
      <c r="AB241" s="222">
        <v>0</v>
      </c>
      <c r="AC241" s="18">
        <v>0</v>
      </c>
      <c r="AD241" s="314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14" t="s">
        <v>6343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6"/>
        <v>9.5</v>
      </c>
      <c r="AV241" s="21">
        <f t="shared" si="127"/>
        <v>9.5</v>
      </c>
      <c r="AW241" s="314" t="s">
        <v>5801</v>
      </c>
      <c r="AX241" s="312" t="s">
        <v>4712</v>
      </c>
      <c r="AY241" s="21">
        <f t="shared" si="137"/>
        <v>12.5</v>
      </c>
      <c r="AZ241" s="312">
        <v>16</v>
      </c>
      <c r="BA241" s="312">
        <f t="shared" si="129"/>
        <v>157</v>
      </c>
      <c r="BB241" s="21">
        <f t="shared" si="138"/>
        <v>69.5</v>
      </c>
      <c r="BC241" s="21">
        <f t="shared" si="132"/>
        <v>69.5</v>
      </c>
      <c r="BD241" s="21">
        <v>0</v>
      </c>
      <c r="BE241" s="21">
        <v>90</v>
      </c>
      <c r="BF241" s="21">
        <f t="shared" si="130"/>
        <v>136</v>
      </c>
      <c r="BG241" s="15" t="s">
        <v>6326</v>
      </c>
      <c r="BH241" s="312" t="s">
        <v>6196</v>
      </c>
      <c r="BI241" s="312" t="s">
        <v>6196</v>
      </c>
      <c r="BJ241" s="312">
        <v>2</v>
      </c>
      <c r="BK241" s="312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12">
        <v>8.8000000000000007</v>
      </c>
      <c r="DH241" s="312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314" t="s">
        <v>4432</v>
      </c>
      <c r="DO241" s="301" t="s">
        <v>4562</v>
      </c>
    </row>
    <row r="242" spans="1:119">
      <c r="A242" s="314">
        <v>237</v>
      </c>
      <c r="B242" s="318"/>
      <c r="C242" s="318"/>
      <c r="D242" s="321"/>
      <c r="E242" s="324"/>
      <c r="F242" s="318"/>
      <c r="G242" s="327"/>
      <c r="H242" s="327"/>
      <c r="I242" s="327"/>
      <c r="J242" s="285" t="s">
        <v>5938</v>
      </c>
      <c r="K242" s="314" t="s">
        <v>6333</v>
      </c>
      <c r="L242" s="312" t="s">
        <v>6051</v>
      </c>
      <c r="M242" s="314" t="s">
        <v>4505</v>
      </c>
      <c r="N242" s="312" t="s">
        <v>4699</v>
      </c>
      <c r="O242" s="18" t="s">
        <v>4503</v>
      </c>
      <c r="P242" s="312" t="s">
        <v>6325</v>
      </c>
      <c r="Q242" s="312" t="s">
        <v>4417</v>
      </c>
      <c r="R242" s="312" t="s">
        <v>4417</v>
      </c>
      <c r="S242" s="312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12" t="s">
        <v>4417</v>
      </c>
      <c r="Y242" s="312" t="s">
        <v>5786</v>
      </c>
      <c r="Z242" s="312" t="s">
        <v>4555</v>
      </c>
      <c r="AA242" s="18">
        <v>8</v>
      </c>
      <c r="AB242" s="222">
        <v>0</v>
      </c>
      <c r="AC242" s="18">
        <v>0</v>
      </c>
      <c r="AD242" s="314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14" t="s">
        <v>6343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6"/>
        <v>9.5</v>
      </c>
      <c r="AV242" s="21">
        <f t="shared" si="127"/>
        <v>9.5</v>
      </c>
      <c r="AW242" s="314" t="s">
        <v>5801</v>
      </c>
      <c r="AX242" s="312" t="s">
        <v>4714</v>
      </c>
      <c r="AY242" s="21">
        <f xml:space="preserve"> 100/AZ242/0.25</f>
        <v>25</v>
      </c>
      <c r="AZ242" s="312">
        <v>16</v>
      </c>
      <c r="BA242" s="312">
        <f t="shared" si="129"/>
        <v>157</v>
      </c>
      <c r="BB242" s="21">
        <f t="shared" si="138"/>
        <v>69.5</v>
      </c>
      <c r="BC242" s="21">
        <f t="shared" si="132"/>
        <v>69.5</v>
      </c>
      <c r="BD242" s="21">
        <v>0</v>
      </c>
      <c r="BE242" s="21">
        <v>90</v>
      </c>
      <c r="BF242" s="21">
        <f t="shared" si="130"/>
        <v>136</v>
      </c>
      <c r="BG242" s="15" t="s">
        <v>6326</v>
      </c>
      <c r="BH242" s="312" t="s">
        <v>6196</v>
      </c>
      <c r="BI242" s="312" t="s">
        <v>6196</v>
      </c>
      <c r="BJ242" s="312">
        <v>2</v>
      </c>
      <c r="BK242" s="312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12">
        <v>8.8000000000000007</v>
      </c>
      <c r="DH242" s="312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314" t="s">
        <v>4432</v>
      </c>
      <c r="DO242" s="301" t="s">
        <v>4562</v>
      </c>
    </row>
    <row r="243" spans="1:119">
      <c r="A243" s="314">
        <v>238</v>
      </c>
      <c r="B243" s="318"/>
      <c r="C243" s="318"/>
      <c r="D243" s="321"/>
      <c r="E243" s="324"/>
      <c r="F243" s="318"/>
      <c r="G243" s="327"/>
      <c r="H243" s="327"/>
      <c r="I243" s="327"/>
      <c r="J243" s="285" t="s">
        <v>5939</v>
      </c>
      <c r="K243" s="314" t="s">
        <v>6333</v>
      </c>
      <c r="L243" s="312" t="s">
        <v>6051</v>
      </c>
      <c r="M243" s="314" t="s">
        <v>4505</v>
      </c>
      <c r="N243" s="312" t="s">
        <v>4699</v>
      </c>
      <c r="O243" s="18" t="s">
        <v>4503</v>
      </c>
      <c r="P243" s="312" t="s">
        <v>6325</v>
      </c>
      <c r="Q243" s="312" t="s">
        <v>4417</v>
      </c>
      <c r="R243" s="312" t="s">
        <v>4417</v>
      </c>
      <c r="S243" s="312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12" t="s">
        <v>4417</v>
      </c>
      <c r="Y243" s="312" t="s">
        <v>5786</v>
      </c>
      <c r="Z243" s="312" t="s">
        <v>4555</v>
      </c>
      <c r="AA243" s="18">
        <v>8</v>
      </c>
      <c r="AB243" s="222">
        <v>0</v>
      </c>
      <c r="AC243" s="18">
        <v>0</v>
      </c>
      <c r="AD243" s="314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14" t="s">
        <v>6343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6"/>
        <v>9.5</v>
      </c>
      <c r="AV243" s="21">
        <f t="shared" si="127"/>
        <v>9.5</v>
      </c>
      <c r="AW243" s="314" t="s">
        <v>5801</v>
      </c>
      <c r="AX243" s="312" t="s">
        <v>4712</v>
      </c>
      <c r="AY243" s="21">
        <f t="shared" si="137"/>
        <v>12.5</v>
      </c>
      <c r="AZ243" s="312">
        <v>16</v>
      </c>
      <c r="BA243" s="312">
        <f t="shared" si="129"/>
        <v>157</v>
      </c>
      <c r="BB243" s="21">
        <f t="shared" si="138"/>
        <v>69.5</v>
      </c>
      <c r="BC243" s="21">
        <f t="shared" si="132"/>
        <v>69.5</v>
      </c>
      <c r="BD243" s="21">
        <v>0</v>
      </c>
      <c r="BE243" s="21">
        <v>90</v>
      </c>
      <c r="BF243" s="21">
        <f t="shared" si="130"/>
        <v>136</v>
      </c>
      <c r="BG243" s="15" t="s">
        <v>6326</v>
      </c>
      <c r="BH243" s="312" t="s">
        <v>6196</v>
      </c>
      <c r="BI243" s="312" t="s">
        <v>6196</v>
      </c>
      <c r="BJ243" s="312">
        <v>2</v>
      </c>
      <c r="BK243" s="312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12">
        <v>8.8000000000000007</v>
      </c>
      <c r="DH243" s="312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314" t="s">
        <v>4432</v>
      </c>
      <c r="DO243" s="301" t="s">
        <v>4562</v>
      </c>
    </row>
    <row r="244" spans="1:119">
      <c r="A244" s="314">
        <v>239</v>
      </c>
      <c r="B244" s="318"/>
      <c r="C244" s="318"/>
      <c r="D244" s="321"/>
      <c r="E244" s="324"/>
      <c r="F244" s="318"/>
      <c r="G244" s="327"/>
      <c r="H244" s="327"/>
      <c r="I244" s="327"/>
      <c r="J244" s="285" t="s">
        <v>5940</v>
      </c>
      <c r="K244" s="314" t="s">
        <v>4531</v>
      </c>
      <c r="L244" s="312" t="s">
        <v>6313</v>
      </c>
      <c r="M244" s="314" t="s">
        <v>4505</v>
      </c>
      <c r="N244" s="312" t="s">
        <v>4699</v>
      </c>
      <c r="O244" s="18" t="s">
        <v>4503</v>
      </c>
      <c r="P244" s="312" t="s">
        <v>6325</v>
      </c>
      <c r="Q244" s="312" t="s">
        <v>4417</v>
      </c>
      <c r="R244" s="312" t="s">
        <v>4417</v>
      </c>
      <c r="S244" s="312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12" t="s">
        <v>4417</v>
      </c>
      <c r="Y244" s="312" t="s">
        <v>5786</v>
      </c>
      <c r="Z244" s="312" t="s">
        <v>4555</v>
      </c>
      <c r="AA244" s="18">
        <v>8</v>
      </c>
      <c r="AB244" s="222">
        <v>0</v>
      </c>
      <c r="AC244" s="18">
        <v>0</v>
      </c>
      <c r="AD244" s="314" t="s">
        <v>6341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14" t="s">
        <v>6343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6"/>
        <v>9.5</v>
      </c>
      <c r="AV244" s="21">
        <f t="shared" si="127"/>
        <v>9.5</v>
      </c>
      <c r="AW244" s="314" t="s">
        <v>5801</v>
      </c>
      <c r="AX244" s="312" t="s">
        <v>4712</v>
      </c>
      <c r="AY244" s="21">
        <f t="shared" si="137"/>
        <v>10</v>
      </c>
      <c r="AZ244" s="312">
        <v>20</v>
      </c>
      <c r="BA244" s="312">
        <f t="shared" si="129"/>
        <v>245</v>
      </c>
      <c r="BB244" s="21">
        <f t="shared" si="138"/>
        <v>69.5</v>
      </c>
      <c r="BC244" s="21">
        <f t="shared" si="132"/>
        <v>69.5</v>
      </c>
      <c r="BD244" s="21">
        <v>0</v>
      </c>
      <c r="BE244" s="21">
        <v>90</v>
      </c>
      <c r="BF244" s="21">
        <f t="shared" si="130"/>
        <v>136</v>
      </c>
      <c r="BG244" s="15" t="s">
        <v>6326</v>
      </c>
      <c r="BH244" s="312" t="s">
        <v>6196</v>
      </c>
      <c r="BI244" s="312" t="s">
        <v>6196</v>
      </c>
      <c r="BJ244" s="312">
        <v>2</v>
      </c>
      <c r="BK244" s="312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12">
        <v>8.8000000000000007</v>
      </c>
      <c r="DH244" s="312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314" t="s">
        <v>4432</v>
      </c>
      <c r="DO244" s="301" t="s">
        <v>4562</v>
      </c>
    </row>
    <row r="245" spans="1:119">
      <c r="A245" s="314">
        <v>240</v>
      </c>
      <c r="B245" s="318"/>
      <c r="C245" s="318"/>
      <c r="D245" s="321"/>
      <c r="E245" s="324"/>
      <c r="F245" s="318"/>
      <c r="G245" s="327"/>
      <c r="H245" s="327"/>
      <c r="I245" s="327"/>
      <c r="J245" s="285" t="s">
        <v>5941</v>
      </c>
      <c r="K245" s="314" t="s">
        <v>6333</v>
      </c>
      <c r="L245" s="312" t="s">
        <v>6051</v>
      </c>
      <c r="M245" s="314" t="s">
        <v>4505</v>
      </c>
      <c r="N245" s="312" t="s">
        <v>4699</v>
      </c>
      <c r="O245" s="18" t="s">
        <v>4503</v>
      </c>
      <c r="P245" s="312" t="s">
        <v>6325</v>
      </c>
      <c r="Q245" s="312" t="s">
        <v>4417</v>
      </c>
      <c r="R245" s="312" t="s">
        <v>4417</v>
      </c>
      <c r="S245" s="312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12" t="s">
        <v>4417</v>
      </c>
      <c r="Y245" s="312" t="s">
        <v>5786</v>
      </c>
      <c r="Z245" s="312" t="s">
        <v>4555</v>
      </c>
      <c r="AA245" s="18">
        <v>8</v>
      </c>
      <c r="AB245" s="222">
        <v>0</v>
      </c>
      <c r="AC245" s="18">
        <v>0</v>
      </c>
      <c r="AD245" s="314" t="s">
        <v>6341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14" t="s">
        <v>6343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6"/>
        <v>9.5</v>
      </c>
      <c r="AV245" s="21">
        <f t="shared" si="127"/>
        <v>9.5</v>
      </c>
      <c r="AW245" s="314" t="s">
        <v>5801</v>
      </c>
      <c r="AX245" s="312" t="s">
        <v>4712</v>
      </c>
      <c r="AY245" s="21">
        <f t="shared" si="137"/>
        <v>10</v>
      </c>
      <c r="AZ245" s="312">
        <v>20</v>
      </c>
      <c r="BA245" s="312">
        <f t="shared" si="129"/>
        <v>245</v>
      </c>
      <c r="BB245" s="21">
        <f t="shared" si="138"/>
        <v>69.5</v>
      </c>
      <c r="BC245" s="21">
        <f t="shared" si="132"/>
        <v>69.5</v>
      </c>
      <c r="BD245" s="21">
        <v>0</v>
      </c>
      <c r="BE245" s="21">
        <v>90</v>
      </c>
      <c r="BF245" s="21">
        <f t="shared" si="130"/>
        <v>136</v>
      </c>
      <c r="BG245" s="15" t="s">
        <v>6326</v>
      </c>
      <c r="BH245" s="312" t="s">
        <v>6196</v>
      </c>
      <c r="BI245" s="312" t="s">
        <v>6196</v>
      </c>
      <c r="BJ245" s="312">
        <v>2</v>
      </c>
      <c r="BK245" s="312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7">
        <v>430</v>
      </c>
      <c r="CW245" s="45">
        <f>(487.18+477.8)/2</f>
        <v>482.49</v>
      </c>
      <c r="CX245" s="315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12">
        <v>8.8000000000000007</v>
      </c>
      <c r="DH245" s="312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314" t="s">
        <v>4432</v>
      </c>
      <c r="DO245" s="301" t="s">
        <v>4562</v>
      </c>
    </row>
    <row r="246" spans="1:119">
      <c r="A246" s="314">
        <v>241</v>
      </c>
      <c r="B246" s="318"/>
      <c r="C246" s="318"/>
      <c r="D246" s="321"/>
      <c r="E246" s="324"/>
      <c r="F246" s="318"/>
      <c r="G246" s="327"/>
      <c r="H246" s="327"/>
      <c r="I246" s="327"/>
      <c r="J246" s="285" t="s">
        <v>5942</v>
      </c>
      <c r="K246" s="314" t="s">
        <v>6333</v>
      </c>
      <c r="L246" s="312" t="s">
        <v>6051</v>
      </c>
      <c r="M246" s="314" t="s">
        <v>4505</v>
      </c>
      <c r="N246" s="312" t="s">
        <v>4699</v>
      </c>
      <c r="O246" s="18" t="s">
        <v>4503</v>
      </c>
      <c r="P246" s="312" t="s">
        <v>6325</v>
      </c>
      <c r="Q246" s="312" t="s">
        <v>4417</v>
      </c>
      <c r="R246" s="312" t="s">
        <v>4417</v>
      </c>
      <c r="S246" s="312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12" t="s">
        <v>4417</v>
      </c>
      <c r="Y246" s="312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314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14" t="s">
        <v>6343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6"/>
        <v>9.5</v>
      </c>
      <c r="AV246" s="21">
        <f t="shared" si="127"/>
        <v>9.5</v>
      </c>
      <c r="AW246" s="314" t="s">
        <v>5801</v>
      </c>
      <c r="AX246" s="312" t="s">
        <v>4712</v>
      </c>
      <c r="AY246" s="312">
        <f t="shared" si="137"/>
        <v>10</v>
      </c>
      <c r="AZ246" s="312">
        <v>20</v>
      </c>
      <c r="BA246" s="312">
        <f t="shared" si="129"/>
        <v>245</v>
      </c>
      <c r="BB246" s="21">
        <f t="shared" si="138"/>
        <v>69.5</v>
      </c>
      <c r="BC246" s="21">
        <f t="shared" si="132"/>
        <v>69.5</v>
      </c>
      <c r="BD246" s="21">
        <v>0</v>
      </c>
      <c r="BE246" s="21">
        <v>90</v>
      </c>
      <c r="BF246" s="21">
        <f t="shared" si="130"/>
        <v>136</v>
      </c>
      <c r="BG246" s="15" t="s">
        <v>6326</v>
      </c>
      <c r="BH246" s="312" t="s">
        <v>6196</v>
      </c>
      <c r="BI246" s="312" t="s">
        <v>6196</v>
      </c>
      <c r="BJ246" s="312">
        <v>2</v>
      </c>
      <c r="BK246" s="312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316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12">
        <v>8.8000000000000007</v>
      </c>
      <c r="DH246" s="312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314" t="s">
        <v>4432</v>
      </c>
      <c r="DO246" s="301" t="s">
        <v>4562</v>
      </c>
    </row>
    <row r="247" spans="1:119">
      <c r="A247" s="314">
        <v>242</v>
      </c>
      <c r="B247" s="318"/>
      <c r="C247" s="318"/>
      <c r="D247" s="321"/>
      <c r="E247" s="324"/>
      <c r="F247" s="318"/>
      <c r="G247" s="327"/>
      <c r="H247" s="327"/>
      <c r="I247" s="327"/>
      <c r="J247" s="285" t="s">
        <v>5943</v>
      </c>
      <c r="K247" s="314" t="s">
        <v>6333</v>
      </c>
      <c r="L247" s="312" t="s">
        <v>6051</v>
      </c>
      <c r="M247" s="314" t="s">
        <v>4505</v>
      </c>
      <c r="N247" s="312" t="s">
        <v>4699</v>
      </c>
      <c r="O247" s="18" t="s">
        <v>4503</v>
      </c>
      <c r="P247" s="312" t="s">
        <v>6325</v>
      </c>
      <c r="Q247" s="312" t="s">
        <v>4417</v>
      </c>
      <c r="R247" s="312" t="s">
        <v>4417</v>
      </c>
      <c r="S247" s="312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12" t="s">
        <v>4417</v>
      </c>
      <c r="Y247" s="312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314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14" t="s">
        <v>6343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6"/>
        <v>9.5</v>
      </c>
      <c r="AV247" s="21">
        <f t="shared" si="127"/>
        <v>9.5</v>
      </c>
      <c r="AW247" s="314" t="s">
        <v>5801</v>
      </c>
      <c r="AX247" s="312" t="s">
        <v>4712</v>
      </c>
      <c r="AY247" s="312">
        <f t="shared" si="137"/>
        <v>10</v>
      </c>
      <c r="AZ247" s="312">
        <v>20</v>
      </c>
      <c r="BA247" s="312">
        <f t="shared" si="129"/>
        <v>245</v>
      </c>
      <c r="BB247" s="21">
        <f t="shared" si="138"/>
        <v>69.5</v>
      </c>
      <c r="BC247" s="21">
        <f t="shared" si="132"/>
        <v>69.5</v>
      </c>
      <c r="BD247" s="21">
        <v>0</v>
      </c>
      <c r="BE247" s="21">
        <v>90</v>
      </c>
      <c r="BF247" s="21">
        <f t="shared" si="130"/>
        <v>136</v>
      </c>
      <c r="BG247" s="15" t="s">
        <v>6326</v>
      </c>
      <c r="BH247" s="312" t="s">
        <v>6196</v>
      </c>
      <c r="BI247" s="312" t="s">
        <v>6196</v>
      </c>
      <c r="BJ247" s="312">
        <v>2</v>
      </c>
      <c r="BK247" s="312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315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12">
        <v>8.8000000000000007</v>
      </c>
      <c r="DH247" s="312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314" t="s">
        <v>4432</v>
      </c>
      <c r="DO247" s="301" t="s">
        <v>4562</v>
      </c>
    </row>
    <row r="248" spans="1:119" ht="15.6" customHeight="1">
      <c r="A248" s="314">
        <v>243</v>
      </c>
      <c r="B248" s="318"/>
      <c r="C248" s="318"/>
      <c r="D248" s="321"/>
      <c r="E248" s="324"/>
      <c r="F248" s="318"/>
      <c r="G248" s="327"/>
      <c r="H248" s="327"/>
      <c r="I248" s="327"/>
      <c r="J248" s="285" t="s">
        <v>5944</v>
      </c>
      <c r="K248" s="314" t="s">
        <v>4531</v>
      </c>
      <c r="L248" s="312" t="s">
        <v>6313</v>
      </c>
      <c r="M248" s="314" t="s">
        <v>4505</v>
      </c>
      <c r="N248" s="312" t="s">
        <v>4699</v>
      </c>
      <c r="O248" s="18" t="s">
        <v>4503</v>
      </c>
      <c r="P248" s="312" t="s">
        <v>6325</v>
      </c>
      <c r="Q248" s="312" t="s">
        <v>4417</v>
      </c>
      <c r="R248" s="312" t="s">
        <v>4417</v>
      </c>
      <c r="S248" s="312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12" t="s">
        <v>4417</v>
      </c>
      <c r="Y248" s="312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314" t="s">
        <v>6329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14" t="s">
        <v>6343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6"/>
        <v>9.5</v>
      </c>
      <c r="AV248" s="21">
        <f t="shared" si="127"/>
        <v>9.5</v>
      </c>
      <c r="AW248" s="314" t="s">
        <v>5801</v>
      </c>
      <c r="AX248" s="312" t="s">
        <v>4712</v>
      </c>
      <c r="AY248" s="312">
        <f t="shared" si="137"/>
        <v>10</v>
      </c>
      <c r="AZ248" s="312">
        <v>20</v>
      </c>
      <c r="BA248" s="312">
        <f t="shared" si="129"/>
        <v>245</v>
      </c>
      <c r="BB248" s="21">
        <f t="shared" si="138"/>
        <v>69.5</v>
      </c>
      <c r="BC248" s="21">
        <f t="shared" si="132"/>
        <v>69.5</v>
      </c>
      <c r="BD248" s="21">
        <v>0</v>
      </c>
      <c r="BE248" s="21">
        <v>90</v>
      </c>
      <c r="BF248" s="21">
        <f t="shared" si="130"/>
        <v>136</v>
      </c>
      <c r="BG248" s="15" t="s">
        <v>6326</v>
      </c>
      <c r="BH248" s="312" t="s">
        <v>6196</v>
      </c>
      <c r="BI248" s="312" t="s">
        <v>6196</v>
      </c>
      <c r="BJ248" s="312">
        <v>2</v>
      </c>
      <c r="BK248" s="312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315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12">
        <v>8.8000000000000007</v>
      </c>
      <c r="DH248" s="312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314" t="s">
        <v>4432</v>
      </c>
      <c r="DO248" s="301" t="s">
        <v>4562</v>
      </c>
    </row>
    <row r="249" spans="1:119" ht="15.6" customHeight="1">
      <c r="A249" s="314">
        <v>244</v>
      </c>
      <c r="B249" s="318"/>
      <c r="C249" s="318"/>
      <c r="D249" s="321"/>
      <c r="E249" s="324"/>
      <c r="F249" s="318"/>
      <c r="G249" s="327"/>
      <c r="H249" s="327"/>
      <c r="I249" s="327"/>
      <c r="J249" s="285" t="s">
        <v>5945</v>
      </c>
      <c r="K249" s="314" t="s">
        <v>6333</v>
      </c>
      <c r="L249" s="312" t="s">
        <v>6051</v>
      </c>
      <c r="M249" s="314" t="s">
        <v>4505</v>
      </c>
      <c r="N249" s="312" t="s">
        <v>4699</v>
      </c>
      <c r="O249" s="18" t="s">
        <v>4503</v>
      </c>
      <c r="P249" s="312" t="s">
        <v>6325</v>
      </c>
      <c r="Q249" s="312" t="s">
        <v>4417</v>
      </c>
      <c r="R249" s="312" t="s">
        <v>4417</v>
      </c>
      <c r="S249" s="312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12" t="s">
        <v>4417</v>
      </c>
      <c r="Y249" s="312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314" t="s">
        <v>6329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14" t="s">
        <v>6343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6"/>
        <v>9.5</v>
      </c>
      <c r="AV249" s="21">
        <f t="shared" si="127"/>
        <v>9.5</v>
      </c>
      <c r="AW249" s="314" t="s">
        <v>5801</v>
      </c>
      <c r="AX249" s="312" t="s">
        <v>4712</v>
      </c>
      <c r="AY249" s="312">
        <f t="shared" si="137"/>
        <v>10</v>
      </c>
      <c r="AZ249" s="312">
        <v>20</v>
      </c>
      <c r="BA249" s="312">
        <f t="shared" si="129"/>
        <v>245</v>
      </c>
      <c r="BB249" s="21">
        <f t="shared" si="138"/>
        <v>69.5</v>
      </c>
      <c r="BC249" s="21">
        <f t="shared" si="132"/>
        <v>69.5</v>
      </c>
      <c r="BD249" s="21">
        <v>0</v>
      </c>
      <c r="BE249" s="21">
        <v>90</v>
      </c>
      <c r="BF249" s="21">
        <f t="shared" si="130"/>
        <v>136</v>
      </c>
      <c r="BG249" s="15" t="s">
        <v>6326</v>
      </c>
      <c r="BH249" s="312" t="s">
        <v>6196</v>
      </c>
      <c r="BI249" s="312" t="s">
        <v>6196</v>
      </c>
      <c r="BJ249" s="312">
        <v>2</v>
      </c>
      <c r="BK249" s="312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315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12">
        <v>8.8000000000000007</v>
      </c>
      <c r="DH249" s="312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314" t="s">
        <v>4432</v>
      </c>
      <c r="DO249" s="301" t="s">
        <v>4562</v>
      </c>
    </row>
    <row r="250" spans="1:119">
      <c r="A250" s="314">
        <v>245</v>
      </c>
      <c r="B250" s="318"/>
      <c r="C250" s="318"/>
      <c r="D250" s="321"/>
      <c r="E250" s="324"/>
      <c r="F250" s="318"/>
      <c r="G250" s="327"/>
      <c r="H250" s="327"/>
      <c r="I250" s="327"/>
      <c r="J250" s="285" t="s">
        <v>5946</v>
      </c>
      <c r="K250" s="314" t="s">
        <v>4531</v>
      </c>
      <c r="L250" s="312" t="s">
        <v>6313</v>
      </c>
      <c r="M250" s="314" t="s">
        <v>4505</v>
      </c>
      <c r="N250" s="312" t="s">
        <v>4699</v>
      </c>
      <c r="O250" s="18" t="s">
        <v>4503</v>
      </c>
      <c r="P250" s="312" t="s">
        <v>6325</v>
      </c>
      <c r="Q250" s="312" t="s">
        <v>4417</v>
      </c>
      <c r="R250" s="312" t="s">
        <v>4417</v>
      </c>
      <c r="S250" s="312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12" t="s">
        <v>4417</v>
      </c>
      <c r="Y250" s="312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314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14" t="s">
        <v>6343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6"/>
        <v>9.5</v>
      </c>
      <c r="AV250" s="21">
        <f t="shared" si="127"/>
        <v>9.5</v>
      </c>
      <c r="AW250" s="314" t="s">
        <v>5801</v>
      </c>
      <c r="AX250" s="312" t="s">
        <v>4559</v>
      </c>
      <c r="AY250" s="312">
        <f xml:space="preserve"> 200/AZ250/0.25</f>
        <v>40</v>
      </c>
      <c r="AZ250" s="312">
        <v>20</v>
      </c>
      <c r="BA250" s="312">
        <f t="shared" si="129"/>
        <v>245</v>
      </c>
      <c r="BB250" s="21">
        <f t="shared" si="138"/>
        <v>69.5</v>
      </c>
      <c r="BC250" s="21">
        <f t="shared" si="132"/>
        <v>69.5</v>
      </c>
      <c r="BD250" s="21">
        <v>0</v>
      </c>
      <c r="BE250" s="21">
        <v>90</v>
      </c>
      <c r="BF250" s="21">
        <f t="shared" si="130"/>
        <v>136</v>
      </c>
      <c r="BG250" s="15" t="s">
        <v>6326</v>
      </c>
      <c r="BH250" s="312" t="s">
        <v>6196</v>
      </c>
      <c r="BI250" s="312" t="s">
        <v>6196</v>
      </c>
      <c r="BJ250" s="312">
        <v>2</v>
      </c>
      <c r="BK250" s="312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12">
        <v>10.9</v>
      </c>
      <c r="DH250" s="312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314" t="s">
        <v>4432</v>
      </c>
      <c r="DO250" s="301" t="s">
        <v>4562</v>
      </c>
    </row>
    <row r="251" spans="1:119" ht="16.2" thickBot="1">
      <c r="A251" s="314">
        <v>246</v>
      </c>
      <c r="B251" s="319"/>
      <c r="C251" s="319"/>
      <c r="D251" s="322"/>
      <c r="E251" s="325"/>
      <c r="F251" s="319"/>
      <c r="G251" s="328"/>
      <c r="H251" s="328"/>
      <c r="I251" s="328"/>
      <c r="J251" s="285" t="s">
        <v>5947</v>
      </c>
      <c r="K251" s="314" t="s">
        <v>6333</v>
      </c>
      <c r="L251" s="312" t="s">
        <v>6051</v>
      </c>
      <c r="M251" s="314" t="s">
        <v>4505</v>
      </c>
      <c r="N251" s="312" t="s">
        <v>4699</v>
      </c>
      <c r="O251" s="18" t="s">
        <v>4503</v>
      </c>
      <c r="P251" s="312" t="s">
        <v>6325</v>
      </c>
      <c r="Q251" s="312" t="s">
        <v>4417</v>
      </c>
      <c r="R251" s="312" t="s">
        <v>4417</v>
      </c>
      <c r="S251" s="312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12" t="s">
        <v>4417</v>
      </c>
      <c r="Y251" s="312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31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10" t="s">
        <v>6343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6"/>
        <v>9.5</v>
      </c>
      <c r="AV251" s="23">
        <f t="shared" si="127"/>
        <v>9.5</v>
      </c>
      <c r="AW251" s="310" t="s">
        <v>5801</v>
      </c>
      <c r="AX251" s="313" t="s">
        <v>4713</v>
      </c>
      <c r="AY251" s="313">
        <f xml:space="preserve"> 100/AZ251/0.25</f>
        <v>20</v>
      </c>
      <c r="AZ251" s="313">
        <v>20</v>
      </c>
      <c r="BA251" s="313">
        <f t="shared" si="129"/>
        <v>245</v>
      </c>
      <c r="BB251" s="23">
        <f t="shared" si="138"/>
        <v>69.5</v>
      </c>
      <c r="BC251" s="23">
        <f t="shared" si="132"/>
        <v>69.5</v>
      </c>
      <c r="BD251" s="23">
        <v>0</v>
      </c>
      <c r="BE251" s="23">
        <v>90</v>
      </c>
      <c r="BF251" s="23">
        <f t="shared" si="130"/>
        <v>136</v>
      </c>
      <c r="BG251" s="19" t="s">
        <v>6326</v>
      </c>
      <c r="BH251" s="313" t="s">
        <v>6196</v>
      </c>
      <c r="BI251" s="313" t="s">
        <v>6196</v>
      </c>
      <c r="BJ251" s="313">
        <v>2</v>
      </c>
      <c r="BK251" s="313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13">
        <v>10.9</v>
      </c>
      <c r="DH251" s="313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314" t="s">
        <v>4432</v>
      </c>
      <c r="DO251" s="301" t="s">
        <v>4562</v>
      </c>
    </row>
    <row r="252" spans="1:119">
      <c r="A252" s="309">
        <v>247</v>
      </c>
      <c r="B252" s="317">
        <v>34</v>
      </c>
      <c r="C252" s="317">
        <v>2003</v>
      </c>
      <c r="D252" s="329" t="s">
        <v>4796</v>
      </c>
      <c r="E252" s="329" t="s">
        <v>4847</v>
      </c>
      <c r="F252" s="317">
        <v>11</v>
      </c>
      <c r="G252" s="317" t="s">
        <v>5912</v>
      </c>
      <c r="H252" s="317" t="s">
        <v>5911</v>
      </c>
      <c r="I252" s="317" t="s">
        <v>6232</v>
      </c>
      <c r="J252" s="283" t="s">
        <v>4610</v>
      </c>
      <c r="K252" s="309" t="s">
        <v>4380</v>
      </c>
      <c r="L252" s="311" t="s">
        <v>5786</v>
      </c>
      <c r="M252" s="309" t="s">
        <v>4504</v>
      </c>
      <c r="N252" s="311" t="s">
        <v>4698</v>
      </c>
      <c r="O252" s="17" t="s">
        <v>4503</v>
      </c>
      <c r="P252" s="311" t="s">
        <v>4467</v>
      </c>
      <c r="Q252" s="311" t="s">
        <v>4417</v>
      </c>
      <c r="R252" s="311" t="s">
        <v>6157</v>
      </c>
      <c r="S252" s="311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311" t="s">
        <v>4417</v>
      </c>
      <c r="Y252" s="311" t="s">
        <v>5786</v>
      </c>
      <c r="Z252" s="311" t="s">
        <v>4555</v>
      </c>
      <c r="AA252" s="17">
        <v>10</v>
      </c>
      <c r="AB252" s="222">
        <v>0</v>
      </c>
      <c r="AC252" s="18">
        <v>0</v>
      </c>
      <c r="AD252" s="30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30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6"/>
        <v>9.8000000000000114</v>
      </c>
      <c r="AV252" s="16">
        <f t="shared" si="127"/>
        <v>9.8000000000000114</v>
      </c>
      <c r="AW252" s="309" t="s">
        <v>5801</v>
      </c>
      <c r="AX252" s="311" t="s">
        <v>4559</v>
      </c>
      <c r="AY252" s="1">
        <f xml:space="preserve"> 200/AZ252/0.25</f>
        <v>40</v>
      </c>
      <c r="AZ252" s="311">
        <v>20</v>
      </c>
      <c r="BA252" s="311">
        <f t="shared" si="129"/>
        <v>245</v>
      </c>
      <c r="BB252" s="16">
        <v>60</v>
      </c>
      <c r="BC252" s="16">
        <f t="shared" si="132"/>
        <v>60</v>
      </c>
      <c r="BD252" s="16">
        <v>0</v>
      </c>
      <c r="BE252" s="16">
        <v>90</v>
      </c>
      <c r="BF252" s="16">
        <f t="shared" si="130"/>
        <v>210</v>
      </c>
      <c r="BG252" s="22" t="s">
        <v>4467</v>
      </c>
      <c r="BH252" s="311" t="s">
        <v>6196</v>
      </c>
      <c r="BI252" s="311" t="s">
        <v>6196</v>
      </c>
      <c r="BJ252" s="311">
        <v>2</v>
      </c>
      <c r="BK252" s="311">
        <v>4</v>
      </c>
      <c r="BL252" s="309">
        <v>120</v>
      </c>
      <c r="BM252" s="311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309" t="s">
        <v>5850</v>
      </c>
      <c r="BU252" s="311">
        <v>7</v>
      </c>
      <c r="BV252" s="311">
        <v>1</v>
      </c>
      <c r="BW252" s="311">
        <v>19</v>
      </c>
      <c r="BX252" s="311">
        <v>100</v>
      </c>
      <c r="BY252" s="311">
        <v>90</v>
      </c>
      <c r="BZ252" s="17">
        <v>240</v>
      </c>
      <c r="CA252" s="311" t="s">
        <v>4569</v>
      </c>
      <c r="CB252" s="311" t="s">
        <v>4579</v>
      </c>
      <c r="CC252" s="16">
        <v>0</v>
      </c>
      <c r="CD252" s="16">
        <f>8*PI()*12^2/4</f>
        <v>904.77868423386042</v>
      </c>
      <c r="CE252" s="311">
        <v>30</v>
      </c>
      <c r="CF252" s="130">
        <f>8*PI()*12^2/4/BL252/BM252</f>
        <v>5.0265482457436689E-3</v>
      </c>
      <c r="CG252" s="104" t="s">
        <v>4446</v>
      </c>
      <c r="CH252" s="311">
        <v>235</v>
      </c>
      <c r="CI252" s="311">
        <v>287</v>
      </c>
      <c r="CJ252" s="311">
        <v>360</v>
      </c>
      <c r="CK252" s="16">
        <v>443.5</v>
      </c>
      <c r="CL252" s="64">
        <v>200000</v>
      </c>
      <c r="CM252" s="104" t="s">
        <v>4446</v>
      </c>
      <c r="CN252" s="311">
        <v>235</v>
      </c>
      <c r="CO252" s="16">
        <v>266.5</v>
      </c>
      <c r="CP252" s="311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311">
        <v>231</v>
      </c>
      <c r="CV252" s="70">
        <v>360</v>
      </c>
      <c r="CW252" s="311">
        <v>392</v>
      </c>
      <c r="CX252" s="64">
        <v>200000</v>
      </c>
      <c r="CY252" s="309" t="s">
        <v>5791</v>
      </c>
      <c r="CZ252" s="16">
        <v>38</v>
      </c>
      <c r="DA252" s="31">
        <v>2.9</v>
      </c>
      <c r="DB252" s="78">
        <v>22900</v>
      </c>
      <c r="DC252" s="311">
        <v>572</v>
      </c>
      <c r="DD252" s="30">
        <v>650</v>
      </c>
      <c r="DE252" s="64">
        <v>200000</v>
      </c>
      <c r="DF252" s="272" t="s">
        <v>5786</v>
      </c>
      <c r="DG252" s="311">
        <v>8.8000000000000007</v>
      </c>
      <c r="DH252" s="311">
        <v>640</v>
      </c>
      <c r="DI252" s="30">
        <v>730</v>
      </c>
      <c r="DJ252" s="311">
        <v>800</v>
      </c>
      <c r="DK252" s="32">
        <v>940</v>
      </c>
      <c r="DL252" s="64">
        <v>205000</v>
      </c>
      <c r="DM252" s="126" t="s">
        <v>5839</v>
      </c>
      <c r="DN252" s="309" t="s">
        <v>4432</v>
      </c>
      <c r="DO252" s="300" t="s">
        <v>4562</v>
      </c>
    </row>
    <row r="253" spans="1:119">
      <c r="A253" s="314">
        <v>248</v>
      </c>
      <c r="B253" s="318"/>
      <c r="C253" s="318"/>
      <c r="D253" s="330"/>
      <c r="E253" s="330"/>
      <c r="F253" s="318"/>
      <c r="G253" s="318"/>
      <c r="H253" s="318"/>
      <c r="I253" s="318"/>
      <c r="J253" s="285" t="s">
        <v>4611</v>
      </c>
      <c r="K253" s="314" t="s">
        <v>4380</v>
      </c>
      <c r="L253" s="312" t="s">
        <v>5786</v>
      </c>
      <c r="M253" s="314" t="s">
        <v>4504</v>
      </c>
      <c r="N253" s="312" t="s">
        <v>4698</v>
      </c>
      <c r="O253" s="18" t="s">
        <v>4503</v>
      </c>
      <c r="P253" s="312" t="s">
        <v>4467</v>
      </c>
      <c r="Q253" s="312" t="s">
        <v>4417</v>
      </c>
      <c r="R253" s="312" t="s">
        <v>6157</v>
      </c>
      <c r="S253" s="312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12" t="s">
        <v>4417</v>
      </c>
      <c r="Y253" s="312" t="s">
        <v>5786</v>
      </c>
      <c r="Z253" s="312" t="s">
        <v>4555</v>
      </c>
      <c r="AA253" s="18">
        <v>10</v>
      </c>
      <c r="AB253" s="222">
        <v>0</v>
      </c>
      <c r="AC253" s="18">
        <v>0</v>
      </c>
      <c r="AD253" s="314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14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7"/>
        <v>9.8000000000000114</v>
      </c>
      <c r="AW253" s="314" t="s">
        <v>5801</v>
      </c>
      <c r="AX253" s="312" t="s">
        <v>4559</v>
      </c>
      <c r="AY253" s="43">
        <f t="shared" ref="AY253:AY262" si="139" xml:space="preserve"> 200/AZ253/0.25</f>
        <v>40</v>
      </c>
      <c r="AZ253" s="312">
        <v>20</v>
      </c>
      <c r="BA253" s="312">
        <f t="shared" si="129"/>
        <v>245</v>
      </c>
      <c r="BB253" s="21">
        <v>60</v>
      </c>
      <c r="BC253" s="21">
        <f t="shared" si="132"/>
        <v>60</v>
      </c>
      <c r="BD253" s="21">
        <v>0</v>
      </c>
      <c r="BE253" s="21">
        <v>90</v>
      </c>
      <c r="BF253" s="21">
        <f t="shared" si="130"/>
        <v>210</v>
      </c>
      <c r="BG253" s="15" t="s">
        <v>4467</v>
      </c>
      <c r="BH253" s="312" t="s">
        <v>6196</v>
      </c>
      <c r="BI253" s="312" t="s">
        <v>6196</v>
      </c>
      <c r="BJ253" s="312">
        <v>2</v>
      </c>
      <c r="BK253" s="312">
        <v>4</v>
      </c>
      <c r="BL253" s="314">
        <v>120</v>
      </c>
      <c r="BM253" s="312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314" t="s">
        <v>5850</v>
      </c>
      <c r="BU253" s="312">
        <v>14</v>
      </c>
      <c r="BV253" s="312">
        <v>2</v>
      </c>
      <c r="BW253" s="312">
        <v>19</v>
      </c>
      <c r="BX253" s="312">
        <v>100</v>
      </c>
      <c r="BY253" s="312">
        <v>90</v>
      </c>
      <c r="BZ253" s="18">
        <v>240</v>
      </c>
      <c r="CA253" s="312" t="s">
        <v>4569</v>
      </c>
      <c r="CB253" s="312" t="s">
        <v>4616</v>
      </c>
      <c r="CC253" s="21">
        <v>0</v>
      </c>
      <c r="CD253" s="21">
        <f>10*PI()*16^2/4</f>
        <v>2010.6192982974676</v>
      </c>
      <c r="CE253" s="312">
        <v>30</v>
      </c>
      <c r="CF253" s="131">
        <f>10*PI()*16^2/4/BL253/BM253</f>
        <v>1.1170107212763708E-2</v>
      </c>
      <c r="CG253" s="105" t="s">
        <v>4446</v>
      </c>
      <c r="CH253" s="312">
        <v>235</v>
      </c>
      <c r="CI253" s="312">
        <v>287</v>
      </c>
      <c r="CJ253" s="312">
        <v>360</v>
      </c>
      <c r="CK253" s="21">
        <v>443.5</v>
      </c>
      <c r="CL253" s="65">
        <v>200000</v>
      </c>
      <c r="CM253" s="105" t="s">
        <v>4446</v>
      </c>
      <c r="CN253" s="312">
        <v>235</v>
      </c>
      <c r="CO253" s="21">
        <v>266.5</v>
      </c>
      <c r="CP253" s="312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12">
        <v>231</v>
      </c>
      <c r="CV253" s="46">
        <v>360</v>
      </c>
      <c r="CW253" s="312">
        <v>392</v>
      </c>
      <c r="CX253" s="65">
        <v>200000</v>
      </c>
      <c r="CY253" s="314" t="s">
        <v>5791</v>
      </c>
      <c r="CZ253" s="21">
        <v>29.4</v>
      </c>
      <c r="DA253" s="33">
        <v>2.9</v>
      </c>
      <c r="DB253" s="66">
        <v>20300</v>
      </c>
      <c r="DC253" s="312">
        <v>579</v>
      </c>
      <c r="DD253" s="32">
        <v>650</v>
      </c>
      <c r="DE253" s="65">
        <v>200000</v>
      </c>
      <c r="DF253" s="273" t="s">
        <v>5786</v>
      </c>
      <c r="DG253" s="312">
        <v>8.8000000000000007</v>
      </c>
      <c r="DH253" s="312">
        <v>640</v>
      </c>
      <c r="DI253" s="32">
        <v>730</v>
      </c>
      <c r="DJ253" s="312">
        <v>800</v>
      </c>
      <c r="DK253" s="32">
        <v>940</v>
      </c>
      <c r="DL253" s="65">
        <v>205000</v>
      </c>
      <c r="DM253" s="128" t="s">
        <v>4795</v>
      </c>
      <c r="DN253" s="314" t="s">
        <v>4432</v>
      </c>
      <c r="DO253" s="301" t="s">
        <v>4562</v>
      </c>
    </row>
    <row r="254" spans="1:119">
      <c r="A254" s="314">
        <v>249</v>
      </c>
      <c r="B254" s="318"/>
      <c r="C254" s="318"/>
      <c r="D254" s="330"/>
      <c r="E254" s="330"/>
      <c r="F254" s="318"/>
      <c r="G254" s="318"/>
      <c r="H254" s="318"/>
      <c r="I254" s="318"/>
      <c r="J254" s="285" t="s">
        <v>4612</v>
      </c>
      <c r="K254" s="314" t="s">
        <v>4380</v>
      </c>
      <c r="L254" s="312" t="s">
        <v>5786</v>
      </c>
      <c r="M254" s="314" t="s">
        <v>4504</v>
      </c>
      <c r="N254" s="312" t="s">
        <v>4698</v>
      </c>
      <c r="O254" s="18" t="s">
        <v>4503</v>
      </c>
      <c r="P254" s="312" t="s">
        <v>4467</v>
      </c>
      <c r="Q254" s="312" t="s">
        <v>4417</v>
      </c>
      <c r="R254" s="312" t="s">
        <v>6157</v>
      </c>
      <c r="S254" s="312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12" t="s">
        <v>4417</v>
      </c>
      <c r="Y254" s="312" t="s">
        <v>5786</v>
      </c>
      <c r="Z254" s="312" t="s">
        <v>4555</v>
      </c>
      <c r="AA254" s="18">
        <v>10</v>
      </c>
      <c r="AB254" s="222">
        <v>0</v>
      </c>
      <c r="AC254" s="18">
        <v>0</v>
      </c>
      <c r="AD254" s="314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14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7"/>
        <v>9.8000000000000114</v>
      </c>
      <c r="AW254" s="314" t="s">
        <v>5801</v>
      </c>
      <c r="AX254" s="312" t="s">
        <v>4559</v>
      </c>
      <c r="AY254" s="312">
        <f t="shared" si="139"/>
        <v>40</v>
      </c>
      <c r="AZ254" s="312">
        <v>20</v>
      </c>
      <c r="BA254" s="312">
        <f t="shared" si="129"/>
        <v>245</v>
      </c>
      <c r="BB254" s="21">
        <v>60</v>
      </c>
      <c r="BC254" s="21">
        <f t="shared" si="132"/>
        <v>60</v>
      </c>
      <c r="BD254" s="21">
        <v>0</v>
      </c>
      <c r="BE254" s="21">
        <v>90</v>
      </c>
      <c r="BF254" s="21">
        <f t="shared" si="130"/>
        <v>210</v>
      </c>
      <c r="BG254" s="15" t="s">
        <v>4467</v>
      </c>
      <c r="BH254" s="312" t="s">
        <v>6196</v>
      </c>
      <c r="BI254" s="312" t="s">
        <v>6196</v>
      </c>
      <c r="BJ254" s="312">
        <v>2</v>
      </c>
      <c r="BK254" s="312">
        <v>4</v>
      </c>
      <c r="BL254" s="314">
        <v>120</v>
      </c>
      <c r="BM254" s="312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314" t="s">
        <v>5850</v>
      </c>
      <c r="BU254" s="312">
        <v>20</v>
      </c>
      <c r="BV254" s="312">
        <v>2</v>
      </c>
      <c r="BW254" s="312">
        <v>19</v>
      </c>
      <c r="BX254" s="312">
        <v>100</v>
      </c>
      <c r="BY254" s="312">
        <v>90</v>
      </c>
      <c r="BZ254" s="18">
        <v>160</v>
      </c>
      <c r="CA254" s="312" t="s">
        <v>4569</v>
      </c>
      <c r="CB254" s="312" t="s">
        <v>4617</v>
      </c>
      <c r="CC254" s="21">
        <v>0</v>
      </c>
      <c r="CD254" s="21">
        <f>14*PI()*16^2/4</f>
        <v>2814.8670176164546</v>
      </c>
      <c r="CE254" s="312">
        <v>30</v>
      </c>
      <c r="CF254" s="131">
        <f>14*PI()*16^2/4/BL254/BM254</f>
        <v>1.5638150097869192E-2</v>
      </c>
      <c r="CG254" s="105" t="s">
        <v>4446</v>
      </c>
      <c r="CH254" s="312">
        <v>235</v>
      </c>
      <c r="CI254" s="312">
        <v>287</v>
      </c>
      <c r="CJ254" s="312">
        <v>360</v>
      </c>
      <c r="CK254" s="21">
        <v>443.5</v>
      </c>
      <c r="CL254" s="65">
        <v>200000</v>
      </c>
      <c r="CM254" s="105" t="s">
        <v>4446</v>
      </c>
      <c r="CN254" s="312">
        <v>235</v>
      </c>
      <c r="CO254" s="21">
        <v>266.5</v>
      </c>
      <c r="CP254" s="312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12">
        <v>231</v>
      </c>
      <c r="CV254" s="46">
        <v>360</v>
      </c>
      <c r="CW254" s="312">
        <v>392</v>
      </c>
      <c r="CX254" s="65">
        <v>200000</v>
      </c>
      <c r="CY254" s="314" t="s">
        <v>5791</v>
      </c>
      <c r="CZ254" s="21">
        <v>34.200000000000003</v>
      </c>
      <c r="DA254" s="33">
        <v>2.9</v>
      </c>
      <c r="DB254" s="66">
        <v>24100</v>
      </c>
      <c r="DC254" s="312">
        <v>579</v>
      </c>
      <c r="DD254" s="32">
        <v>650</v>
      </c>
      <c r="DE254" s="65">
        <v>200000</v>
      </c>
      <c r="DF254" s="273" t="s">
        <v>5786</v>
      </c>
      <c r="DG254" s="312">
        <v>8.8000000000000007</v>
      </c>
      <c r="DH254" s="312">
        <v>640</v>
      </c>
      <c r="DI254" s="32">
        <v>730</v>
      </c>
      <c r="DJ254" s="312">
        <v>800</v>
      </c>
      <c r="DK254" s="32">
        <v>940</v>
      </c>
      <c r="DL254" s="65">
        <v>205000</v>
      </c>
      <c r="DM254" s="128" t="s">
        <v>4795</v>
      </c>
      <c r="DN254" s="314" t="s">
        <v>4432</v>
      </c>
      <c r="DO254" s="301" t="s">
        <v>4562</v>
      </c>
    </row>
    <row r="255" spans="1:119">
      <c r="A255" s="314">
        <v>250</v>
      </c>
      <c r="B255" s="318"/>
      <c r="C255" s="318"/>
      <c r="D255" s="330"/>
      <c r="E255" s="330"/>
      <c r="F255" s="318"/>
      <c r="G255" s="318"/>
      <c r="H255" s="318"/>
      <c r="I255" s="318"/>
      <c r="J255" s="285" t="s">
        <v>4613</v>
      </c>
      <c r="K255" s="314" t="s">
        <v>4380</v>
      </c>
      <c r="L255" s="312" t="s">
        <v>5786</v>
      </c>
      <c r="M255" s="314" t="s">
        <v>4504</v>
      </c>
      <c r="N255" s="312" t="s">
        <v>4698</v>
      </c>
      <c r="O255" s="18" t="s">
        <v>4503</v>
      </c>
      <c r="P255" s="312" t="s">
        <v>4467</v>
      </c>
      <c r="Q255" s="312" t="s">
        <v>4417</v>
      </c>
      <c r="R255" s="312" t="s">
        <v>4417</v>
      </c>
      <c r="S255" s="312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12" t="s">
        <v>4417</v>
      </c>
      <c r="Y255" s="312" t="s">
        <v>5786</v>
      </c>
      <c r="Z255" s="312" t="s">
        <v>4555</v>
      </c>
      <c r="AA255" s="18">
        <v>10</v>
      </c>
      <c r="AB255" s="222">
        <v>0</v>
      </c>
      <c r="AC255" s="18">
        <v>0</v>
      </c>
      <c r="AD255" s="314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14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7"/>
        <v>9.8000000000000114</v>
      </c>
      <c r="AW255" s="314" t="s">
        <v>5801</v>
      </c>
      <c r="AX255" s="312" t="s">
        <v>4559</v>
      </c>
      <c r="AY255" s="312">
        <f t="shared" si="139"/>
        <v>40</v>
      </c>
      <c r="AZ255" s="312">
        <v>20</v>
      </c>
      <c r="BA255" s="312">
        <f t="shared" si="129"/>
        <v>245</v>
      </c>
      <c r="BB255" s="21">
        <v>60</v>
      </c>
      <c r="BC255" s="21">
        <f t="shared" si="132"/>
        <v>60</v>
      </c>
      <c r="BD255" s="21">
        <v>0</v>
      </c>
      <c r="BE255" s="21">
        <v>90</v>
      </c>
      <c r="BF255" s="21">
        <f t="shared" si="130"/>
        <v>210</v>
      </c>
      <c r="BG255" s="15" t="s">
        <v>4467</v>
      </c>
      <c r="BH255" s="312" t="s">
        <v>6196</v>
      </c>
      <c r="BI255" s="312" t="s">
        <v>6196</v>
      </c>
      <c r="BJ255" s="312">
        <v>2</v>
      </c>
      <c r="BK255" s="312">
        <v>4</v>
      </c>
      <c r="BL255" s="314">
        <v>120</v>
      </c>
      <c r="BM255" s="312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314" t="s">
        <v>5850</v>
      </c>
      <c r="BU255" s="312">
        <v>14</v>
      </c>
      <c r="BV255" s="312">
        <v>2</v>
      </c>
      <c r="BW255" s="312">
        <v>19</v>
      </c>
      <c r="BX255" s="312">
        <v>100</v>
      </c>
      <c r="BY255" s="312">
        <v>90</v>
      </c>
      <c r="BZ255" s="18">
        <v>240</v>
      </c>
      <c r="CA255" s="312" t="s">
        <v>4569</v>
      </c>
      <c r="CB255" s="312" t="s">
        <v>4616</v>
      </c>
      <c r="CC255" s="21">
        <v>0</v>
      </c>
      <c r="CD255" s="21">
        <f>10*PI()*16^2/4</f>
        <v>2010.6192982974676</v>
      </c>
      <c r="CE255" s="312">
        <v>30</v>
      </c>
      <c r="CF255" s="131">
        <f>10*PI()*16^2/4/BL255/BM255</f>
        <v>1.1170107212763708E-2</v>
      </c>
      <c r="CG255" s="105" t="s">
        <v>4446</v>
      </c>
      <c r="CH255" s="312">
        <v>235</v>
      </c>
      <c r="CI255" s="312">
        <v>287</v>
      </c>
      <c r="CJ255" s="312">
        <v>360</v>
      </c>
      <c r="CK255" s="21">
        <v>443.5</v>
      </c>
      <c r="CL255" s="65">
        <v>200000</v>
      </c>
      <c r="CM255" s="105" t="s">
        <v>4446</v>
      </c>
      <c r="CN255" s="312">
        <v>235</v>
      </c>
      <c r="CO255" s="21">
        <v>266.5</v>
      </c>
      <c r="CP255" s="312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12">
        <v>231</v>
      </c>
      <c r="CV255" s="46">
        <v>360</v>
      </c>
      <c r="CW255" s="312">
        <v>392</v>
      </c>
      <c r="CX255" s="65">
        <v>200000</v>
      </c>
      <c r="CY255" s="314" t="s">
        <v>5791</v>
      </c>
      <c r="CZ255" s="21">
        <v>30</v>
      </c>
      <c r="DA255" s="33">
        <v>2.9</v>
      </c>
      <c r="DB255" s="66">
        <v>20500</v>
      </c>
      <c r="DC255" s="312">
        <v>579</v>
      </c>
      <c r="DD255" s="32">
        <v>650</v>
      </c>
      <c r="DE255" s="65">
        <v>200000</v>
      </c>
      <c r="DF255" s="273" t="s">
        <v>5786</v>
      </c>
      <c r="DG255" s="312">
        <v>8.8000000000000007</v>
      </c>
      <c r="DH255" s="312">
        <v>640</v>
      </c>
      <c r="DI255" s="32">
        <v>730</v>
      </c>
      <c r="DJ255" s="312">
        <v>800</v>
      </c>
      <c r="DK255" s="32">
        <v>940</v>
      </c>
      <c r="DL255" s="65">
        <v>205000</v>
      </c>
      <c r="DM255" s="128" t="s">
        <v>4771</v>
      </c>
      <c r="DN255" s="314" t="s">
        <v>4432</v>
      </c>
      <c r="DO255" s="301" t="s">
        <v>4562</v>
      </c>
    </row>
    <row r="256" spans="1:119">
      <c r="A256" s="314">
        <v>251</v>
      </c>
      <c r="B256" s="318"/>
      <c r="C256" s="318"/>
      <c r="D256" s="330"/>
      <c r="E256" s="330"/>
      <c r="F256" s="318"/>
      <c r="G256" s="318"/>
      <c r="H256" s="318"/>
      <c r="I256" s="318"/>
      <c r="J256" s="285" t="s">
        <v>4614</v>
      </c>
      <c r="K256" s="314" t="s">
        <v>4380</v>
      </c>
      <c r="L256" s="312" t="s">
        <v>5786</v>
      </c>
      <c r="M256" s="314" t="s">
        <v>4504</v>
      </c>
      <c r="N256" s="312" t="s">
        <v>4698</v>
      </c>
      <c r="O256" s="18" t="s">
        <v>4503</v>
      </c>
      <c r="P256" s="312" t="s">
        <v>4467</v>
      </c>
      <c r="Q256" s="312" t="s">
        <v>4467</v>
      </c>
      <c r="R256" s="312" t="s">
        <v>4417</v>
      </c>
      <c r="S256" s="312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12" t="s">
        <v>4417</v>
      </c>
      <c r="Y256" s="312" t="s">
        <v>5786</v>
      </c>
      <c r="Z256" s="312" t="s">
        <v>4555</v>
      </c>
      <c r="AA256" s="18">
        <v>10</v>
      </c>
      <c r="AB256" s="222">
        <v>0</v>
      </c>
      <c r="AC256" s="18">
        <v>0</v>
      </c>
      <c r="AD256" s="314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14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7"/>
        <v>9.8000000000000114</v>
      </c>
      <c r="AW256" s="314" t="s">
        <v>5801</v>
      </c>
      <c r="AX256" s="312" t="s">
        <v>4559</v>
      </c>
      <c r="AY256" s="312">
        <f t="shared" si="139"/>
        <v>40</v>
      </c>
      <c r="AZ256" s="312">
        <v>20</v>
      </c>
      <c r="BA256" s="312">
        <f t="shared" si="129"/>
        <v>245</v>
      </c>
      <c r="BB256" s="21">
        <v>60</v>
      </c>
      <c r="BC256" s="21">
        <f t="shared" si="132"/>
        <v>60</v>
      </c>
      <c r="BD256" s="21">
        <v>0</v>
      </c>
      <c r="BE256" s="21">
        <v>90</v>
      </c>
      <c r="BF256" s="21">
        <f t="shared" si="130"/>
        <v>210</v>
      </c>
      <c r="BG256" s="15" t="s">
        <v>4467</v>
      </c>
      <c r="BH256" s="312" t="s">
        <v>6196</v>
      </c>
      <c r="BI256" s="312" t="s">
        <v>6196</v>
      </c>
      <c r="BJ256" s="312">
        <v>2</v>
      </c>
      <c r="BK256" s="312">
        <v>4</v>
      </c>
      <c r="BL256" s="314">
        <v>120</v>
      </c>
      <c r="BM256" s="312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314" t="s">
        <v>5850</v>
      </c>
      <c r="BU256" s="312">
        <v>14</v>
      </c>
      <c r="BV256" s="312">
        <v>2</v>
      </c>
      <c r="BW256" s="312">
        <v>19</v>
      </c>
      <c r="BX256" s="312">
        <v>100</v>
      </c>
      <c r="BY256" s="312">
        <v>90</v>
      </c>
      <c r="BZ256" s="18">
        <v>240</v>
      </c>
      <c r="CA256" s="312" t="s">
        <v>4569</v>
      </c>
      <c r="CB256" s="312" t="s">
        <v>4616</v>
      </c>
      <c r="CC256" s="21">
        <v>0</v>
      </c>
      <c r="CD256" s="21">
        <f>10*PI()*16^2/4</f>
        <v>2010.6192982974676</v>
      </c>
      <c r="CE256" s="312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12">
        <v>231</v>
      </c>
      <c r="CV256" s="46">
        <v>360</v>
      </c>
      <c r="CW256" s="312">
        <v>392</v>
      </c>
      <c r="CX256" s="65">
        <v>200000</v>
      </c>
      <c r="CY256" s="314" t="s">
        <v>5791</v>
      </c>
      <c r="CZ256" s="21">
        <v>42.1</v>
      </c>
      <c r="DA256" s="33">
        <v>2.9</v>
      </c>
      <c r="DB256" s="66">
        <v>24500</v>
      </c>
      <c r="DC256" s="312">
        <v>579</v>
      </c>
      <c r="DD256" s="32">
        <v>650</v>
      </c>
      <c r="DE256" s="65">
        <v>200000</v>
      </c>
      <c r="DF256" s="273" t="s">
        <v>5786</v>
      </c>
      <c r="DG256" s="312">
        <v>8.8000000000000007</v>
      </c>
      <c r="DH256" s="312">
        <v>640</v>
      </c>
      <c r="DI256" s="32">
        <v>730</v>
      </c>
      <c r="DJ256" s="312">
        <v>800</v>
      </c>
      <c r="DK256" s="32">
        <v>940</v>
      </c>
      <c r="DL256" s="65">
        <v>205000</v>
      </c>
      <c r="DM256" s="128" t="s">
        <v>4795</v>
      </c>
      <c r="DN256" s="314" t="s">
        <v>4432</v>
      </c>
      <c r="DO256" s="301" t="s">
        <v>6110</v>
      </c>
    </row>
    <row r="257" spans="1:119">
      <c r="A257" s="314">
        <v>252</v>
      </c>
      <c r="B257" s="318"/>
      <c r="C257" s="318"/>
      <c r="D257" s="330"/>
      <c r="E257" s="330"/>
      <c r="F257" s="318"/>
      <c r="G257" s="318"/>
      <c r="H257" s="318"/>
      <c r="I257" s="318"/>
      <c r="J257" s="285" t="s">
        <v>4615</v>
      </c>
      <c r="K257" s="314" t="s">
        <v>4380</v>
      </c>
      <c r="L257" s="312" t="s">
        <v>5786</v>
      </c>
      <c r="M257" s="314" t="s">
        <v>4504</v>
      </c>
      <c r="N257" s="312" t="s">
        <v>4698</v>
      </c>
      <c r="O257" s="18" t="s">
        <v>4503</v>
      </c>
      <c r="P257" s="312" t="s">
        <v>4467</v>
      </c>
      <c r="Q257" s="312" t="s">
        <v>4467</v>
      </c>
      <c r="R257" s="312" t="s">
        <v>4417</v>
      </c>
      <c r="S257" s="312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12" t="s">
        <v>4417</v>
      </c>
      <c r="Y257" s="312" t="s">
        <v>5786</v>
      </c>
      <c r="Z257" s="312" t="s">
        <v>4555</v>
      </c>
      <c r="AA257" s="18">
        <v>10</v>
      </c>
      <c r="AB257" s="222">
        <v>0</v>
      </c>
      <c r="AC257" s="18">
        <v>0</v>
      </c>
      <c r="AD257" s="314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14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7"/>
        <v>9.8000000000000114</v>
      </c>
      <c r="AW257" s="314" t="s">
        <v>5801</v>
      </c>
      <c r="AX257" s="312" t="s">
        <v>4559</v>
      </c>
      <c r="AY257" s="312">
        <f t="shared" si="139"/>
        <v>40</v>
      </c>
      <c r="AZ257" s="312">
        <v>20</v>
      </c>
      <c r="BA257" s="312">
        <f t="shared" si="129"/>
        <v>245</v>
      </c>
      <c r="BB257" s="21">
        <v>60</v>
      </c>
      <c r="BC257" s="21">
        <f t="shared" si="132"/>
        <v>60</v>
      </c>
      <c r="BD257" s="21">
        <v>0</v>
      </c>
      <c r="BE257" s="21">
        <v>90</v>
      </c>
      <c r="BF257" s="21">
        <f t="shared" si="130"/>
        <v>210</v>
      </c>
      <c r="BG257" s="15" t="s">
        <v>4467</v>
      </c>
      <c r="BH257" s="312" t="s">
        <v>6196</v>
      </c>
      <c r="BI257" s="312" t="s">
        <v>6196</v>
      </c>
      <c r="BJ257" s="312">
        <v>2</v>
      </c>
      <c r="BK257" s="312">
        <v>4</v>
      </c>
      <c r="BL257" s="314">
        <v>120</v>
      </c>
      <c r="BM257" s="312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314" t="s">
        <v>5850</v>
      </c>
      <c r="BU257" s="312">
        <v>14</v>
      </c>
      <c r="BV257" s="312">
        <v>2</v>
      </c>
      <c r="BW257" s="312">
        <v>19</v>
      </c>
      <c r="BX257" s="312">
        <v>100</v>
      </c>
      <c r="BY257" s="312">
        <v>90</v>
      </c>
      <c r="BZ257" s="18">
        <v>240</v>
      </c>
      <c r="CA257" s="312" t="s">
        <v>4569</v>
      </c>
      <c r="CB257" s="312" t="s">
        <v>4616</v>
      </c>
      <c r="CC257" s="21">
        <v>0</v>
      </c>
      <c r="CD257" s="21">
        <f>10*PI()*16^2/4</f>
        <v>2010.6192982974676</v>
      </c>
      <c r="CE257" s="312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12">
        <v>231</v>
      </c>
      <c r="CV257" s="46">
        <v>360</v>
      </c>
      <c r="CW257" s="312">
        <v>392</v>
      </c>
      <c r="CX257" s="65">
        <v>200000</v>
      </c>
      <c r="CY257" s="314" t="s">
        <v>5791</v>
      </c>
      <c r="CZ257" s="21">
        <v>36.5</v>
      </c>
      <c r="DA257" s="33">
        <v>2.9</v>
      </c>
      <c r="DB257" s="66">
        <v>24500</v>
      </c>
      <c r="DC257" s="312">
        <v>579</v>
      </c>
      <c r="DD257" s="32">
        <v>650</v>
      </c>
      <c r="DE257" s="65">
        <v>200000</v>
      </c>
      <c r="DF257" s="273" t="s">
        <v>5786</v>
      </c>
      <c r="DG257" s="312">
        <v>8.8000000000000007</v>
      </c>
      <c r="DH257" s="312">
        <v>640</v>
      </c>
      <c r="DI257" s="32">
        <v>730</v>
      </c>
      <c r="DJ257" s="312">
        <v>800</v>
      </c>
      <c r="DK257" s="32">
        <v>940</v>
      </c>
      <c r="DL257" s="65">
        <v>205000</v>
      </c>
      <c r="DM257" s="128" t="s">
        <v>4795</v>
      </c>
      <c r="DN257" s="314" t="s">
        <v>4432</v>
      </c>
      <c r="DO257" s="301" t="s">
        <v>6007</v>
      </c>
    </row>
    <row r="258" spans="1:119">
      <c r="A258" s="314">
        <v>253</v>
      </c>
      <c r="B258" s="318"/>
      <c r="C258" s="318"/>
      <c r="D258" s="330"/>
      <c r="E258" s="330"/>
      <c r="F258" s="318"/>
      <c r="G258" s="318"/>
      <c r="H258" s="318"/>
      <c r="I258" s="318"/>
      <c r="J258" s="285" t="s">
        <v>4618</v>
      </c>
      <c r="K258" s="314" t="s">
        <v>4531</v>
      </c>
      <c r="L258" s="312" t="s">
        <v>6051</v>
      </c>
      <c r="M258" s="314" t="s">
        <v>4504</v>
      </c>
      <c r="N258" s="312" t="s">
        <v>4696</v>
      </c>
      <c r="O258" s="18" t="s">
        <v>4503</v>
      </c>
      <c r="P258" s="312" t="s">
        <v>4417</v>
      </c>
      <c r="Q258" s="312" t="s">
        <v>4417</v>
      </c>
      <c r="R258" s="312" t="s">
        <v>4417</v>
      </c>
      <c r="S258" s="312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12" t="s">
        <v>4417</v>
      </c>
      <c r="Y258" s="312" t="s">
        <v>5786</v>
      </c>
      <c r="Z258" s="312" t="s">
        <v>4555</v>
      </c>
      <c r="AA258" s="18">
        <v>10</v>
      </c>
      <c r="AB258" s="222">
        <v>0</v>
      </c>
      <c r="AC258" s="18">
        <v>0</v>
      </c>
      <c r="AD258" s="314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14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7"/>
        <v>19.800000000000011</v>
      </c>
      <c r="AW258" s="314" t="s">
        <v>5801</v>
      </c>
      <c r="AX258" s="312" t="s">
        <v>4559</v>
      </c>
      <c r="AY258" s="312">
        <f t="shared" si="139"/>
        <v>40</v>
      </c>
      <c r="AZ258" s="312">
        <v>20</v>
      </c>
      <c r="BA258" s="312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30"/>
        <v>210.89999999999998</v>
      </c>
      <c r="BG258" s="15" t="s">
        <v>4467</v>
      </c>
      <c r="BH258" s="312" t="s">
        <v>6196</v>
      </c>
      <c r="BI258" s="312" t="s">
        <v>6196</v>
      </c>
      <c r="BJ258" s="312">
        <v>2</v>
      </c>
      <c r="BK258" s="312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12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12">
        <v>10.9</v>
      </c>
      <c r="DH258" s="307">
        <v>900</v>
      </c>
      <c r="DI258" s="32">
        <v>990</v>
      </c>
      <c r="DJ258" s="307">
        <v>1000</v>
      </c>
      <c r="DK258" s="32">
        <v>1100</v>
      </c>
      <c r="DL258" s="65">
        <v>205000</v>
      </c>
      <c r="DM258" s="128" t="s">
        <v>5840</v>
      </c>
      <c r="DN258" s="314" t="s">
        <v>4432</v>
      </c>
      <c r="DO258" s="301" t="s">
        <v>4562</v>
      </c>
    </row>
    <row r="259" spans="1:119" ht="15.6" customHeight="1">
      <c r="A259" s="314">
        <v>254</v>
      </c>
      <c r="B259" s="318"/>
      <c r="C259" s="318"/>
      <c r="D259" s="330"/>
      <c r="E259" s="330"/>
      <c r="F259" s="318"/>
      <c r="G259" s="318"/>
      <c r="H259" s="318"/>
      <c r="I259" s="318"/>
      <c r="J259" s="285" t="s">
        <v>4592</v>
      </c>
      <c r="K259" s="314" t="s">
        <v>4380</v>
      </c>
      <c r="L259" s="312" t="s">
        <v>5786</v>
      </c>
      <c r="M259" s="314" t="s">
        <v>4504</v>
      </c>
      <c r="N259" s="312" t="s">
        <v>4696</v>
      </c>
      <c r="O259" s="18" t="s">
        <v>4503</v>
      </c>
      <c r="P259" s="312" t="s">
        <v>4467</v>
      </c>
      <c r="Q259" s="312" t="s">
        <v>4417</v>
      </c>
      <c r="R259" s="312" t="s">
        <v>4417</v>
      </c>
      <c r="S259" s="312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12" t="s">
        <v>4417</v>
      </c>
      <c r="Y259" s="312" t="s">
        <v>5786</v>
      </c>
      <c r="Z259" s="312" t="s">
        <v>4555</v>
      </c>
      <c r="AA259" s="18">
        <v>10</v>
      </c>
      <c r="AB259" s="222">
        <v>0</v>
      </c>
      <c r="AC259" s="18">
        <v>0</v>
      </c>
      <c r="AD259" s="314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14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7"/>
        <v>19.800000000000011</v>
      </c>
      <c r="AW259" s="314" t="s">
        <v>5801</v>
      </c>
      <c r="AX259" s="312" t="s">
        <v>4559</v>
      </c>
      <c r="AY259" s="312">
        <f t="shared" si="139"/>
        <v>40</v>
      </c>
      <c r="AZ259" s="312">
        <v>20</v>
      </c>
      <c r="BA259" s="312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30"/>
        <v>210.89999999999998</v>
      </c>
      <c r="BG259" s="15" t="s">
        <v>4467</v>
      </c>
      <c r="BH259" s="312" t="s">
        <v>6196</v>
      </c>
      <c r="BI259" s="312" t="s">
        <v>6196</v>
      </c>
      <c r="BJ259" s="312">
        <v>2</v>
      </c>
      <c r="BK259" s="312">
        <v>4</v>
      </c>
      <c r="BL259" s="314">
        <v>120</v>
      </c>
      <c r="BM259" s="312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314" t="s">
        <v>5850</v>
      </c>
      <c r="BU259" s="312">
        <v>24</v>
      </c>
      <c r="BV259" s="312">
        <v>2</v>
      </c>
      <c r="BW259" s="312">
        <v>19</v>
      </c>
      <c r="BX259" s="312">
        <v>100</v>
      </c>
      <c r="BY259" s="312">
        <v>90</v>
      </c>
      <c r="BZ259" s="18">
        <v>130</v>
      </c>
      <c r="CA259" s="312" t="s">
        <v>4569</v>
      </c>
      <c r="CB259" s="312" t="s">
        <v>4616</v>
      </c>
      <c r="CC259" s="21">
        <v>0</v>
      </c>
      <c r="CD259" s="21">
        <f>10*PI()*16^2/4</f>
        <v>2010.6192982974676</v>
      </c>
      <c r="CE259" s="312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12">
        <v>438.1</v>
      </c>
      <c r="CX259" s="65">
        <v>200000</v>
      </c>
      <c r="CY259" s="314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12">
        <v>10.9</v>
      </c>
      <c r="DH259" s="307">
        <v>900</v>
      </c>
      <c r="DI259" s="32">
        <v>990</v>
      </c>
      <c r="DJ259" s="307">
        <v>1000</v>
      </c>
      <c r="DK259" s="32">
        <v>1100</v>
      </c>
      <c r="DL259" s="65">
        <v>205000</v>
      </c>
      <c r="DM259" s="128" t="s">
        <v>5841</v>
      </c>
      <c r="DN259" s="314" t="s">
        <v>4432</v>
      </c>
      <c r="DO259" s="301" t="s">
        <v>4562</v>
      </c>
    </row>
    <row r="260" spans="1:119" ht="15.6" customHeight="1">
      <c r="A260" s="314">
        <v>255</v>
      </c>
      <c r="B260" s="318"/>
      <c r="C260" s="318"/>
      <c r="D260" s="330"/>
      <c r="E260" s="330"/>
      <c r="F260" s="318"/>
      <c r="G260" s="318"/>
      <c r="H260" s="318"/>
      <c r="I260" s="318"/>
      <c r="J260" s="285" t="s">
        <v>4593</v>
      </c>
      <c r="K260" s="314" t="s">
        <v>4531</v>
      </c>
      <c r="L260" s="312" t="s">
        <v>6051</v>
      </c>
      <c r="M260" s="314" t="s">
        <v>4504</v>
      </c>
      <c r="N260" s="312" t="s">
        <v>4696</v>
      </c>
      <c r="O260" s="18" t="s">
        <v>4503</v>
      </c>
      <c r="P260" s="312" t="s">
        <v>4467</v>
      </c>
      <c r="Q260" s="312" t="s">
        <v>4417</v>
      </c>
      <c r="R260" s="312" t="s">
        <v>4417</v>
      </c>
      <c r="S260" s="312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12" t="s">
        <v>4417</v>
      </c>
      <c r="Y260" s="312" t="s">
        <v>5786</v>
      </c>
      <c r="Z260" s="312" t="s">
        <v>4555</v>
      </c>
      <c r="AA260" s="18">
        <v>10</v>
      </c>
      <c r="AB260" s="222">
        <v>0</v>
      </c>
      <c r="AC260" s="18">
        <v>0</v>
      </c>
      <c r="AD260" s="314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14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7"/>
        <v>19.800000000000011</v>
      </c>
      <c r="AW260" s="314" t="s">
        <v>5801</v>
      </c>
      <c r="AX260" s="312" t="s">
        <v>4559</v>
      </c>
      <c r="AY260" s="312">
        <f t="shared" si="139"/>
        <v>40</v>
      </c>
      <c r="AZ260" s="312">
        <v>20</v>
      </c>
      <c r="BA260" s="312">
        <f t="shared" ref="BA260:BA292" si="140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30"/>
        <v>210.89999999999998</v>
      </c>
      <c r="BG260" s="15" t="s">
        <v>4467</v>
      </c>
      <c r="BH260" s="312" t="s">
        <v>6196</v>
      </c>
      <c r="BI260" s="312" t="s">
        <v>6196</v>
      </c>
      <c r="BJ260" s="312">
        <v>2</v>
      </c>
      <c r="BK260" s="312">
        <v>4</v>
      </c>
      <c r="BL260" s="314">
        <v>120</v>
      </c>
      <c r="BM260" s="312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314" t="s">
        <v>5850</v>
      </c>
      <c r="BU260" s="312">
        <v>24</v>
      </c>
      <c r="BV260" s="312">
        <v>2</v>
      </c>
      <c r="BW260" s="312">
        <v>19</v>
      </c>
      <c r="BX260" s="312">
        <v>100</v>
      </c>
      <c r="BY260" s="312">
        <v>90</v>
      </c>
      <c r="BZ260" s="18">
        <v>130</v>
      </c>
      <c r="CA260" s="312" t="s">
        <v>4569</v>
      </c>
      <c r="CB260" s="312" t="s">
        <v>4616</v>
      </c>
      <c r="CC260" s="21">
        <v>0</v>
      </c>
      <c r="CD260" s="21">
        <f>10*PI()*16^2/4</f>
        <v>2010.6192982974676</v>
      </c>
      <c r="CE260" s="312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12">
        <v>438.1</v>
      </c>
      <c r="CX260" s="65">
        <v>200000</v>
      </c>
      <c r="CY260" s="314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12">
        <v>10.9</v>
      </c>
      <c r="DH260" s="307">
        <v>900</v>
      </c>
      <c r="DI260" s="32">
        <v>990</v>
      </c>
      <c r="DJ260" s="307">
        <v>1000</v>
      </c>
      <c r="DK260" s="32">
        <v>1100</v>
      </c>
      <c r="DL260" s="65">
        <v>205000</v>
      </c>
      <c r="DM260" s="128" t="s">
        <v>5841</v>
      </c>
      <c r="DN260" s="314" t="s">
        <v>4432</v>
      </c>
      <c r="DO260" s="301" t="s">
        <v>4562</v>
      </c>
    </row>
    <row r="261" spans="1:119">
      <c r="A261" s="314">
        <v>256</v>
      </c>
      <c r="B261" s="318"/>
      <c r="C261" s="318"/>
      <c r="D261" s="330"/>
      <c r="E261" s="330"/>
      <c r="F261" s="318"/>
      <c r="G261" s="318"/>
      <c r="H261" s="318"/>
      <c r="I261" s="318"/>
      <c r="J261" s="285" t="s">
        <v>4594</v>
      </c>
      <c r="K261" s="314" t="s">
        <v>4531</v>
      </c>
      <c r="L261" s="312" t="s">
        <v>6051</v>
      </c>
      <c r="M261" s="314" t="s">
        <v>4504</v>
      </c>
      <c r="N261" s="312" t="s">
        <v>4696</v>
      </c>
      <c r="O261" s="18" t="s">
        <v>4503</v>
      </c>
      <c r="P261" s="312" t="s">
        <v>4467</v>
      </c>
      <c r="Q261" s="312" t="s">
        <v>4417</v>
      </c>
      <c r="R261" s="312" t="s">
        <v>4417</v>
      </c>
      <c r="S261" s="312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12" t="s">
        <v>4417</v>
      </c>
      <c r="Y261" s="312" t="s">
        <v>5786</v>
      </c>
      <c r="Z261" s="312" t="s">
        <v>4555</v>
      </c>
      <c r="AA261" s="18">
        <v>10</v>
      </c>
      <c r="AB261" s="222">
        <v>0</v>
      </c>
      <c r="AC261" s="18">
        <v>0</v>
      </c>
      <c r="AD261" s="314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14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7"/>
        <v>19.800000000000011</v>
      </c>
      <c r="AW261" s="314" t="s">
        <v>5801</v>
      </c>
      <c r="AX261" s="312" t="s">
        <v>4559</v>
      </c>
      <c r="AY261" s="312">
        <f t="shared" si="139"/>
        <v>40</v>
      </c>
      <c r="AZ261" s="312">
        <v>20</v>
      </c>
      <c r="BA261" s="312">
        <f t="shared" si="140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30"/>
        <v>210.89999999999998</v>
      </c>
      <c r="BG261" s="15" t="s">
        <v>4467</v>
      </c>
      <c r="BH261" s="312" t="s">
        <v>6196</v>
      </c>
      <c r="BI261" s="312" t="s">
        <v>6196</v>
      </c>
      <c r="BJ261" s="312">
        <v>2</v>
      </c>
      <c r="BK261" s="312">
        <v>4</v>
      </c>
      <c r="BL261" s="314">
        <v>120</v>
      </c>
      <c r="BM261" s="312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314" t="s">
        <v>5850</v>
      </c>
      <c r="BU261" s="312">
        <v>24</v>
      </c>
      <c r="BV261" s="312">
        <v>2</v>
      </c>
      <c r="BW261" s="312">
        <v>19</v>
      </c>
      <c r="BX261" s="312">
        <v>100</v>
      </c>
      <c r="BY261" s="312">
        <v>90</v>
      </c>
      <c r="BZ261" s="18">
        <v>130</v>
      </c>
      <c r="CA261" s="312" t="s">
        <v>4569</v>
      </c>
      <c r="CB261" s="312" t="s">
        <v>4616</v>
      </c>
      <c r="CC261" s="21">
        <v>0</v>
      </c>
      <c r="CD261" s="21">
        <f>10*PI()*16^2/4</f>
        <v>2010.6192982974676</v>
      </c>
      <c r="CE261" s="312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12">
        <v>438.1</v>
      </c>
      <c r="CX261" s="65">
        <v>200000</v>
      </c>
      <c r="CY261" s="314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12">
        <v>10.9</v>
      </c>
      <c r="DH261" s="307">
        <v>900</v>
      </c>
      <c r="DI261" s="32">
        <v>990</v>
      </c>
      <c r="DJ261" s="307">
        <v>1000</v>
      </c>
      <c r="DK261" s="32">
        <v>1100</v>
      </c>
      <c r="DL261" s="65">
        <v>205000</v>
      </c>
      <c r="DM261" s="128" t="s">
        <v>5842</v>
      </c>
      <c r="DN261" s="314" t="s">
        <v>4432</v>
      </c>
      <c r="DO261" s="301" t="s">
        <v>4562</v>
      </c>
    </row>
    <row r="262" spans="1:119" ht="15.6" customHeight="1" thickBot="1">
      <c r="A262" s="314">
        <v>257</v>
      </c>
      <c r="B262" s="318"/>
      <c r="C262" s="318"/>
      <c r="D262" s="330"/>
      <c r="E262" s="330"/>
      <c r="F262" s="318"/>
      <c r="G262" s="318"/>
      <c r="H262" s="318"/>
      <c r="I262" s="318"/>
      <c r="J262" s="285" t="s">
        <v>4619</v>
      </c>
      <c r="K262" s="314" t="s">
        <v>4531</v>
      </c>
      <c r="L262" s="312" t="s">
        <v>6051</v>
      </c>
      <c r="M262" s="314" t="s">
        <v>4504</v>
      </c>
      <c r="N262" s="312" t="s">
        <v>4696</v>
      </c>
      <c r="O262" s="18" t="s">
        <v>4503</v>
      </c>
      <c r="P262" s="312" t="s">
        <v>4467</v>
      </c>
      <c r="Q262" s="312" t="s">
        <v>4467</v>
      </c>
      <c r="R262" s="312" t="s">
        <v>4417</v>
      </c>
      <c r="S262" s="312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12" t="s">
        <v>4417</v>
      </c>
      <c r="Y262" s="312" t="s">
        <v>5786</v>
      </c>
      <c r="Z262" s="312" t="s">
        <v>4555</v>
      </c>
      <c r="AA262" s="18">
        <v>10</v>
      </c>
      <c r="AB262" s="222">
        <v>0</v>
      </c>
      <c r="AC262" s="18">
        <v>0</v>
      </c>
      <c r="AD262" s="314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14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7"/>
        <v>19.800000000000011</v>
      </c>
      <c r="AW262" s="314" t="s">
        <v>5801</v>
      </c>
      <c r="AX262" s="312" t="s">
        <v>4559</v>
      </c>
      <c r="AY262" s="312">
        <f t="shared" si="139"/>
        <v>40</v>
      </c>
      <c r="AZ262" s="312">
        <v>20</v>
      </c>
      <c r="BA262" s="312">
        <f t="shared" si="140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30"/>
        <v>210.89999999999998</v>
      </c>
      <c r="BG262" s="15" t="s">
        <v>4467</v>
      </c>
      <c r="BH262" s="312" t="s">
        <v>6196</v>
      </c>
      <c r="BI262" s="312" t="s">
        <v>6196</v>
      </c>
      <c r="BJ262" s="312">
        <v>2</v>
      </c>
      <c r="BK262" s="312">
        <v>4</v>
      </c>
      <c r="BL262" s="314">
        <v>120</v>
      </c>
      <c r="BM262" s="312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314" t="s">
        <v>5850</v>
      </c>
      <c r="BU262" s="312">
        <v>24</v>
      </c>
      <c r="BV262" s="312">
        <v>2</v>
      </c>
      <c r="BW262" s="312">
        <v>19</v>
      </c>
      <c r="BX262" s="312">
        <v>100</v>
      </c>
      <c r="BY262" s="312">
        <v>90</v>
      </c>
      <c r="BZ262" s="18">
        <v>130</v>
      </c>
      <c r="CA262" s="312" t="s">
        <v>4569</v>
      </c>
      <c r="CB262" s="312" t="s">
        <v>4616</v>
      </c>
      <c r="CC262" s="21">
        <v>0</v>
      </c>
      <c r="CD262" s="21">
        <f>10*PI()*16^2/4</f>
        <v>2010.6192982974676</v>
      </c>
      <c r="CE262" s="312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12">
        <v>437.9</v>
      </c>
      <c r="CX262" s="65">
        <v>200000</v>
      </c>
      <c r="CY262" s="314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12">
        <v>10.9</v>
      </c>
      <c r="DH262" s="307">
        <v>900</v>
      </c>
      <c r="DI262" s="32">
        <v>990</v>
      </c>
      <c r="DJ262" s="307">
        <v>1000</v>
      </c>
      <c r="DK262" s="32">
        <v>1100</v>
      </c>
      <c r="DL262" s="65">
        <v>205000</v>
      </c>
      <c r="DM262" s="128" t="s">
        <v>5841</v>
      </c>
      <c r="DN262" s="314" t="s">
        <v>4432</v>
      </c>
      <c r="DO262" s="302" t="s">
        <v>6007</v>
      </c>
    </row>
    <row r="263" spans="1:119" ht="15.6" customHeight="1">
      <c r="A263" s="309">
        <v>258</v>
      </c>
      <c r="B263" s="317">
        <v>35</v>
      </c>
      <c r="C263" s="317">
        <v>2004</v>
      </c>
      <c r="D263" s="317" t="s">
        <v>4667</v>
      </c>
      <c r="E263" s="317" t="s">
        <v>6136</v>
      </c>
      <c r="F263" s="317">
        <v>3</v>
      </c>
      <c r="G263" s="317" t="s">
        <v>6134</v>
      </c>
      <c r="H263" s="317" t="s">
        <v>4672</v>
      </c>
      <c r="I263" s="317" t="s">
        <v>6233</v>
      </c>
      <c r="J263" s="283" t="s">
        <v>6127</v>
      </c>
      <c r="K263" s="309" t="s">
        <v>6333</v>
      </c>
      <c r="L263" s="17" t="s">
        <v>6132</v>
      </c>
      <c r="M263" s="309" t="s">
        <v>4504</v>
      </c>
      <c r="N263" s="311" t="s">
        <v>6130</v>
      </c>
      <c r="O263" s="17" t="s">
        <v>4503</v>
      </c>
      <c r="P263" s="311" t="s">
        <v>6325</v>
      </c>
      <c r="Q263" s="311" t="s">
        <v>4417</v>
      </c>
      <c r="R263" s="311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311" t="s">
        <v>4417</v>
      </c>
      <c r="Y263" s="311" t="s">
        <v>5786</v>
      </c>
      <c r="Z263" s="311" t="s">
        <v>4555</v>
      </c>
      <c r="AA263" s="17">
        <v>10</v>
      </c>
      <c r="AB263" s="231">
        <v>0</v>
      </c>
      <c r="AC263" s="17">
        <v>0</v>
      </c>
      <c r="AD263" s="30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30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0</v>
      </c>
      <c r="AV263" s="26">
        <v>0</v>
      </c>
      <c r="AW263" s="311" t="s">
        <v>5801</v>
      </c>
      <c r="AX263" s="311" t="s">
        <v>6131</v>
      </c>
      <c r="AY263" s="16">
        <f>210/AZ263/0.25</f>
        <v>42</v>
      </c>
      <c r="AZ263" s="311">
        <v>20</v>
      </c>
      <c r="BA263" s="311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6326</v>
      </c>
      <c r="BH263" s="311" t="s">
        <v>6196</v>
      </c>
      <c r="BI263" s="311" t="s">
        <v>6196</v>
      </c>
      <c r="BJ263" s="311">
        <v>2</v>
      </c>
      <c r="BK263" s="311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309" t="s">
        <v>4381</v>
      </c>
      <c r="CH263" s="311">
        <v>355</v>
      </c>
      <c r="CI263" s="31">
        <f t="shared" ref="CI263:CI265" si="141">CH263*1.1</f>
        <v>390.50000000000006</v>
      </c>
      <c r="CJ263" s="63">
        <v>470</v>
      </c>
      <c r="CK263" s="31">
        <f t="shared" ref="CK263:CK265" si="142">CJ263*1.1</f>
        <v>517</v>
      </c>
      <c r="CL263" s="64">
        <v>200000</v>
      </c>
      <c r="CM263" s="309" t="s">
        <v>4381</v>
      </c>
      <c r="CN263" s="311">
        <v>355</v>
      </c>
      <c r="CO263" s="31">
        <f t="shared" ref="CO263:CO265" si="143">CN263*1.1</f>
        <v>390.50000000000006</v>
      </c>
      <c r="CP263" s="63">
        <v>470</v>
      </c>
      <c r="CQ263" s="31">
        <f t="shared" ref="CQ263:CQ265" si="144">CP263*1.1</f>
        <v>517</v>
      </c>
      <c r="CR263" s="64">
        <v>200000</v>
      </c>
      <c r="CS263" s="309" t="s">
        <v>4381</v>
      </c>
      <c r="CT263" s="311">
        <v>355</v>
      </c>
      <c r="CU263" s="31">
        <f t="shared" ref="CU263:CU265" si="145">CT263*1.1</f>
        <v>390.50000000000006</v>
      </c>
      <c r="CV263" s="63">
        <v>470</v>
      </c>
      <c r="CW263" s="31">
        <f t="shared" ref="CW263:CW265" si="146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311">
        <v>8.8000000000000007</v>
      </c>
      <c r="DH263" s="311">
        <v>640</v>
      </c>
      <c r="DI263" s="30">
        <v>730</v>
      </c>
      <c r="DJ263" s="311">
        <v>800</v>
      </c>
      <c r="DK263" s="30">
        <v>940</v>
      </c>
      <c r="DL263" s="64">
        <v>200000</v>
      </c>
      <c r="DM263" s="28" t="s">
        <v>5829</v>
      </c>
      <c r="DN263" s="311" t="s">
        <v>4432</v>
      </c>
      <c r="DO263" s="300" t="s">
        <v>4562</v>
      </c>
    </row>
    <row r="264" spans="1:119">
      <c r="A264" s="314">
        <v>259</v>
      </c>
      <c r="B264" s="318"/>
      <c r="C264" s="318"/>
      <c r="D264" s="318"/>
      <c r="E264" s="318"/>
      <c r="F264" s="318"/>
      <c r="G264" s="318"/>
      <c r="H264" s="318"/>
      <c r="I264" s="318"/>
      <c r="J264" s="285" t="s">
        <v>6128</v>
      </c>
      <c r="K264" s="314" t="s">
        <v>4531</v>
      </c>
      <c r="L264" s="18" t="s">
        <v>6132</v>
      </c>
      <c r="M264" s="314" t="s">
        <v>4504</v>
      </c>
      <c r="N264" s="312" t="s">
        <v>6130</v>
      </c>
      <c r="O264" s="18" t="s">
        <v>4503</v>
      </c>
      <c r="P264" s="312" t="s">
        <v>4417</v>
      </c>
      <c r="Q264" s="312" t="s">
        <v>4417</v>
      </c>
      <c r="R264" s="312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12" t="s">
        <v>4417</v>
      </c>
      <c r="Y264" s="312" t="s">
        <v>5786</v>
      </c>
      <c r="Z264" s="312" t="s">
        <v>4555</v>
      </c>
      <c r="AA264" s="18">
        <v>10</v>
      </c>
      <c r="AB264" s="222">
        <v>0</v>
      </c>
      <c r="AC264" s="18">
        <v>0</v>
      </c>
      <c r="AD264" s="312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14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0</v>
      </c>
      <c r="AV264" s="24">
        <v>0</v>
      </c>
      <c r="AW264" s="312" t="s">
        <v>5801</v>
      </c>
      <c r="AX264" s="312" t="s">
        <v>6131</v>
      </c>
      <c r="AY264" s="312">
        <f>210/AZ264/0.25</f>
        <v>42</v>
      </c>
      <c r="AZ264" s="312">
        <v>20</v>
      </c>
      <c r="BA264" s="312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6326</v>
      </c>
      <c r="BH264" s="312" t="s">
        <v>6196</v>
      </c>
      <c r="BI264" s="312" t="s">
        <v>6196</v>
      </c>
      <c r="BJ264" s="312">
        <v>2</v>
      </c>
      <c r="BK264" s="312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314" t="s">
        <v>4381</v>
      </c>
      <c r="CH264" s="312">
        <v>355</v>
      </c>
      <c r="CI264" s="33">
        <f t="shared" si="141"/>
        <v>390.50000000000006</v>
      </c>
      <c r="CJ264" s="58">
        <v>470</v>
      </c>
      <c r="CK264" s="33">
        <f t="shared" si="142"/>
        <v>517</v>
      </c>
      <c r="CL264" s="65">
        <v>200000</v>
      </c>
      <c r="CM264" s="314" t="s">
        <v>4381</v>
      </c>
      <c r="CN264" s="312">
        <v>355</v>
      </c>
      <c r="CO264" s="33">
        <f t="shared" si="143"/>
        <v>390.50000000000006</v>
      </c>
      <c r="CP264" s="58">
        <v>470</v>
      </c>
      <c r="CQ264" s="33">
        <f t="shared" si="144"/>
        <v>517</v>
      </c>
      <c r="CR264" s="65">
        <v>200000</v>
      </c>
      <c r="CS264" s="314" t="s">
        <v>4381</v>
      </c>
      <c r="CT264" s="312">
        <v>355</v>
      </c>
      <c r="CU264" s="33">
        <f t="shared" si="145"/>
        <v>390.50000000000006</v>
      </c>
      <c r="CV264" s="58">
        <v>470</v>
      </c>
      <c r="CW264" s="33">
        <f t="shared" si="146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12">
        <v>8.8000000000000007</v>
      </c>
      <c r="DH264" s="312">
        <v>640</v>
      </c>
      <c r="DI264" s="32">
        <v>730</v>
      </c>
      <c r="DJ264" s="312">
        <v>800</v>
      </c>
      <c r="DK264" s="32">
        <v>940</v>
      </c>
      <c r="DL264" s="65">
        <v>200000</v>
      </c>
      <c r="DM264" s="29" t="s">
        <v>6135</v>
      </c>
      <c r="DN264" s="312" t="s">
        <v>4432</v>
      </c>
      <c r="DO264" s="301" t="s">
        <v>4562</v>
      </c>
    </row>
    <row r="265" spans="1:119" ht="16.2" thickBot="1">
      <c r="A265" s="310">
        <v>260</v>
      </c>
      <c r="B265" s="319"/>
      <c r="C265" s="319"/>
      <c r="D265" s="319"/>
      <c r="E265" s="319"/>
      <c r="F265" s="319"/>
      <c r="G265" s="319"/>
      <c r="H265" s="319"/>
      <c r="I265" s="319"/>
      <c r="J265" s="284" t="s">
        <v>6129</v>
      </c>
      <c r="K265" s="310" t="s">
        <v>4531</v>
      </c>
      <c r="L265" s="14" t="s">
        <v>6132</v>
      </c>
      <c r="M265" s="310" t="s">
        <v>4504</v>
      </c>
      <c r="N265" s="313" t="s">
        <v>6130</v>
      </c>
      <c r="O265" s="14" t="s">
        <v>4503</v>
      </c>
      <c r="P265" s="313" t="s">
        <v>4417</v>
      </c>
      <c r="Q265" s="313" t="s">
        <v>4417</v>
      </c>
      <c r="R265" s="313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13" t="s">
        <v>4417</v>
      </c>
      <c r="Y265" s="313" t="s">
        <v>5786</v>
      </c>
      <c r="Z265" s="313" t="s">
        <v>4555</v>
      </c>
      <c r="AA265" s="14">
        <v>10</v>
      </c>
      <c r="AB265" s="227">
        <v>0</v>
      </c>
      <c r="AC265" s="14">
        <v>0</v>
      </c>
      <c r="AD265" s="313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1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0</v>
      </c>
      <c r="AV265" s="25">
        <v>0</v>
      </c>
      <c r="AW265" s="313" t="s">
        <v>5801</v>
      </c>
      <c r="AX265" s="313" t="s">
        <v>6131</v>
      </c>
      <c r="AY265" s="313">
        <f>210/AZ265/0.25</f>
        <v>42</v>
      </c>
      <c r="AZ265" s="313">
        <v>20</v>
      </c>
      <c r="BA265" s="313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6326</v>
      </c>
      <c r="BH265" s="313" t="s">
        <v>6196</v>
      </c>
      <c r="BI265" s="313" t="s">
        <v>6196</v>
      </c>
      <c r="BJ265" s="313">
        <v>2</v>
      </c>
      <c r="BK265" s="313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310" t="s">
        <v>4381</v>
      </c>
      <c r="CH265" s="313">
        <v>355</v>
      </c>
      <c r="CI265" s="35">
        <f t="shared" si="141"/>
        <v>390.50000000000006</v>
      </c>
      <c r="CJ265" s="85">
        <v>470</v>
      </c>
      <c r="CK265" s="35">
        <f t="shared" si="142"/>
        <v>517</v>
      </c>
      <c r="CL265" s="68">
        <v>200000</v>
      </c>
      <c r="CM265" s="310" t="s">
        <v>4381</v>
      </c>
      <c r="CN265" s="313">
        <v>355</v>
      </c>
      <c r="CO265" s="35">
        <f t="shared" si="143"/>
        <v>390.50000000000006</v>
      </c>
      <c r="CP265" s="85">
        <v>470</v>
      </c>
      <c r="CQ265" s="35">
        <f t="shared" si="144"/>
        <v>517</v>
      </c>
      <c r="CR265" s="68">
        <v>200000</v>
      </c>
      <c r="CS265" s="310" t="s">
        <v>4381</v>
      </c>
      <c r="CT265" s="313">
        <v>355</v>
      </c>
      <c r="CU265" s="35">
        <f t="shared" si="145"/>
        <v>390.50000000000006</v>
      </c>
      <c r="CV265" s="85">
        <v>470</v>
      </c>
      <c r="CW265" s="35">
        <f t="shared" si="146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13">
        <v>8.8000000000000007</v>
      </c>
      <c r="DH265" s="313">
        <v>640</v>
      </c>
      <c r="DI265" s="34">
        <v>730</v>
      </c>
      <c r="DJ265" s="313">
        <v>800</v>
      </c>
      <c r="DK265" s="34">
        <v>940</v>
      </c>
      <c r="DL265" s="68">
        <v>200000</v>
      </c>
      <c r="DM265" s="27" t="s">
        <v>6133</v>
      </c>
      <c r="DN265" s="310" t="s">
        <v>4432</v>
      </c>
      <c r="DO265" s="302" t="s">
        <v>4562</v>
      </c>
    </row>
    <row r="266" spans="1:119">
      <c r="A266" s="309">
        <v>261</v>
      </c>
      <c r="B266" s="317">
        <v>36</v>
      </c>
      <c r="C266" s="317">
        <v>2004</v>
      </c>
      <c r="D266" s="317" t="s">
        <v>4749</v>
      </c>
      <c r="E266" s="317" t="s">
        <v>4846</v>
      </c>
      <c r="F266" s="317">
        <v>8</v>
      </c>
      <c r="G266" s="317" t="s">
        <v>5918</v>
      </c>
      <c r="H266" s="317" t="s">
        <v>5913</v>
      </c>
      <c r="I266" s="317" t="s">
        <v>4737</v>
      </c>
      <c r="J266" s="283" t="s">
        <v>4715</v>
      </c>
      <c r="K266" s="309" t="s">
        <v>4380</v>
      </c>
      <c r="L266" s="311" t="s">
        <v>5786</v>
      </c>
      <c r="M266" s="309" t="s">
        <v>4505</v>
      </c>
      <c r="N266" s="311" t="s">
        <v>4699</v>
      </c>
      <c r="O266" s="17" t="s">
        <v>4503</v>
      </c>
      <c r="P266" s="311" t="s">
        <v>4417</v>
      </c>
      <c r="Q266" s="311" t="s">
        <v>4417</v>
      </c>
      <c r="R266" s="311" t="s">
        <v>4417</v>
      </c>
      <c r="S266" s="311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311" t="s">
        <v>4417</v>
      </c>
      <c r="Y266" s="311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30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30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7">(AT266-AK266)-AV266</f>
        <v>12</v>
      </c>
      <c r="AV266" s="16">
        <f t="shared" si="127"/>
        <v>12</v>
      </c>
      <c r="AW266" s="309" t="s">
        <v>5801</v>
      </c>
      <c r="AX266" s="311" t="s">
        <v>4609</v>
      </c>
      <c r="AY266" s="16">
        <f>150/AZ266/0.25</f>
        <v>30</v>
      </c>
      <c r="AZ266" s="311">
        <v>20</v>
      </c>
      <c r="BA266" s="311">
        <f t="shared" si="140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11" t="s">
        <v>6196</v>
      </c>
      <c r="BI266" s="311" t="s">
        <v>6196</v>
      </c>
      <c r="BJ266" s="311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309" t="s">
        <v>4447</v>
      </c>
      <c r="CH266" s="311">
        <v>275</v>
      </c>
      <c r="CI266" s="16">
        <f>(372.02+342.95)/2</f>
        <v>357.48500000000001</v>
      </c>
      <c r="CJ266" s="311">
        <v>410</v>
      </c>
      <c r="CK266" s="16">
        <f>(477.29+448.79)/2</f>
        <v>463.04</v>
      </c>
      <c r="CL266" s="79">
        <f>(206936+220792)/2</f>
        <v>213864</v>
      </c>
      <c r="CM266" s="311" t="s">
        <v>4447</v>
      </c>
      <c r="CN266" s="311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311" t="s">
        <v>4447</v>
      </c>
      <c r="CT266" s="311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311">
        <v>10.9</v>
      </c>
      <c r="DH266" s="311">
        <v>900</v>
      </c>
      <c r="DI266" s="30">
        <v>990</v>
      </c>
      <c r="DJ266" s="311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300" t="s">
        <v>4562</v>
      </c>
    </row>
    <row r="267" spans="1:119">
      <c r="A267" s="314">
        <v>262</v>
      </c>
      <c r="B267" s="318"/>
      <c r="C267" s="318"/>
      <c r="D267" s="318"/>
      <c r="E267" s="318"/>
      <c r="F267" s="318"/>
      <c r="G267" s="318"/>
      <c r="H267" s="318"/>
      <c r="I267" s="318"/>
      <c r="J267" s="285" t="s">
        <v>4716</v>
      </c>
      <c r="K267" s="314" t="s">
        <v>4380</v>
      </c>
      <c r="L267" s="312" t="s">
        <v>5786</v>
      </c>
      <c r="M267" s="314" t="s">
        <v>4505</v>
      </c>
      <c r="N267" s="312" t="s">
        <v>4699</v>
      </c>
      <c r="O267" s="18" t="s">
        <v>4503</v>
      </c>
      <c r="P267" s="312" t="s">
        <v>4417</v>
      </c>
      <c r="Q267" s="312" t="s">
        <v>4417</v>
      </c>
      <c r="R267" s="312" t="s">
        <v>4417</v>
      </c>
      <c r="S267" s="312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12" t="s">
        <v>4417</v>
      </c>
      <c r="Y267" s="312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314" t="s">
        <v>3980</v>
      </c>
      <c r="AE267" s="312">
        <f>INDEX('[2]Cross-Section Database'!$C$2:$V$2928,MATCH(AD267,'[2]Cross-Section Database'!$B$2:$B$2928,0),3)</f>
        <v>240</v>
      </c>
      <c r="AF267" s="312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14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7"/>
        <v>12</v>
      </c>
      <c r="AV267" s="21">
        <f t="shared" si="127"/>
        <v>12</v>
      </c>
      <c r="AW267" s="314" t="s">
        <v>5801</v>
      </c>
      <c r="AX267" s="312" t="s">
        <v>4609</v>
      </c>
      <c r="AY267" s="21">
        <f t="shared" ref="AY267:AY273" si="148">150/AZ267/0.25</f>
        <v>30</v>
      </c>
      <c r="AZ267" s="312">
        <v>20</v>
      </c>
      <c r="BA267" s="312">
        <f t="shared" si="140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12" t="s">
        <v>6196</v>
      </c>
      <c r="BI267" s="312" t="s">
        <v>6196</v>
      </c>
      <c r="BJ267" s="312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314" t="s">
        <v>4447</v>
      </c>
      <c r="CH267" s="312">
        <v>275</v>
      </c>
      <c r="CI267" s="21">
        <f t="shared" ref="CI267:CI273" si="149">(372.02+342.95)/2</f>
        <v>357.48500000000001</v>
      </c>
      <c r="CJ267" s="312">
        <v>411</v>
      </c>
      <c r="CK267" s="21">
        <f t="shared" ref="CK267:CK273" si="150">(477.29+448.79)/2</f>
        <v>463.04</v>
      </c>
      <c r="CL267" s="67">
        <f t="shared" ref="CL267:CL273" si="151">(206936+220792)/2</f>
        <v>213864</v>
      </c>
      <c r="CM267" s="312" t="s">
        <v>4447</v>
      </c>
      <c r="CN267" s="312">
        <v>275</v>
      </c>
      <c r="CO267" s="21">
        <f t="shared" ref="CO267:CO273" si="152">(363.4+340.14)/2</f>
        <v>351.77</v>
      </c>
      <c r="CP267" s="21">
        <v>411</v>
      </c>
      <c r="CQ267" s="21">
        <f t="shared" ref="CQ267:CQ273" si="153">(454.3+448.23)/2</f>
        <v>451.26499999999999</v>
      </c>
      <c r="CR267" s="67">
        <f t="shared" ref="CR267:CR273" si="154">(203713+215222)/2</f>
        <v>209467.5</v>
      </c>
      <c r="CS267" s="312" t="s">
        <v>4447</v>
      </c>
      <c r="CT267" s="312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12">
        <v>10.9</v>
      </c>
      <c r="DH267" s="312">
        <v>900</v>
      </c>
      <c r="DI267" s="32">
        <v>990</v>
      </c>
      <c r="DJ267" s="312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301" t="s">
        <v>4562</v>
      </c>
    </row>
    <row r="268" spans="1:119">
      <c r="A268" s="314">
        <v>263</v>
      </c>
      <c r="B268" s="318"/>
      <c r="C268" s="318"/>
      <c r="D268" s="318"/>
      <c r="E268" s="318"/>
      <c r="F268" s="318"/>
      <c r="G268" s="318"/>
      <c r="H268" s="318"/>
      <c r="I268" s="318"/>
      <c r="J268" s="285" t="s">
        <v>4717</v>
      </c>
      <c r="K268" s="314" t="s">
        <v>4380</v>
      </c>
      <c r="L268" s="312" t="s">
        <v>5786</v>
      </c>
      <c r="M268" s="314" t="s">
        <v>4505</v>
      </c>
      <c r="N268" s="312" t="s">
        <v>4699</v>
      </c>
      <c r="O268" s="18" t="s">
        <v>4503</v>
      </c>
      <c r="P268" s="312" t="s">
        <v>4417</v>
      </c>
      <c r="Q268" s="312" t="s">
        <v>4417</v>
      </c>
      <c r="R268" s="312" t="s">
        <v>4417</v>
      </c>
      <c r="S268" s="312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12" t="s">
        <v>4417</v>
      </c>
      <c r="Y268" s="312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314" t="s">
        <v>3980</v>
      </c>
      <c r="AE268" s="312">
        <f>INDEX('[2]Cross-Section Database'!$C$2:$V$2928,MATCH(AD268,'[2]Cross-Section Database'!$B$2:$B$2928,0),3)</f>
        <v>240</v>
      </c>
      <c r="AF268" s="312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14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7"/>
        <v>12</v>
      </c>
      <c r="AV268" s="21">
        <f t="shared" si="127"/>
        <v>12</v>
      </c>
      <c r="AW268" s="314" t="s">
        <v>5801</v>
      </c>
      <c r="AX268" s="312" t="s">
        <v>4609</v>
      </c>
      <c r="AY268" s="21">
        <f t="shared" si="148"/>
        <v>30</v>
      </c>
      <c r="AZ268" s="312">
        <v>20</v>
      </c>
      <c r="BA268" s="312">
        <f t="shared" si="140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12" t="s">
        <v>6196</v>
      </c>
      <c r="BI268" s="312" t="s">
        <v>6196</v>
      </c>
      <c r="BJ268" s="312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314" t="s">
        <v>4447</v>
      </c>
      <c r="CH268" s="312">
        <v>275</v>
      </c>
      <c r="CI268" s="21">
        <f t="shared" si="149"/>
        <v>357.48500000000001</v>
      </c>
      <c r="CJ268" s="312">
        <v>412</v>
      </c>
      <c r="CK268" s="21">
        <f t="shared" si="150"/>
        <v>463.04</v>
      </c>
      <c r="CL268" s="67">
        <f t="shared" si="151"/>
        <v>213864</v>
      </c>
      <c r="CM268" s="312" t="s">
        <v>4447</v>
      </c>
      <c r="CN268" s="312">
        <v>275</v>
      </c>
      <c r="CO268" s="21">
        <f t="shared" si="152"/>
        <v>351.77</v>
      </c>
      <c r="CP268" s="21">
        <v>412</v>
      </c>
      <c r="CQ268" s="21">
        <f t="shared" si="153"/>
        <v>451.26499999999999</v>
      </c>
      <c r="CR268" s="67">
        <f t="shared" si="154"/>
        <v>209467.5</v>
      </c>
      <c r="CS268" s="312" t="s">
        <v>4447</v>
      </c>
      <c r="CT268" s="312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12">
        <v>10.9</v>
      </c>
      <c r="DH268" s="312">
        <v>900</v>
      </c>
      <c r="DI268" s="32">
        <v>990</v>
      </c>
      <c r="DJ268" s="312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301" t="s">
        <v>4562</v>
      </c>
    </row>
    <row r="269" spans="1:119">
      <c r="A269" s="314">
        <v>264</v>
      </c>
      <c r="B269" s="318"/>
      <c r="C269" s="318"/>
      <c r="D269" s="318"/>
      <c r="E269" s="318"/>
      <c r="F269" s="318"/>
      <c r="G269" s="318"/>
      <c r="H269" s="318"/>
      <c r="I269" s="318"/>
      <c r="J269" s="285" t="s">
        <v>4718</v>
      </c>
      <c r="K269" s="314" t="s">
        <v>4380</v>
      </c>
      <c r="L269" s="312" t="s">
        <v>5786</v>
      </c>
      <c r="M269" s="314" t="s">
        <v>4505</v>
      </c>
      <c r="N269" s="312" t="s">
        <v>4699</v>
      </c>
      <c r="O269" s="18" t="s">
        <v>4503</v>
      </c>
      <c r="P269" s="312" t="s">
        <v>4417</v>
      </c>
      <c r="Q269" s="312" t="s">
        <v>4417</v>
      </c>
      <c r="R269" s="312" t="s">
        <v>4417</v>
      </c>
      <c r="S269" s="312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12" t="s">
        <v>4417</v>
      </c>
      <c r="Y269" s="312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314" t="s">
        <v>3980</v>
      </c>
      <c r="AE269" s="312">
        <f>INDEX('[2]Cross-Section Database'!$C$2:$V$2928,MATCH(AD269,'[2]Cross-Section Database'!$B$2:$B$2928,0),3)</f>
        <v>240</v>
      </c>
      <c r="AF269" s="312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14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7"/>
        <v>12</v>
      </c>
      <c r="AV269" s="21">
        <f t="shared" si="127"/>
        <v>12</v>
      </c>
      <c r="AW269" s="314" t="s">
        <v>5801</v>
      </c>
      <c r="AX269" s="312" t="s">
        <v>4609</v>
      </c>
      <c r="AY269" s="21">
        <f t="shared" si="148"/>
        <v>30</v>
      </c>
      <c r="AZ269" s="312">
        <v>20</v>
      </c>
      <c r="BA269" s="312">
        <f t="shared" si="140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12" t="s">
        <v>6196</v>
      </c>
      <c r="BI269" s="312" t="s">
        <v>6196</v>
      </c>
      <c r="BJ269" s="312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314" t="s">
        <v>4447</v>
      </c>
      <c r="CH269" s="312">
        <v>275</v>
      </c>
      <c r="CI269" s="21">
        <f t="shared" si="149"/>
        <v>357.48500000000001</v>
      </c>
      <c r="CJ269" s="312">
        <v>412</v>
      </c>
      <c r="CK269" s="21">
        <f t="shared" si="150"/>
        <v>463.04</v>
      </c>
      <c r="CL269" s="67">
        <f t="shared" si="151"/>
        <v>213864</v>
      </c>
      <c r="CM269" s="312" t="s">
        <v>4447</v>
      </c>
      <c r="CN269" s="312">
        <v>275</v>
      </c>
      <c r="CO269" s="21">
        <f t="shared" si="152"/>
        <v>351.77</v>
      </c>
      <c r="CP269" s="21">
        <v>412</v>
      </c>
      <c r="CQ269" s="21">
        <f t="shared" si="153"/>
        <v>451.26499999999999</v>
      </c>
      <c r="CR269" s="67">
        <f t="shared" si="154"/>
        <v>209467.5</v>
      </c>
      <c r="CS269" s="312" t="s">
        <v>4447</v>
      </c>
      <c r="CT269" s="312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12">
        <v>10.9</v>
      </c>
      <c r="DH269" s="312">
        <v>900</v>
      </c>
      <c r="DI269" s="32">
        <v>990</v>
      </c>
      <c r="DJ269" s="312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301" t="s">
        <v>4562</v>
      </c>
    </row>
    <row r="270" spans="1:119" ht="15.6" customHeight="1">
      <c r="A270" s="314">
        <v>265</v>
      </c>
      <c r="B270" s="318"/>
      <c r="C270" s="318"/>
      <c r="D270" s="318"/>
      <c r="E270" s="318"/>
      <c r="F270" s="318"/>
      <c r="G270" s="318"/>
      <c r="H270" s="318"/>
      <c r="I270" s="318"/>
      <c r="J270" s="285" t="s">
        <v>4719</v>
      </c>
      <c r="K270" s="314" t="s">
        <v>4380</v>
      </c>
      <c r="L270" s="312" t="s">
        <v>5786</v>
      </c>
      <c r="M270" s="314" t="s">
        <v>4505</v>
      </c>
      <c r="N270" s="312" t="s">
        <v>4699</v>
      </c>
      <c r="O270" s="18" t="s">
        <v>4503</v>
      </c>
      <c r="P270" s="312" t="s">
        <v>4417</v>
      </c>
      <c r="Q270" s="312" t="s">
        <v>4417</v>
      </c>
      <c r="R270" s="312" t="s">
        <v>4417</v>
      </c>
      <c r="S270" s="312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12" t="s">
        <v>4417</v>
      </c>
      <c r="Y270" s="312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314" t="s">
        <v>3980</v>
      </c>
      <c r="AE270" s="312">
        <f>INDEX('[2]Cross-Section Database'!$C$2:$V$2928,MATCH(AD270,'[2]Cross-Section Database'!$B$2:$B$2928,0),3)</f>
        <v>240</v>
      </c>
      <c r="AF270" s="312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14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7"/>
        <v>12</v>
      </c>
      <c r="AV270" s="21">
        <f t="shared" si="127"/>
        <v>12</v>
      </c>
      <c r="AW270" s="314" t="s">
        <v>5801</v>
      </c>
      <c r="AX270" s="312" t="s">
        <v>4609</v>
      </c>
      <c r="AY270" s="21">
        <f t="shared" si="148"/>
        <v>30</v>
      </c>
      <c r="AZ270" s="312">
        <v>20</v>
      </c>
      <c r="BA270" s="312">
        <f t="shared" si="140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12" t="s">
        <v>6196</v>
      </c>
      <c r="BI270" s="312" t="s">
        <v>6196</v>
      </c>
      <c r="BJ270" s="312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314" t="s">
        <v>4447</v>
      </c>
      <c r="CH270" s="312">
        <v>275</v>
      </c>
      <c r="CI270" s="21">
        <f t="shared" si="149"/>
        <v>357.48500000000001</v>
      </c>
      <c r="CJ270" s="312">
        <v>412</v>
      </c>
      <c r="CK270" s="21">
        <f t="shared" si="150"/>
        <v>463.04</v>
      </c>
      <c r="CL270" s="67">
        <f t="shared" si="151"/>
        <v>213864</v>
      </c>
      <c r="CM270" s="312" t="s">
        <v>4447</v>
      </c>
      <c r="CN270" s="312">
        <v>275</v>
      </c>
      <c r="CO270" s="21">
        <f t="shared" si="152"/>
        <v>351.77</v>
      </c>
      <c r="CP270" s="21">
        <v>412</v>
      </c>
      <c r="CQ270" s="21">
        <f t="shared" si="153"/>
        <v>451.26499999999999</v>
      </c>
      <c r="CR270" s="67">
        <f t="shared" si="154"/>
        <v>209467.5</v>
      </c>
      <c r="CS270" s="312" t="s">
        <v>4447</v>
      </c>
      <c r="CT270" s="312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12">
        <v>10.9</v>
      </c>
      <c r="DH270" s="312">
        <v>900</v>
      </c>
      <c r="DI270" s="32">
        <v>990</v>
      </c>
      <c r="DJ270" s="312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301" t="s">
        <v>4562</v>
      </c>
    </row>
    <row r="271" spans="1:119" ht="15.6" customHeight="1">
      <c r="A271" s="314">
        <v>266</v>
      </c>
      <c r="B271" s="318"/>
      <c r="C271" s="318"/>
      <c r="D271" s="318"/>
      <c r="E271" s="318"/>
      <c r="F271" s="318"/>
      <c r="G271" s="318"/>
      <c r="H271" s="318"/>
      <c r="I271" s="318"/>
      <c r="J271" s="285" t="s">
        <v>4720</v>
      </c>
      <c r="K271" s="314" t="s">
        <v>4380</v>
      </c>
      <c r="L271" s="312" t="s">
        <v>5786</v>
      </c>
      <c r="M271" s="314" t="s">
        <v>4505</v>
      </c>
      <c r="N271" s="312" t="s">
        <v>4699</v>
      </c>
      <c r="O271" s="18" t="s">
        <v>4503</v>
      </c>
      <c r="P271" s="312" t="s">
        <v>4417</v>
      </c>
      <c r="Q271" s="312" t="s">
        <v>4417</v>
      </c>
      <c r="R271" s="312" t="s">
        <v>4417</v>
      </c>
      <c r="S271" s="312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12" t="s">
        <v>4417</v>
      </c>
      <c r="Y271" s="312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314" t="s">
        <v>3980</v>
      </c>
      <c r="AE271" s="312">
        <f>INDEX('[2]Cross-Section Database'!$C$2:$V$2928,MATCH(AD271,'[2]Cross-Section Database'!$B$2:$B$2928,0),3)</f>
        <v>240</v>
      </c>
      <c r="AF271" s="312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14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7"/>
        <v>12</v>
      </c>
      <c r="AV271" s="21">
        <f t="shared" si="127"/>
        <v>12</v>
      </c>
      <c r="AW271" s="314" t="s">
        <v>5801</v>
      </c>
      <c r="AX271" s="312" t="s">
        <v>4609</v>
      </c>
      <c r="AY271" s="21">
        <f t="shared" si="148"/>
        <v>30</v>
      </c>
      <c r="AZ271" s="312">
        <v>20</v>
      </c>
      <c r="BA271" s="312">
        <f t="shared" si="140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12" t="s">
        <v>6196</v>
      </c>
      <c r="BI271" s="312" t="s">
        <v>6196</v>
      </c>
      <c r="BJ271" s="312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314" t="s">
        <v>4447</v>
      </c>
      <c r="CH271" s="312">
        <v>275</v>
      </c>
      <c r="CI271" s="21">
        <f t="shared" si="149"/>
        <v>357.48500000000001</v>
      </c>
      <c r="CJ271" s="312">
        <v>412</v>
      </c>
      <c r="CK271" s="21">
        <f t="shared" si="150"/>
        <v>463.04</v>
      </c>
      <c r="CL271" s="67">
        <f t="shared" si="151"/>
        <v>213864</v>
      </c>
      <c r="CM271" s="312" t="s">
        <v>4447</v>
      </c>
      <c r="CN271" s="312">
        <v>275</v>
      </c>
      <c r="CO271" s="21">
        <f t="shared" si="152"/>
        <v>351.77</v>
      </c>
      <c r="CP271" s="21">
        <v>412</v>
      </c>
      <c r="CQ271" s="21">
        <f t="shared" si="153"/>
        <v>451.26499999999999</v>
      </c>
      <c r="CR271" s="67">
        <f t="shared" si="154"/>
        <v>209467.5</v>
      </c>
      <c r="CS271" s="312" t="s">
        <v>4447</v>
      </c>
      <c r="CT271" s="312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12">
        <v>10.9</v>
      </c>
      <c r="DH271" s="312">
        <v>900</v>
      </c>
      <c r="DI271" s="32">
        <v>990</v>
      </c>
      <c r="DJ271" s="312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301" t="s">
        <v>4562</v>
      </c>
    </row>
    <row r="272" spans="1:119">
      <c r="A272" s="314">
        <v>267</v>
      </c>
      <c r="B272" s="318"/>
      <c r="C272" s="318"/>
      <c r="D272" s="318"/>
      <c r="E272" s="318"/>
      <c r="F272" s="318"/>
      <c r="G272" s="318"/>
      <c r="H272" s="318"/>
      <c r="I272" s="318"/>
      <c r="J272" s="285" t="s">
        <v>4721</v>
      </c>
      <c r="K272" s="314" t="s">
        <v>4380</v>
      </c>
      <c r="L272" s="312" t="s">
        <v>5786</v>
      </c>
      <c r="M272" s="314" t="s">
        <v>4505</v>
      </c>
      <c r="N272" s="312" t="s">
        <v>4699</v>
      </c>
      <c r="O272" s="18" t="s">
        <v>4503</v>
      </c>
      <c r="P272" s="312" t="s">
        <v>4417</v>
      </c>
      <c r="Q272" s="312" t="s">
        <v>4417</v>
      </c>
      <c r="R272" s="312" t="s">
        <v>4417</v>
      </c>
      <c r="S272" s="312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12" t="s">
        <v>4417</v>
      </c>
      <c r="Y272" s="312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314" t="s">
        <v>3980</v>
      </c>
      <c r="AE272" s="312">
        <f>INDEX('[2]Cross-Section Database'!$C$2:$V$2928,MATCH(AD272,'[2]Cross-Section Database'!$B$2:$B$2928,0),3)</f>
        <v>240</v>
      </c>
      <c r="AF272" s="312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14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7"/>
        <v>12</v>
      </c>
      <c r="AV272" s="21">
        <f t="shared" si="127"/>
        <v>12</v>
      </c>
      <c r="AW272" s="314" t="s">
        <v>5801</v>
      </c>
      <c r="AX272" s="312" t="s">
        <v>4609</v>
      </c>
      <c r="AY272" s="21">
        <f t="shared" si="148"/>
        <v>30</v>
      </c>
      <c r="AZ272" s="312">
        <v>20</v>
      </c>
      <c r="BA272" s="312">
        <f t="shared" si="140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12" t="s">
        <v>6196</v>
      </c>
      <c r="BI272" s="312" t="s">
        <v>6196</v>
      </c>
      <c r="BJ272" s="312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314" t="s">
        <v>4447</v>
      </c>
      <c r="CH272" s="312">
        <v>275</v>
      </c>
      <c r="CI272" s="21">
        <f t="shared" si="149"/>
        <v>357.48500000000001</v>
      </c>
      <c r="CJ272" s="312">
        <v>412</v>
      </c>
      <c r="CK272" s="21">
        <f t="shared" si="150"/>
        <v>463.04</v>
      </c>
      <c r="CL272" s="67">
        <f t="shared" si="151"/>
        <v>213864</v>
      </c>
      <c r="CM272" s="312" t="s">
        <v>4447</v>
      </c>
      <c r="CN272" s="312">
        <v>275</v>
      </c>
      <c r="CO272" s="21">
        <f t="shared" si="152"/>
        <v>351.77</v>
      </c>
      <c r="CP272" s="21">
        <v>412</v>
      </c>
      <c r="CQ272" s="21">
        <f t="shared" si="153"/>
        <v>451.26499999999999</v>
      </c>
      <c r="CR272" s="67">
        <f t="shared" si="154"/>
        <v>209467.5</v>
      </c>
      <c r="CS272" s="312" t="s">
        <v>4447</v>
      </c>
      <c r="CT272" s="312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12">
        <v>10.9</v>
      </c>
      <c r="DH272" s="312">
        <v>900</v>
      </c>
      <c r="DI272" s="32">
        <v>990</v>
      </c>
      <c r="DJ272" s="312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301" t="s">
        <v>4562</v>
      </c>
    </row>
    <row r="273" spans="1:119" ht="16.2" thickBot="1">
      <c r="A273" s="310">
        <v>268</v>
      </c>
      <c r="B273" s="319"/>
      <c r="C273" s="319"/>
      <c r="D273" s="319"/>
      <c r="E273" s="319"/>
      <c r="F273" s="319"/>
      <c r="G273" s="319"/>
      <c r="H273" s="319"/>
      <c r="I273" s="319"/>
      <c r="J273" s="284" t="s">
        <v>4722</v>
      </c>
      <c r="K273" s="310" t="s">
        <v>4380</v>
      </c>
      <c r="L273" s="313" t="s">
        <v>5786</v>
      </c>
      <c r="M273" s="310" t="s">
        <v>4505</v>
      </c>
      <c r="N273" s="313" t="s">
        <v>4699</v>
      </c>
      <c r="O273" s="14" t="s">
        <v>4503</v>
      </c>
      <c r="P273" s="313" t="s">
        <v>4417</v>
      </c>
      <c r="Q273" s="313" t="s">
        <v>4417</v>
      </c>
      <c r="R273" s="313" t="s">
        <v>4417</v>
      </c>
      <c r="S273" s="313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13" t="s">
        <v>4417</v>
      </c>
      <c r="Y273" s="313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310" t="s">
        <v>3980</v>
      </c>
      <c r="AE273" s="313">
        <f>INDEX('[2]Cross-Section Database'!$C$2:$V$2928,MATCH(AD273,'[2]Cross-Section Database'!$B$2:$B$2928,0),3)</f>
        <v>240</v>
      </c>
      <c r="AF273" s="313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1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7"/>
        <v>12</v>
      </c>
      <c r="AV273" s="23">
        <f t="shared" si="127"/>
        <v>12</v>
      </c>
      <c r="AW273" s="310" t="s">
        <v>5801</v>
      </c>
      <c r="AX273" s="313" t="s">
        <v>4609</v>
      </c>
      <c r="AY273" s="23">
        <f t="shared" si="148"/>
        <v>30</v>
      </c>
      <c r="AZ273" s="313">
        <v>20</v>
      </c>
      <c r="BA273" s="313">
        <f t="shared" si="140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13" t="s">
        <v>6196</v>
      </c>
      <c r="BI273" s="313" t="s">
        <v>6196</v>
      </c>
      <c r="BJ273" s="313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310" t="s">
        <v>4447</v>
      </c>
      <c r="CH273" s="313">
        <v>275</v>
      </c>
      <c r="CI273" s="23">
        <f t="shared" si="149"/>
        <v>357.48500000000001</v>
      </c>
      <c r="CJ273" s="313">
        <v>412</v>
      </c>
      <c r="CK273" s="23">
        <f t="shared" si="150"/>
        <v>463.04</v>
      </c>
      <c r="CL273" s="81">
        <f t="shared" si="151"/>
        <v>213864</v>
      </c>
      <c r="CM273" s="313" t="s">
        <v>4447</v>
      </c>
      <c r="CN273" s="313">
        <v>275</v>
      </c>
      <c r="CO273" s="23">
        <f t="shared" si="152"/>
        <v>351.77</v>
      </c>
      <c r="CP273" s="23">
        <v>412</v>
      </c>
      <c r="CQ273" s="23">
        <f t="shared" si="153"/>
        <v>451.26499999999999</v>
      </c>
      <c r="CR273" s="81">
        <f t="shared" si="154"/>
        <v>209467.5</v>
      </c>
      <c r="CS273" s="313" t="s">
        <v>4447</v>
      </c>
      <c r="CT273" s="313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13">
        <v>10.9</v>
      </c>
      <c r="DH273" s="313">
        <v>900</v>
      </c>
      <c r="DI273" s="34">
        <v>990</v>
      </c>
      <c r="DJ273" s="313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302" t="s">
        <v>4562</v>
      </c>
    </row>
    <row r="274" spans="1:119">
      <c r="A274" s="309">
        <v>269</v>
      </c>
      <c r="B274" s="417">
        <v>37</v>
      </c>
      <c r="C274" s="417">
        <v>2006</v>
      </c>
      <c r="D274" s="329" t="s">
        <v>4675</v>
      </c>
      <c r="E274" s="329" t="s">
        <v>4870</v>
      </c>
      <c r="F274" s="317">
        <v>6</v>
      </c>
      <c r="G274" s="317" t="s">
        <v>5926</v>
      </c>
      <c r="H274" s="317" t="s">
        <v>5917</v>
      </c>
      <c r="I274" s="317" t="s">
        <v>6234</v>
      </c>
      <c r="J274" s="283" t="s">
        <v>4592</v>
      </c>
      <c r="K274" s="309" t="s">
        <v>4380</v>
      </c>
      <c r="L274" s="311" t="s">
        <v>5786</v>
      </c>
      <c r="M274" s="309" t="s">
        <v>4504</v>
      </c>
      <c r="N274" s="311" t="s">
        <v>4697</v>
      </c>
      <c r="O274" s="17" t="s">
        <v>4503</v>
      </c>
      <c r="P274" s="311" t="s">
        <v>4467</v>
      </c>
      <c r="Q274" s="311" t="s">
        <v>4467</v>
      </c>
      <c r="R274" s="311" t="s">
        <v>4417</v>
      </c>
      <c r="S274" s="311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311" t="s">
        <v>4417</v>
      </c>
      <c r="Y274" s="311" t="s">
        <v>5786</v>
      </c>
      <c r="Z274" s="311" t="s">
        <v>6081</v>
      </c>
      <c r="AA274" s="17">
        <v>8</v>
      </c>
      <c r="AB274" s="231">
        <v>0</v>
      </c>
      <c r="AC274" s="17">
        <v>0</v>
      </c>
      <c r="AD274" s="30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30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11">
        <v>25</v>
      </c>
      <c r="AW274" s="314" t="s">
        <v>5653</v>
      </c>
      <c r="AX274" s="312" t="s">
        <v>4601</v>
      </c>
      <c r="AY274" s="280">
        <f t="shared" ref="AY274:AY279" si="155" xml:space="preserve"> 300/AZ274/0.25</f>
        <v>60</v>
      </c>
      <c r="AZ274" s="312">
        <v>20</v>
      </c>
      <c r="BA274" s="312">
        <f t="shared" si="140"/>
        <v>245</v>
      </c>
      <c r="BB274" s="21">
        <v>85</v>
      </c>
      <c r="BC274" s="21">
        <f t="shared" ref="BC274:BC279" si="156">BB274</f>
        <v>85</v>
      </c>
      <c r="BD274" s="21">
        <v>0</v>
      </c>
      <c r="BE274" s="21">
        <v>100</v>
      </c>
      <c r="BF274" s="21">
        <f t="shared" ref="BF274:BF279" si="157">AT274-BB274-BC274-BD274</f>
        <v>130</v>
      </c>
      <c r="BG274" s="15" t="s">
        <v>4467</v>
      </c>
      <c r="BH274" s="312" t="s">
        <v>6196</v>
      </c>
      <c r="BI274" s="312" t="s">
        <v>6196</v>
      </c>
      <c r="BJ274" s="312">
        <v>2</v>
      </c>
      <c r="BK274" s="312">
        <v>4</v>
      </c>
      <c r="BL274" s="309">
        <v>120</v>
      </c>
      <c r="BM274" s="311">
        <v>515</v>
      </c>
      <c r="BN274" s="311" t="s">
        <v>6181</v>
      </c>
      <c r="BO274" s="311">
        <v>1</v>
      </c>
      <c r="BP274" s="311">
        <v>180</v>
      </c>
      <c r="BQ274" s="311">
        <v>1678</v>
      </c>
      <c r="BR274" s="311">
        <v>52</v>
      </c>
      <c r="BS274" s="311" t="s">
        <v>4586</v>
      </c>
      <c r="BT274" s="309" t="s">
        <v>5850</v>
      </c>
      <c r="BU274" s="311">
        <v>5</v>
      </c>
      <c r="BV274" s="311">
        <v>1</v>
      </c>
      <c r="BW274" s="311">
        <v>19</v>
      </c>
      <c r="BX274" s="311">
        <v>100</v>
      </c>
      <c r="BY274" s="311">
        <v>100</v>
      </c>
      <c r="BZ274" s="17">
        <v>265</v>
      </c>
      <c r="CA274" s="311" t="s">
        <v>4602</v>
      </c>
      <c r="CB274" s="311" t="s">
        <v>4577</v>
      </c>
      <c r="CC274" s="16">
        <f t="shared" ref="CC274:CC277" si="158">((BM274/150)+1)*PI()*12^2/4</f>
        <v>501.39818751293103</v>
      </c>
      <c r="CD274" s="16">
        <f>4*PI()*16^2/4</f>
        <v>804.24771931898704</v>
      </c>
      <c r="CE274" s="311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311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309">
        <v>596</v>
      </c>
      <c r="DD274" s="311">
        <v>683</v>
      </c>
      <c r="DE274" s="64">
        <v>200000</v>
      </c>
      <c r="DF274" s="297">
        <v>550</v>
      </c>
      <c r="DG274" s="311">
        <v>8.8000000000000007</v>
      </c>
      <c r="DH274" s="311">
        <v>640</v>
      </c>
      <c r="DI274" s="311">
        <v>984</v>
      </c>
      <c r="DJ274" s="311">
        <v>800</v>
      </c>
      <c r="DK274" s="311">
        <v>1040</v>
      </c>
      <c r="DL274" s="64">
        <v>200000</v>
      </c>
      <c r="DM274" s="42" t="s">
        <v>6033</v>
      </c>
      <c r="DN274" s="311" t="s">
        <v>4557</v>
      </c>
      <c r="DO274" s="300" t="s">
        <v>6138</v>
      </c>
    </row>
    <row r="275" spans="1:119">
      <c r="A275" s="314">
        <v>270</v>
      </c>
      <c r="B275" s="427"/>
      <c r="C275" s="427"/>
      <c r="D275" s="330"/>
      <c r="E275" s="330"/>
      <c r="F275" s="318"/>
      <c r="G275" s="318"/>
      <c r="H275" s="318"/>
      <c r="I275" s="318"/>
      <c r="J275" s="285" t="s">
        <v>4593</v>
      </c>
      <c r="K275" s="314" t="s">
        <v>4380</v>
      </c>
      <c r="L275" s="312" t="s">
        <v>5786</v>
      </c>
      <c r="M275" s="314" t="s">
        <v>4504</v>
      </c>
      <c r="N275" s="312" t="s">
        <v>4697</v>
      </c>
      <c r="O275" s="18" t="s">
        <v>4503</v>
      </c>
      <c r="P275" s="312" t="s">
        <v>4467</v>
      </c>
      <c r="Q275" s="312" t="s">
        <v>4467</v>
      </c>
      <c r="R275" s="312" t="s">
        <v>4417</v>
      </c>
      <c r="S275" s="312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12" t="s">
        <v>4417</v>
      </c>
      <c r="Y275" s="312" t="s">
        <v>5786</v>
      </c>
      <c r="Z275" s="312" t="s">
        <v>6081</v>
      </c>
      <c r="AA275" s="18">
        <v>8</v>
      </c>
      <c r="AB275" s="222">
        <v>0</v>
      </c>
      <c r="AC275" s="18">
        <v>0</v>
      </c>
      <c r="AD275" s="314" t="s">
        <v>5486</v>
      </c>
      <c r="AE275" s="312">
        <f>INDEX('[2]Cross-Section Database'!$C$2:$V$2928,MATCH(AD275,'[2]Cross-Section Database'!$B$2:$B$2928,0),3)</f>
        <v>200</v>
      </c>
      <c r="AF275" s="312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14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14" t="s">
        <v>5653</v>
      </c>
      <c r="AX275" s="312" t="s">
        <v>4601</v>
      </c>
      <c r="AY275" s="43">
        <f t="shared" si="155"/>
        <v>60</v>
      </c>
      <c r="AZ275" s="312">
        <v>20</v>
      </c>
      <c r="BA275" s="312">
        <f t="shared" si="140"/>
        <v>245</v>
      </c>
      <c r="BB275" s="21">
        <v>85</v>
      </c>
      <c r="BC275" s="21">
        <f t="shared" si="156"/>
        <v>85</v>
      </c>
      <c r="BD275" s="21">
        <v>0</v>
      </c>
      <c r="BE275" s="21">
        <v>100</v>
      </c>
      <c r="BF275" s="21">
        <f t="shared" si="157"/>
        <v>130</v>
      </c>
      <c r="BG275" s="15" t="s">
        <v>4467</v>
      </c>
      <c r="BH275" s="312" t="s">
        <v>6196</v>
      </c>
      <c r="BI275" s="312" t="s">
        <v>6196</v>
      </c>
      <c r="BJ275" s="312">
        <v>2</v>
      </c>
      <c r="BK275" s="312">
        <v>4</v>
      </c>
      <c r="BL275" s="314">
        <v>120</v>
      </c>
      <c r="BM275" s="312">
        <v>515</v>
      </c>
      <c r="BN275" s="312" t="s">
        <v>6181</v>
      </c>
      <c r="BO275" s="312">
        <v>1</v>
      </c>
      <c r="BP275" s="312">
        <v>180</v>
      </c>
      <c r="BQ275" s="312">
        <v>1678</v>
      </c>
      <c r="BR275" s="312">
        <v>52</v>
      </c>
      <c r="BS275" s="312" t="s">
        <v>4586</v>
      </c>
      <c r="BT275" s="314" t="s">
        <v>5850</v>
      </c>
      <c r="BU275" s="312">
        <v>3</v>
      </c>
      <c r="BV275" s="312">
        <v>1</v>
      </c>
      <c r="BW275" s="312">
        <v>19</v>
      </c>
      <c r="BX275" s="312">
        <v>100</v>
      </c>
      <c r="BY275" s="312">
        <v>100</v>
      </c>
      <c r="BZ275" s="18">
        <v>480</v>
      </c>
      <c r="CA275" s="312" t="s">
        <v>4602</v>
      </c>
      <c r="CB275" s="312" t="s">
        <v>4577</v>
      </c>
      <c r="CC275" s="21">
        <f t="shared" si="158"/>
        <v>501.39818751293103</v>
      </c>
      <c r="CD275" s="21">
        <f>4*PI()*16^2/4</f>
        <v>804.24771931898704</v>
      </c>
      <c r="CE275" s="312">
        <v>20</v>
      </c>
      <c r="CF275" s="118">
        <f t="shared" ref="CF275:CF278" si="159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12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314">
        <v>596</v>
      </c>
      <c r="DD275" s="312">
        <v>683</v>
      </c>
      <c r="DE275" s="65">
        <v>200000</v>
      </c>
      <c r="DF275" s="298">
        <v>550</v>
      </c>
      <c r="DG275" s="312">
        <v>8.8000000000000007</v>
      </c>
      <c r="DH275" s="312">
        <v>640</v>
      </c>
      <c r="DI275" s="312">
        <v>984</v>
      </c>
      <c r="DJ275" s="312">
        <v>800</v>
      </c>
      <c r="DK275" s="312">
        <v>1040</v>
      </c>
      <c r="DL275" s="65">
        <v>200000</v>
      </c>
      <c r="DM275" s="40" t="s">
        <v>6033</v>
      </c>
      <c r="DN275" s="312" t="s">
        <v>4557</v>
      </c>
      <c r="DO275" s="301" t="s">
        <v>6139</v>
      </c>
    </row>
    <row r="276" spans="1:119" ht="15.6" customHeight="1">
      <c r="A276" s="314">
        <v>271</v>
      </c>
      <c r="B276" s="427"/>
      <c r="C276" s="427"/>
      <c r="D276" s="330"/>
      <c r="E276" s="330"/>
      <c r="F276" s="318"/>
      <c r="G276" s="318"/>
      <c r="H276" s="318"/>
      <c r="I276" s="318"/>
      <c r="J276" s="285" t="s">
        <v>4594</v>
      </c>
      <c r="K276" s="314" t="s">
        <v>4380</v>
      </c>
      <c r="L276" s="312" t="s">
        <v>5786</v>
      </c>
      <c r="M276" s="314" t="s">
        <v>4504</v>
      </c>
      <c r="N276" s="312" t="s">
        <v>4697</v>
      </c>
      <c r="O276" s="18" t="s">
        <v>4503</v>
      </c>
      <c r="P276" s="312" t="s">
        <v>4467</v>
      </c>
      <c r="Q276" s="312" t="s">
        <v>4467</v>
      </c>
      <c r="R276" s="312" t="s">
        <v>4417</v>
      </c>
      <c r="S276" s="312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12" t="s">
        <v>4417</v>
      </c>
      <c r="Y276" s="312" t="s">
        <v>5786</v>
      </c>
      <c r="Z276" s="312" t="s">
        <v>6081</v>
      </c>
      <c r="AA276" s="18">
        <v>8</v>
      </c>
      <c r="AB276" s="222">
        <v>0</v>
      </c>
      <c r="AC276" s="18">
        <v>0</v>
      </c>
      <c r="AD276" s="314" t="s">
        <v>5486</v>
      </c>
      <c r="AE276" s="312">
        <f>INDEX('[2]Cross-Section Database'!$C$2:$V$2928,MATCH(AD276,'[2]Cross-Section Database'!$B$2:$B$2928,0),3)</f>
        <v>200</v>
      </c>
      <c r="AF276" s="312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14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14" t="s">
        <v>5653</v>
      </c>
      <c r="AX276" s="312" t="s">
        <v>4601</v>
      </c>
      <c r="AY276" s="312">
        <f t="shared" si="155"/>
        <v>60</v>
      </c>
      <c r="AZ276" s="312">
        <v>20</v>
      </c>
      <c r="BA276" s="312">
        <f t="shared" si="140"/>
        <v>245</v>
      </c>
      <c r="BB276" s="21">
        <v>85</v>
      </c>
      <c r="BC276" s="21">
        <f t="shared" si="156"/>
        <v>85</v>
      </c>
      <c r="BD276" s="21">
        <v>0</v>
      </c>
      <c r="BE276" s="21">
        <v>100</v>
      </c>
      <c r="BF276" s="21">
        <f t="shared" si="157"/>
        <v>130</v>
      </c>
      <c r="BG276" s="15" t="s">
        <v>4467</v>
      </c>
      <c r="BH276" s="312" t="s">
        <v>6196</v>
      </c>
      <c r="BI276" s="312" t="s">
        <v>6196</v>
      </c>
      <c r="BJ276" s="312">
        <v>2</v>
      </c>
      <c r="BK276" s="312">
        <v>4</v>
      </c>
      <c r="BL276" s="314">
        <v>120</v>
      </c>
      <c r="BM276" s="312">
        <v>515</v>
      </c>
      <c r="BN276" s="312" t="s">
        <v>6181</v>
      </c>
      <c r="BO276" s="312">
        <v>1</v>
      </c>
      <c r="BP276" s="312">
        <v>180</v>
      </c>
      <c r="BQ276" s="312">
        <v>1678</v>
      </c>
      <c r="BR276" s="312">
        <v>52</v>
      </c>
      <c r="BS276" s="312" t="s">
        <v>4586</v>
      </c>
      <c r="BT276" s="314" t="s">
        <v>5850</v>
      </c>
      <c r="BU276" s="312">
        <v>2</v>
      </c>
      <c r="BV276" s="312">
        <v>1</v>
      </c>
      <c r="BW276" s="312">
        <v>19</v>
      </c>
      <c r="BX276" s="312">
        <v>100</v>
      </c>
      <c r="BY276" s="312">
        <v>100</v>
      </c>
      <c r="BZ276" s="18">
        <v>800</v>
      </c>
      <c r="CA276" s="312" t="s">
        <v>4602</v>
      </c>
      <c r="CB276" s="312" t="s">
        <v>4577</v>
      </c>
      <c r="CC276" s="21">
        <f t="shared" si="158"/>
        <v>501.39818751293103</v>
      </c>
      <c r="CD276" s="21">
        <f>4*PI()*16^2/4</f>
        <v>804.24771931898704</v>
      </c>
      <c r="CE276" s="312">
        <v>20</v>
      </c>
      <c r="CF276" s="118">
        <f t="shared" si="159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12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314">
        <v>596</v>
      </c>
      <c r="DD276" s="312">
        <v>683</v>
      </c>
      <c r="DE276" s="65">
        <v>200000</v>
      </c>
      <c r="DF276" s="298">
        <v>550</v>
      </c>
      <c r="DG276" s="312">
        <v>8.8000000000000007</v>
      </c>
      <c r="DH276" s="312">
        <v>640</v>
      </c>
      <c r="DI276" s="312">
        <v>984</v>
      </c>
      <c r="DJ276" s="312">
        <v>800</v>
      </c>
      <c r="DK276" s="312">
        <v>1040</v>
      </c>
      <c r="DL276" s="65">
        <v>200000</v>
      </c>
      <c r="DM276" s="40" t="s">
        <v>6033</v>
      </c>
      <c r="DN276" s="312" t="s">
        <v>4557</v>
      </c>
      <c r="DO276" s="301" t="s">
        <v>6140</v>
      </c>
    </row>
    <row r="277" spans="1:119" ht="15.6" customHeight="1">
      <c r="A277" s="314">
        <v>272</v>
      </c>
      <c r="B277" s="427"/>
      <c r="C277" s="427"/>
      <c r="D277" s="330"/>
      <c r="E277" s="330"/>
      <c r="F277" s="318"/>
      <c r="G277" s="318"/>
      <c r="H277" s="318"/>
      <c r="I277" s="318"/>
      <c r="J277" s="285" t="s">
        <v>4595</v>
      </c>
      <c r="K277" s="314" t="s">
        <v>4380</v>
      </c>
      <c r="L277" s="312" t="s">
        <v>5786</v>
      </c>
      <c r="M277" s="314" t="s">
        <v>4504</v>
      </c>
      <c r="N277" s="312" t="s">
        <v>4697</v>
      </c>
      <c r="O277" s="18" t="s">
        <v>4503</v>
      </c>
      <c r="P277" s="312" t="s">
        <v>4467</v>
      </c>
      <c r="Q277" s="312" t="s">
        <v>4467</v>
      </c>
      <c r="R277" s="312" t="s">
        <v>4417</v>
      </c>
      <c r="S277" s="312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12" t="s">
        <v>4417</v>
      </c>
      <c r="Y277" s="312" t="s">
        <v>5786</v>
      </c>
      <c r="Z277" s="312" t="s">
        <v>6081</v>
      </c>
      <c r="AA277" s="18">
        <v>8</v>
      </c>
      <c r="AB277" s="222">
        <v>0</v>
      </c>
      <c r="AC277" s="18">
        <v>0</v>
      </c>
      <c r="AD277" s="314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14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14" t="s">
        <v>5653</v>
      </c>
      <c r="AX277" s="312" t="s">
        <v>4601</v>
      </c>
      <c r="AY277" s="312">
        <f t="shared" si="155"/>
        <v>60</v>
      </c>
      <c r="AZ277" s="312">
        <v>20</v>
      </c>
      <c r="BA277" s="312">
        <f t="shared" si="140"/>
        <v>245</v>
      </c>
      <c r="BB277" s="21">
        <v>85</v>
      </c>
      <c r="BC277" s="21">
        <f t="shared" si="156"/>
        <v>85</v>
      </c>
      <c r="BD277" s="21">
        <v>0</v>
      </c>
      <c r="BE277" s="21">
        <v>100</v>
      </c>
      <c r="BF277" s="21">
        <f t="shared" si="157"/>
        <v>130</v>
      </c>
      <c r="BG277" s="15" t="s">
        <v>4467</v>
      </c>
      <c r="BH277" s="312" t="s">
        <v>6196</v>
      </c>
      <c r="BI277" s="312" t="s">
        <v>6196</v>
      </c>
      <c r="BJ277" s="312">
        <v>2</v>
      </c>
      <c r="BK277" s="312">
        <v>4</v>
      </c>
      <c r="BL277" s="314">
        <v>120</v>
      </c>
      <c r="BM277" s="312">
        <v>515</v>
      </c>
      <c r="BN277" s="312" t="s">
        <v>6181</v>
      </c>
      <c r="BO277" s="312">
        <v>1</v>
      </c>
      <c r="BP277" s="312">
        <v>180</v>
      </c>
      <c r="BQ277" s="312">
        <v>1678</v>
      </c>
      <c r="BR277" s="312">
        <v>52</v>
      </c>
      <c r="BS277" s="312" t="s">
        <v>4586</v>
      </c>
      <c r="BT277" s="314" t="s">
        <v>5850</v>
      </c>
      <c r="BU277" s="312">
        <v>3</v>
      </c>
      <c r="BV277" s="312">
        <v>1</v>
      </c>
      <c r="BW277" s="312">
        <v>19</v>
      </c>
      <c r="BX277" s="312">
        <v>100</v>
      </c>
      <c r="BY277" s="312">
        <v>100</v>
      </c>
      <c r="BZ277" s="18">
        <v>480</v>
      </c>
      <c r="CA277" s="312" t="s">
        <v>4602</v>
      </c>
      <c r="CB277" s="312" t="s">
        <v>4600</v>
      </c>
      <c r="CC277" s="21">
        <f t="shared" si="158"/>
        <v>501.39818751293103</v>
      </c>
      <c r="CD277" s="21">
        <f>2*PI()*16^2/4</f>
        <v>402.12385965949352</v>
      </c>
      <c r="CE277" s="312">
        <v>20</v>
      </c>
      <c r="CF277" s="118">
        <f t="shared" si="159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12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314">
        <v>596</v>
      </c>
      <c r="DD277" s="312">
        <v>683</v>
      </c>
      <c r="DE277" s="65">
        <v>200000</v>
      </c>
      <c r="DF277" s="298">
        <v>550</v>
      </c>
      <c r="DG277" s="312">
        <v>8.8000000000000007</v>
      </c>
      <c r="DH277" s="312">
        <v>640</v>
      </c>
      <c r="DI277" s="312">
        <v>984</v>
      </c>
      <c r="DJ277" s="312">
        <v>800</v>
      </c>
      <c r="DK277" s="312">
        <v>1040</v>
      </c>
      <c r="DL277" s="65">
        <v>200000</v>
      </c>
      <c r="DM277" s="40" t="s">
        <v>6034</v>
      </c>
      <c r="DN277" s="312" t="s">
        <v>4557</v>
      </c>
      <c r="DO277" s="301" t="s">
        <v>6141</v>
      </c>
    </row>
    <row r="278" spans="1:119" ht="15.6" customHeight="1">
      <c r="A278" s="314">
        <v>273</v>
      </c>
      <c r="B278" s="427"/>
      <c r="C278" s="427"/>
      <c r="D278" s="330"/>
      <c r="E278" s="330"/>
      <c r="F278" s="318"/>
      <c r="G278" s="318"/>
      <c r="H278" s="318"/>
      <c r="I278" s="318"/>
      <c r="J278" s="285" t="s">
        <v>4596</v>
      </c>
      <c r="K278" s="314" t="s">
        <v>4380</v>
      </c>
      <c r="L278" s="312" t="s">
        <v>5786</v>
      </c>
      <c r="M278" s="314" t="s">
        <v>4504</v>
      </c>
      <c r="N278" s="312" t="s">
        <v>4697</v>
      </c>
      <c r="O278" s="18" t="s">
        <v>4503</v>
      </c>
      <c r="P278" s="312" t="s">
        <v>4467</v>
      </c>
      <c r="Q278" s="312" t="s">
        <v>4467</v>
      </c>
      <c r="R278" s="312" t="s">
        <v>4417</v>
      </c>
      <c r="S278" s="312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12" t="s">
        <v>4417</v>
      </c>
      <c r="Y278" s="312" t="s">
        <v>5786</v>
      </c>
      <c r="Z278" s="312" t="s">
        <v>6081</v>
      </c>
      <c r="AA278" s="18">
        <v>8</v>
      </c>
      <c r="AB278" s="222">
        <v>0</v>
      </c>
      <c r="AC278" s="18">
        <v>0</v>
      </c>
      <c r="AD278" s="314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14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14" t="s">
        <v>5653</v>
      </c>
      <c r="AX278" s="312" t="s">
        <v>4601</v>
      </c>
      <c r="AY278" s="312">
        <f t="shared" si="155"/>
        <v>60</v>
      </c>
      <c r="AZ278" s="312">
        <v>20</v>
      </c>
      <c r="BA278" s="312">
        <f t="shared" si="140"/>
        <v>245</v>
      </c>
      <c r="BB278" s="21">
        <v>85</v>
      </c>
      <c r="BC278" s="21">
        <f t="shared" si="156"/>
        <v>85</v>
      </c>
      <c r="BD278" s="21">
        <v>0</v>
      </c>
      <c r="BE278" s="21">
        <v>100</v>
      </c>
      <c r="BF278" s="21">
        <f t="shared" si="157"/>
        <v>130</v>
      </c>
      <c r="BG278" s="15" t="s">
        <v>4467</v>
      </c>
      <c r="BH278" s="312" t="s">
        <v>6196</v>
      </c>
      <c r="BI278" s="312" t="s">
        <v>6196</v>
      </c>
      <c r="BJ278" s="312">
        <v>2</v>
      </c>
      <c r="BK278" s="312">
        <v>4</v>
      </c>
      <c r="BL278" s="314">
        <v>120</v>
      </c>
      <c r="BM278" s="312">
        <v>515</v>
      </c>
      <c r="BN278" s="312" t="s">
        <v>6181</v>
      </c>
      <c r="BO278" s="312">
        <v>1</v>
      </c>
      <c r="BP278" s="312">
        <v>180</v>
      </c>
      <c r="BQ278" s="312">
        <v>1678</v>
      </c>
      <c r="BR278" s="312">
        <v>52</v>
      </c>
      <c r="BS278" s="312" t="s">
        <v>4586</v>
      </c>
      <c r="BT278" s="314" t="s">
        <v>5850</v>
      </c>
      <c r="BU278" s="312">
        <v>8</v>
      </c>
      <c r="BV278" s="312">
        <v>1</v>
      </c>
      <c r="BW278" s="312">
        <v>19</v>
      </c>
      <c r="BX278" s="312">
        <v>100</v>
      </c>
      <c r="BY278" s="312">
        <v>100</v>
      </c>
      <c r="BZ278" s="18">
        <v>160</v>
      </c>
      <c r="CA278" s="312" t="s">
        <v>4602</v>
      </c>
      <c r="CB278" s="312" t="s">
        <v>4598</v>
      </c>
      <c r="CC278" s="21">
        <f>((BM278/150)+1)*PI()*12^2/4</f>
        <v>501.39818751293103</v>
      </c>
      <c r="CD278" s="21">
        <f>6*PI()*16^2/4</f>
        <v>1206.3715789784806</v>
      </c>
      <c r="CE278" s="312">
        <v>20</v>
      </c>
      <c r="CF278" s="118">
        <f t="shared" si="159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12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314">
        <v>596</v>
      </c>
      <c r="DD278" s="312">
        <v>683</v>
      </c>
      <c r="DE278" s="65">
        <v>200000</v>
      </c>
      <c r="DF278" s="298">
        <v>550</v>
      </c>
      <c r="DG278" s="312">
        <v>8.8000000000000007</v>
      </c>
      <c r="DH278" s="312">
        <v>640</v>
      </c>
      <c r="DI278" s="312">
        <v>984</v>
      </c>
      <c r="DJ278" s="312">
        <v>800</v>
      </c>
      <c r="DK278" s="312">
        <v>1040</v>
      </c>
      <c r="DL278" s="65">
        <v>200000</v>
      </c>
      <c r="DM278" s="40" t="s">
        <v>6035</v>
      </c>
      <c r="DN278" s="312" t="s">
        <v>4557</v>
      </c>
      <c r="DO278" s="301" t="s">
        <v>6142</v>
      </c>
    </row>
    <row r="279" spans="1:119" ht="15.6" customHeight="1" thickBot="1">
      <c r="A279" s="314">
        <v>274</v>
      </c>
      <c r="B279" s="427"/>
      <c r="C279" s="427"/>
      <c r="D279" s="330"/>
      <c r="E279" s="330"/>
      <c r="F279" s="318"/>
      <c r="G279" s="318"/>
      <c r="H279" s="318"/>
      <c r="I279" s="318"/>
      <c r="J279" s="285" t="s">
        <v>4599</v>
      </c>
      <c r="K279" s="314" t="s">
        <v>4380</v>
      </c>
      <c r="L279" s="312" t="s">
        <v>5786</v>
      </c>
      <c r="M279" s="314" t="s">
        <v>4504</v>
      </c>
      <c r="N279" s="312" t="s">
        <v>4697</v>
      </c>
      <c r="O279" s="18" t="s">
        <v>4503</v>
      </c>
      <c r="P279" s="312" t="s">
        <v>4417</v>
      </c>
      <c r="Q279" s="312" t="s">
        <v>4467</v>
      </c>
      <c r="R279" s="312" t="s">
        <v>4417</v>
      </c>
      <c r="S279" s="312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12" t="s">
        <v>4417</v>
      </c>
      <c r="Y279" s="312" t="s">
        <v>5786</v>
      </c>
      <c r="Z279" s="312" t="s">
        <v>6081</v>
      </c>
      <c r="AA279" s="18">
        <v>8</v>
      </c>
      <c r="AB279" s="222">
        <v>0</v>
      </c>
      <c r="AC279" s="18">
        <v>0</v>
      </c>
      <c r="AD279" s="314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14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14" t="s">
        <v>5653</v>
      </c>
      <c r="AX279" s="312" t="s">
        <v>4601</v>
      </c>
      <c r="AY279" s="312">
        <f t="shared" si="155"/>
        <v>60</v>
      </c>
      <c r="AZ279" s="312">
        <v>20</v>
      </c>
      <c r="BA279" s="312">
        <f t="shared" si="140"/>
        <v>245</v>
      </c>
      <c r="BB279" s="21">
        <v>85</v>
      </c>
      <c r="BC279" s="21">
        <f t="shared" si="156"/>
        <v>85</v>
      </c>
      <c r="BD279" s="21">
        <v>0</v>
      </c>
      <c r="BE279" s="21">
        <v>100</v>
      </c>
      <c r="BF279" s="21">
        <f t="shared" si="157"/>
        <v>130</v>
      </c>
      <c r="BG279" s="15" t="s">
        <v>4467</v>
      </c>
      <c r="BH279" s="312" t="s">
        <v>6196</v>
      </c>
      <c r="BI279" s="312" t="s">
        <v>6196</v>
      </c>
      <c r="BJ279" s="312">
        <v>2</v>
      </c>
      <c r="BK279" s="312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12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12">
        <v>8.8000000000000007</v>
      </c>
      <c r="DH279" s="312">
        <v>640</v>
      </c>
      <c r="DI279" s="312">
        <v>984</v>
      </c>
      <c r="DJ279" s="312">
        <v>800</v>
      </c>
      <c r="DK279" s="312">
        <v>1040</v>
      </c>
      <c r="DL279" s="65">
        <v>200000</v>
      </c>
      <c r="DM279" s="40" t="s">
        <v>6036</v>
      </c>
      <c r="DN279" s="312" t="s">
        <v>4557</v>
      </c>
      <c r="DO279" s="301" t="s">
        <v>4562</v>
      </c>
    </row>
    <row r="280" spans="1:119">
      <c r="A280" s="309">
        <v>275</v>
      </c>
      <c r="B280" s="317">
        <v>38</v>
      </c>
      <c r="C280" s="317">
        <v>2007</v>
      </c>
      <c r="D280" s="320" t="s">
        <v>5988</v>
      </c>
      <c r="E280" s="323" t="s">
        <v>4869</v>
      </c>
      <c r="F280" s="317">
        <v>2</v>
      </c>
      <c r="G280" s="326" t="s">
        <v>5915</v>
      </c>
      <c r="H280" s="326" t="s">
        <v>5914</v>
      </c>
      <c r="I280" s="326" t="s">
        <v>6235</v>
      </c>
      <c r="J280" s="289" t="s">
        <v>4738</v>
      </c>
      <c r="K280" s="309" t="s">
        <v>6328</v>
      </c>
      <c r="L280" s="311" t="s">
        <v>5786</v>
      </c>
      <c r="M280" s="309" t="s">
        <v>4505</v>
      </c>
      <c r="N280" s="311" t="s">
        <v>4699</v>
      </c>
      <c r="O280" s="17" t="s">
        <v>4503</v>
      </c>
      <c r="P280" s="311" t="s">
        <v>6325</v>
      </c>
      <c r="Q280" s="311" t="s">
        <v>4417</v>
      </c>
      <c r="R280" s="311" t="s">
        <v>6156</v>
      </c>
      <c r="S280" s="311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311" t="s">
        <v>4417</v>
      </c>
      <c r="Y280" s="311" t="s">
        <v>5786</v>
      </c>
      <c r="Z280" s="311" t="s">
        <v>4556</v>
      </c>
      <c r="AA280" s="88">
        <v>0</v>
      </c>
      <c r="AB280" s="231">
        <v>0</v>
      </c>
      <c r="AC280" s="17">
        <v>485</v>
      </c>
      <c r="AD280" s="309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309" t="s">
        <v>6344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309" t="s">
        <v>5801</v>
      </c>
      <c r="AX280" s="311" t="s">
        <v>6121</v>
      </c>
      <c r="AY280" s="16" t="s">
        <v>6121</v>
      </c>
      <c r="AZ280" s="311">
        <v>20</v>
      </c>
      <c r="BA280" s="311">
        <f t="shared" si="140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11" t="s">
        <v>6196</v>
      </c>
      <c r="BI280" s="311" t="s">
        <v>6196</v>
      </c>
      <c r="BJ280" s="311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311" t="s">
        <v>6345</v>
      </c>
      <c r="CH280" s="311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309" t="s">
        <v>6345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309" t="s">
        <v>6345</v>
      </c>
      <c r="CT280" s="311">
        <v>345</v>
      </c>
      <c r="CU280" s="16">
        <v>372.6</v>
      </c>
      <c r="CV280" s="311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311">
        <v>10.9</v>
      </c>
      <c r="DH280" s="311">
        <v>900</v>
      </c>
      <c r="DI280" s="311">
        <v>995</v>
      </c>
      <c r="DJ280" s="311">
        <v>1000</v>
      </c>
      <c r="DK280" s="311">
        <v>1161</v>
      </c>
      <c r="DL280" s="92">
        <v>206000</v>
      </c>
      <c r="DM280" s="28" t="s">
        <v>5826</v>
      </c>
      <c r="DN280" s="311" t="s">
        <v>4432</v>
      </c>
      <c r="DO280" s="300" t="s">
        <v>4562</v>
      </c>
    </row>
    <row r="281" spans="1:119" ht="15.6" customHeight="1" thickBot="1">
      <c r="A281" s="314">
        <v>276</v>
      </c>
      <c r="B281" s="319"/>
      <c r="C281" s="319"/>
      <c r="D281" s="322"/>
      <c r="E281" s="325"/>
      <c r="F281" s="319"/>
      <c r="G281" s="328"/>
      <c r="H281" s="328"/>
      <c r="I281" s="328"/>
      <c r="J281" s="291" t="s">
        <v>4739</v>
      </c>
      <c r="K281" s="314" t="s">
        <v>6333</v>
      </c>
      <c r="L281" s="312" t="s">
        <v>6049</v>
      </c>
      <c r="M281" s="314" t="s">
        <v>4505</v>
      </c>
      <c r="N281" s="312" t="s">
        <v>4699</v>
      </c>
      <c r="O281" s="18" t="s">
        <v>4503</v>
      </c>
      <c r="P281" s="312" t="s">
        <v>6325</v>
      </c>
      <c r="Q281" s="312" t="s">
        <v>4417</v>
      </c>
      <c r="R281" s="312" t="s">
        <v>6156</v>
      </c>
      <c r="S281" s="312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12" t="s">
        <v>4417</v>
      </c>
      <c r="Y281" s="312" t="s">
        <v>5786</v>
      </c>
      <c r="Z281" s="312" t="s">
        <v>4556</v>
      </c>
      <c r="AA281" s="87">
        <v>0</v>
      </c>
      <c r="AB281" s="222">
        <v>0</v>
      </c>
      <c r="AC281" s="18">
        <v>485</v>
      </c>
      <c r="AD281" s="310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31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10" t="s">
        <v>5801</v>
      </c>
      <c r="AX281" s="313" t="s">
        <v>4499</v>
      </c>
      <c r="AY281" s="23">
        <v>199</v>
      </c>
      <c r="AZ281" s="313">
        <v>20</v>
      </c>
      <c r="BA281" s="313">
        <f t="shared" si="140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13" t="s">
        <v>6196</v>
      </c>
      <c r="BI281" s="313" t="s">
        <v>6196</v>
      </c>
      <c r="BJ281" s="313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13" t="s">
        <v>6345</v>
      </c>
      <c r="CH281" s="313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314" t="s">
        <v>6345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314" t="s">
        <v>6345</v>
      </c>
      <c r="CT281" s="312">
        <v>345</v>
      </c>
      <c r="CU281" s="21">
        <v>372.6</v>
      </c>
      <c r="CV281" s="312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13">
        <v>10.9</v>
      </c>
      <c r="DH281" s="313">
        <v>900</v>
      </c>
      <c r="DI281" s="313">
        <v>995</v>
      </c>
      <c r="DJ281" s="313">
        <v>1000</v>
      </c>
      <c r="DK281" s="313">
        <v>1161</v>
      </c>
      <c r="DL281" s="95">
        <v>206000</v>
      </c>
      <c r="DM281" s="27" t="s">
        <v>5832</v>
      </c>
      <c r="DN281" s="312" t="s">
        <v>4432</v>
      </c>
      <c r="DO281" s="301" t="s">
        <v>4562</v>
      </c>
    </row>
    <row r="282" spans="1:119" ht="15.6" customHeight="1">
      <c r="A282" s="309">
        <v>277</v>
      </c>
      <c r="B282" s="317">
        <v>39</v>
      </c>
      <c r="C282" s="317">
        <v>2007</v>
      </c>
      <c r="D282" s="320" t="s">
        <v>5989</v>
      </c>
      <c r="E282" s="323" t="s">
        <v>4868</v>
      </c>
      <c r="F282" s="317">
        <v>3</v>
      </c>
      <c r="G282" s="326" t="s">
        <v>5916</v>
      </c>
      <c r="H282" s="326" t="s">
        <v>5914</v>
      </c>
      <c r="I282" s="326" t="s">
        <v>6236</v>
      </c>
      <c r="J282" s="283" t="s">
        <v>4618</v>
      </c>
      <c r="K282" s="309" t="s">
        <v>6333</v>
      </c>
      <c r="L282" s="311" t="s">
        <v>6049</v>
      </c>
      <c r="M282" s="309" t="s">
        <v>4504</v>
      </c>
      <c r="N282" s="311" t="s">
        <v>4696</v>
      </c>
      <c r="O282" s="17" t="s">
        <v>4503</v>
      </c>
      <c r="P282" s="311" t="s">
        <v>4417</v>
      </c>
      <c r="Q282" s="311" t="s">
        <v>4417</v>
      </c>
      <c r="R282" s="311" t="s">
        <v>4417</v>
      </c>
      <c r="S282" s="311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311" t="s">
        <v>4417</v>
      </c>
      <c r="Y282" s="311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30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30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309" t="s">
        <v>5801</v>
      </c>
      <c r="AX282" s="311" t="s">
        <v>6121</v>
      </c>
      <c r="AY282" s="311" t="s">
        <v>6121</v>
      </c>
      <c r="AZ282" s="311">
        <v>20</v>
      </c>
      <c r="BA282" s="311">
        <f t="shared" si="140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6325</v>
      </c>
      <c r="BH282" s="311" t="s">
        <v>4462</v>
      </c>
      <c r="BI282" s="311" t="s">
        <v>4462</v>
      </c>
      <c r="BJ282" s="311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309" t="s">
        <v>6345</v>
      </c>
      <c r="CH282" s="311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309" t="s">
        <v>6345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309" t="s">
        <v>6345</v>
      </c>
      <c r="CT282" s="311">
        <v>345</v>
      </c>
      <c r="CU282" s="16">
        <v>418.73329999999999</v>
      </c>
      <c r="CV282" s="311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311">
        <v>10.9</v>
      </c>
      <c r="DH282" s="306">
        <v>900</v>
      </c>
      <c r="DI282" s="30">
        <v>990</v>
      </c>
      <c r="DJ282" s="306">
        <v>1000</v>
      </c>
      <c r="DK282" s="30">
        <v>1100</v>
      </c>
      <c r="DL282" s="64">
        <v>200000</v>
      </c>
      <c r="DM282" s="28" t="s">
        <v>6002</v>
      </c>
      <c r="DN282" s="311" t="s">
        <v>4432</v>
      </c>
      <c r="DO282" s="300" t="s">
        <v>4562</v>
      </c>
    </row>
    <row r="283" spans="1:119">
      <c r="A283" s="314">
        <v>278</v>
      </c>
      <c r="B283" s="318"/>
      <c r="C283" s="318"/>
      <c r="D283" s="321"/>
      <c r="E283" s="324"/>
      <c r="F283" s="318"/>
      <c r="G283" s="327"/>
      <c r="H283" s="327"/>
      <c r="I283" s="327"/>
      <c r="J283" s="285" t="s">
        <v>4594</v>
      </c>
      <c r="K283" s="314" t="s">
        <v>6333</v>
      </c>
      <c r="L283" s="312" t="s">
        <v>6049</v>
      </c>
      <c r="M283" s="314" t="s">
        <v>4504</v>
      </c>
      <c r="N283" s="312" t="s">
        <v>4696</v>
      </c>
      <c r="O283" s="18" t="s">
        <v>4503</v>
      </c>
      <c r="P283" s="312" t="s">
        <v>4467</v>
      </c>
      <c r="Q283" s="312" t="s">
        <v>4417</v>
      </c>
      <c r="R283" s="312" t="s">
        <v>6156</v>
      </c>
      <c r="S283" s="312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12" t="s">
        <v>4417</v>
      </c>
      <c r="Y283" s="312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314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14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14" t="s">
        <v>5801</v>
      </c>
      <c r="AX283" s="312" t="s">
        <v>6121</v>
      </c>
      <c r="AY283" s="312" t="s">
        <v>6121</v>
      </c>
      <c r="AZ283" s="312">
        <v>20</v>
      </c>
      <c r="BA283" s="312">
        <f t="shared" si="140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6325</v>
      </c>
      <c r="BH283" s="312" t="s">
        <v>4462</v>
      </c>
      <c r="BI283" s="312" t="s">
        <v>4462</v>
      </c>
      <c r="BJ283" s="312">
        <v>4</v>
      </c>
      <c r="BK283" s="18">
        <v>8</v>
      </c>
      <c r="BL283" s="314">
        <v>140</v>
      </c>
      <c r="BM283" s="312">
        <v>1200</v>
      </c>
      <c r="BN283" s="312" t="s">
        <v>6182</v>
      </c>
      <c r="BO283" s="312">
        <v>0.8</v>
      </c>
      <c r="BP283" s="312">
        <v>145</v>
      </c>
      <c r="BQ283" s="312">
        <v>983</v>
      </c>
      <c r="BR283" s="312">
        <v>76</v>
      </c>
      <c r="BS283" s="312" t="s">
        <v>4587</v>
      </c>
      <c r="BT283" s="314" t="s">
        <v>5850</v>
      </c>
      <c r="BU283" s="312">
        <v>14</v>
      </c>
      <c r="BV283" s="312">
        <v>2</v>
      </c>
      <c r="BW283" s="32">
        <v>19</v>
      </c>
      <c r="BX283" s="312">
        <v>90</v>
      </c>
      <c r="BY283" s="312">
        <v>200</v>
      </c>
      <c r="BZ283" s="18">
        <v>350</v>
      </c>
      <c r="CA283" s="312" t="s">
        <v>4742</v>
      </c>
      <c r="CB283" s="312" t="s">
        <v>6108</v>
      </c>
      <c r="CC283" s="21">
        <f>((BM283/200)+1)*PI()*6^2/4</f>
        <v>197.92033717615698</v>
      </c>
      <c r="CD283" s="21">
        <f>8*PI()*10^2/4</f>
        <v>628.31853071795865</v>
      </c>
      <c r="CE283" s="312">
        <v>20</v>
      </c>
      <c r="CF283" s="118">
        <v>8.0999999999999996E-3</v>
      </c>
      <c r="CG283" s="314" t="s">
        <v>6345</v>
      </c>
      <c r="CH283" s="312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314" t="s">
        <v>6345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314" t="s">
        <v>6345</v>
      </c>
      <c r="CT283" s="312">
        <v>345</v>
      </c>
      <c r="CU283" s="21">
        <v>418.73329999999999</v>
      </c>
      <c r="CV283" s="312">
        <v>490</v>
      </c>
      <c r="CW283" s="21">
        <v>502.9667</v>
      </c>
      <c r="CX283" s="67">
        <v>212333</v>
      </c>
      <c r="CY283" s="314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12">
        <v>10.9</v>
      </c>
      <c r="DH283" s="307">
        <v>900</v>
      </c>
      <c r="DI283" s="32">
        <v>990</v>
      </c>
      <c r="DJ283" s="307">
        <v>1000</v>
      </c>
      <c r="DK283" s="32">
        <v>1100</v>
      </c>
      <c r="DL283" s="65">
        <v>200000</v>
      </c>
      <c r="DM283" s="29" t="s">
        <v>5844</v>
      </c>
      <c r="DN283" s="314" t="s">
        <v>4432</v>
      </c>
      <c r="DO283" s="301" t="s">
        <v>4562</v>
      </c>
    </row>
    <row r="284" spans="1:119" ht="16.2" thickBot="1">
      <c r="A284" s="310">
        <v>279</v>
      </c>
      <c r="B284" s="319"/>
      <c r="C284" s="319"/>
      <c r="D284" s="322"/>
      <c r="E284" s="325"/>
      <c r="F284" s="319"/>
      <c r="G284" s="328"/>
      <c r="H284" s="328"/>
      <c r="I284" s="328"/>
      <c r="J284" s="284" t="s">
        <v>4595</v>
      </c>
      <c r="K284" s="310" t="s">
        <v>6333</v>
      </c>
      <c r="L284" s="313" t="s">
        <v>6049</v>
      </c>
      <c r="M284" s="310" t="s">
        <v>4504</v>
      </c>
      <c r="N284" s="313" t="s">
        <v>4696</v>
      </c>
      <c r="O284" s="14" t="s">
        <v>4503</v>
      </c>
      <c r="P284" s="313" t="s">
        <v>4467</v>
      </c>
      <c r="Q284" s="313" t="s">
        <v>4417</v>
      </c>
      <c r="R284" s="313" t="s">
        <v>4417</v>
      </c>
      <c r="S284" s="313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13" t="s">
        <v>4417</v>
      </c>
      <c r="Y284" s="313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31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1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10" t="s">
        <v>5801</v>
      </c>
      <c r="AX284" s="313" t="s">
        <v>6121</v>
      </c>
      <c r="AY284" s="313" t="s">
        <v>6121</v>
      </c>
      <c r="AZ284" s="313">
        <v>20</v>
      </c>
      <c r="BA284" s="313">
        <f t="shared" si="140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6325</v>
      </c>
      <c r="BH284" s="313" t="s">
        <v>4462</v>
      </c>
      <c r="BI284" s="313" t="s">
        <v>4462</v>
      </c>
      <c r="BJ284" s="313">
        <v>4</v>
      </c>
      <c r="BK284" s="14">
        <v>8</v>
      </c>
      <c r="BL284" s="310">
        <v>140</v>
      </c>
      <c r="BM284" s="313">
        <v>1200</v>
      </c>
      <c r="BN284" s="313" t="s">
        <v>6182</v>
      </c>
      <c r="BO284" s="313">
        <v>0.8</v>
      </c>
      <c r="BP284" s="313">
        <v>145</v>
      </c>
      <c r="BQ284" s="313">
        <v>983</v>
      </c>
      <c r="BR284" s="313">
        <v>76</v>
      </c>
      <c r="BS284" s="313" t="s">
        <v>4587</v>
      </c>
      <c r="BT284" s="310" t="s">
        <v>5850</v>
      </c>
      <c r="BU284" s="313">
        <v>14</v>
      </c>
      <c r="BV284" s="313">
        <v>2</v>
      </c>
      <c r="BW284" s="34">
        <v>19</v>
      </c>
      <c r="BX284" s="313">
        <v>90</v>
      </c>
      <c r="BY284" s="313">
        <v>200</v>
      </c>
      <c r="BZ284" s="14">
        <v>350</v>
      </c>
      <c r="CA284" s="313" t="s">
        <v>4742</v>
      </c>
      <c r="CB284" s="313" t="s">
        <v>6108</v>
      </c>
      <c r="CC284" s="23">
        <f>((BM284/200)+1)*PI()*6^2/4</f>
        <v>197.92033717615698</v>
      </c>
      <c r="CD284" s="21">
        <f>8*PI()*10^2/4</f>
        <v>628.31853071795865</v>
      </c>
      <c r="CE284" s="313">
        <v>20</v>
      </c>
      <c r="CF284" s="119">
        <v>8.0999999999999996E-3</v>
      </c>
      <c r="CG284" s="310" t="s">
        <v>4743</v>
      </c>
      <c r="CH284" s="313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310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310" t="s">
        <v>4743</v>
      </c>
      <c r="CT284" s="313">
        <v>345</v>
      </c>
      <c r="CU284" s="23">
        <v>418.73329999999999</v>
      </c>
      <c r="CV284" s="313">
        <v>490</v>
      </c>
      <c r="CW284" s="23">
        <v>502.9667</v>
      </c>
      <c r="CX284" s="81">
        <v>212333</v>
      </c>
      <c r="CY284" s="310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13">
        <v>10.9</v>
      </c>
      <c r="DH284" s="308">
        <v>900</v>
      </c>
      <c r="DI284" s="34">
        <v>990</v>
      </c>
      <c r="DJ284" s="308">
        <v>1000</v>
      </c>
      <c r="DK284" s="34">
        <v>1100</v>
      </c>
      <c r="DL284" s="68">
        <v>200000</v>
      </c>
      <c r="DM284" s="27" t="s">
        <v>5844</v>
      </c>
      <c r="DN284" s="314" t="s">
        <v>4432</v>
      </c>
      <c r="DO284" s="301" t="s">
        <v>4562</v>
      </c>
    </row>
    <row r="285" spans="1:119">
      <c r="A285" s="314">
        <v>280</v>
      </c>
      <c r="B285" s="317">
        <v>40</v>
      </c>
      <c r="C285" s="317">
        <v>2007</v>
      </c>
      <c r="D285" s="320" t="s">
        <v>4676</v>
      </c>
      <c r="E285" s="323" t="s">
        <v>4845</v>
      </c>
      <c r="F285" s="317">
        <v>10</v>
      </c>
      <c r="G285" s="326" t="s">
        <v>5892</v>
      </c>
      <c r="H285" s="326" t="s">
        <v>5891</v>
      </c>
      <c r="I285" s="326" t="s">
        <v>6237</v>
      </c>
      <c r="J285" s="285" t="s">
        <v>4819</v>
      </c>
      <c r="K285" s="314" t="s">
        <v>6328</v>
      </c>
      <c r="L285" s="312" t="s">
        <v>5786</v>
      </c>
      <c r="M285" s="314" t="s">
        <v>4505</v>
      </c>
      <c r="N285" s="312" t="s">
        <v>4699</v>
      </c>
      <c r="O285" s="18" t="s">
        <v>4503</v>
      </c>
      <c r="P285" s="312" t="s">
        <v>6325</v>
      </c>
      <c r="Q285" s="312" t="s">
        <v>4417</v>
      </c>
      <c r="R285" s="312" t="s">
        <v>4417</v>
      </c>
      <c r="S285" s="312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12" t="s">
        <v>4417</v>
      </c>
      <c r="Y285" s="312" t="s">
        <v>5786</v>
      </c>
      <c r="Z285" s="312" t="s">
        <v>6042</v>
      </c>
      <c r="AA285" s="18">
        <v>10</v>
      </c>
      <c r="AB285" s="231">
        <v>0</v>
      </c>
      <c r="AC285" s="17">
        <v>0</v>
      </c>
      <c r="AD285" s="309" t="s">
        <v>6346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309" t="s">
        <v>6347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9" t="s">
        <v>5801</v>
      </c>
      <c r="AX285" s="311" t="s">
        <v>4495</v>
      </c>
      <c r="AY285" s="16">
        <f t="shared" ref="AY285:AY297" si="160">0.175*BA285*DJ285/1000</f>
        <v>75.365499999999997</v>
      </c>
      <c r="AZ285" s="311">
        <v>24</v>
      </c>
      <c r="BA285" s="311">
        <f t="shared" si="140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6326</v>
      </c>
      <c r="BH285" s="311" t="s">
        <v>6196</v>
      </c>
      <c r="BI285" s="311" t="s">
        <v>6196</v>
      </c>
      <c r="BJ285" s="311">
        <v>2</v>
      </c>
      <c r="BK285" s="311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309" t="s">
        <v>5966</v>
      </c>
      <c r="CH285" s="311">
        <v>355</v>
      </c>
      <c r="CI285" s="31">
        <f t="shared" ref="CI285:CI294" si="161">CH285*1.1</f>
        <v>390.50000000000006</v>
      </c>
      <c r="CJ285" s="187">
        <v>470</v>
      </c>
      <c r="CK285" s="31">
        <f t="shared" ref="CK285:CK294" si="162">CJ285*1.1</f>
        <v>517</v>
      </c>
      <c r="CL285" s="64">
        <v>200000</v>
      </c>
      <c r="CM285" s="309" t="s">
        <v>5966</v>
      </c>
      <c r="CN285" s="63">
        <v>355</v>
      </c>
      <c r="CO285" s="31">
        <f t="shared" ref="CO285:CO294" si="163">CN285*1.1</f>
        <v>390.50000000000006</v>
      </c>
      <c r="CP285" s="63">
        <v>470</v>
      </c>
      <c r="CQ285" s="31">
        <f t="shared" ref="CQ285:CQ294" si="164">CP285*1.1</f>
        <v>517</v>
      </c>
      <c r="CR285" s="64">
        <v>200000</v>
      </c>
      <c r="CS285" s="30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311">
        <v>12.9</v>
      </c>
      <c r="DH285" s="311">
        <v>1100</v>
      </c>
      <c r="DI285" s="16">
        <v>1112.5</v>
      </c>
      <c r="DJ285" s="311">
        <v>1220</v>
      </c>
      <c r="DK285" s="311">
        <v>1413</v>
      </c>
      <c r="DL285" s="64">
        <v>200000</v>
      </c>
      <c r="DM285" s="28" t="s">
        <v>4789</v>
      </c>
      <c r="DN285" s="311" t="s">
        <v>4432</v>
      </c>
      <c r="DO285" s="300" t="s">
        <v>6300</v>
      </c>
    </row>
    <row r="286" spans="1:119">
      <c r="A286" s="314">
        <v>281</v>
      </c>
      <c r="B286" s="318"/>
      <c r="C286" s="318"/>
      <c r="D286" s="321"/>
      <c r="E286" s="324"/>
      <c r="F286" s="318"/>
      <c r="G286" s="327"/>
      <c r="H286" s="327"/>
      <c r="I286" s="327"/>
      <c r="J286" s="285" t="s">
        <v>4820</v>
      </c>
      <c r="K286" s="314" t="s">
        <v>6328</v>
      </c>
      <c r="L286" s="312" t="s">
        <v>5786</v>
      </c>
      <c r="M286" s="314" t="s">
        <v>4505</v>
      </c>
      <c r="N286" s="312" t="s">
        <v>4699</v>
      </c>
      <c r="O286" s="18" t="s">
        <v>4503</v>
      </c>
      <c r="P286" s="312" t="s">
        <v>6325</v>
      </c>
      <c r="Q286" s="312" t="s">
        <v>4417</v>
      </c>
      <c r="R286" s="312" t="s">
        <v>4417</v>
      </c>
      <c r="S286" s="312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12" t="s">
        <v>4417</v>
      </c>
      <c r="Y286" s="312" t="s">
        <v>5786</v>
      </c>
      <c r="Z286" s="312" t="s">
        <v>6042</v>
      </c>
      <c r="AA286" s="18">
        <v>10</v>
      </c>
      <c r="AB286" s="222">
        <v>0</v>
      </c>
      <c r="AC286" s="18">
        <v>0</v>
      </c>
      <c r="AD286" s="314" t="s">
        <v>6346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14" t="s">
        <v>6347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14" t="s">
        <v>5801</v>
      </c>
      <c r="AX286" s="312" t="s">
        <v>4495</v>
      </c>
      <c r="AY286" s="21">
        <f t="shared" si="160"/>
        <v>75.365499999999997</v>
      </c>
      <c r="AZ286" s="312">
        <v>24</v>
      </c>
      <c r="BA286" s="312">
        <f t="shared" si="140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6326</v>
      </c>
      <c r="BH286" s="312" t="s">
        <v>6196</v>
      </c>
      <c r="BI286" s="312" t="s">
        <v>6196</v>
      </c>
      <c r="BJ286" s="312">
        <v>2</v>
      </c>
      <c r="BK286" s="312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314" t="s">
        <v>5966</v>
      </c>
      <c r="CH286" s="312">
        <v>355</v>
      </c>
      <c r="CI286" s="33">
        <f t="shared" si="161"/>
        <v>390.50000000000006</v>
      </c>
      <c r="CJ286" s="61">
        <v>470</v>
      </c>
      <c r="CK286" s="33">
        <f t="shared" si="162"/>
        <v>517</v>
      </c>
      <c r="CL286" s="65">
        <v>200000</v>
      </c>
      <c r="CM286" s="314" t="s">
        <v>5966</v>
      </c>
      <c r="CN286" s="58">
        <v>355</v>
      </c>
      <c r="CO286" s="33">
        <f t="shared" si="163"/>
        <v>390.50000000000006</v>
      </c>
      <c r="CP286" s="58">
        <v>470</v>
      </c>
      <c r="CQ286" s="33">
        <f t="shared" si="164"/>
        <v>517</v>
      </c>
      <c r="CR286" s="65">
        <v>200000</v>
      </c>
      <c r="CS286" s="314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12">
        <v>12.9</v>
      </c>
      <c r="DH286" s="312">
        <v>1100</v>
      </c>
      <c r="DI286" s="21">
        <v>1112.5</v>
      </c>
      <c r="DJ286" s="312">
        <v>1220</v>
      </c>
      <c r="DK286" s="312">
        <v>1413</v>
      </c>
      <c r="DL286" s="65">
        <v>200000</v>
      </c>
      <c r="DM286" s="29" t="s">
        <v>4789</v>
      </c>
      <c r="DN286" s="314" t="s">
        <v>4432</v>
      </c>
      <c r="DO286" s="301" t="s">
        <v>6300</v>
      </c>
    </row>
    <row r="287" spans="1:119">
      <c r="A287" s="314">
        <v>282</v>
      </c>
      <c r="B287" s="318"/>
      <c r="C287" s="318"/>
      <c r="D287" s="321"/>
      <c r="E287" s="324"/>
      <c r="F287" s="318"/>
      <c r="G287" s="327"/>
      <c r="H287" s="327"/>
      <c r="I287" s="327"/>
      <c r="J287" s="285" t="s">
        <v>6348</v>
      </c>
      <c r="K287" s="314" t="s">
        <v>6328</v>
      </c>
      <c r="L287" s="312" t="s">
        <v>5786</v>
      </c>
      <c r="M287" s="314" t="s">
        <v>4505</v>
      </c>
      <c r="N287" s="312" t="s">
        <v>4699</v>
      </c>
      <c r="O287" s="18" t="s">
        <v>4503</v>
      </c>
      <c r="P287" s="312" t="s">
        <v>6325</v>
      </c>
      <c r="Q287" s="312" t="s">
        <v>4417</v>
      </c>
      <c r="R287" s="312" t="s">
        <v>4417</v>
      </c>
      <c r="S287" s="312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12" t="s">
        <v>4417</v>
      </c>
      <c r="Y287" s="312" t="s">
        <v>5786</v>
      </c>
      <c r="Z287" s="312" t="s">
        <v>6042</v>
      </c>
      <c r="AA287" s="18">
        <v>10</v>
      </c>
      <c r="AB287" s="222">
        <v>0</v>
      </c>
      <c r="AC287" s="18">
        <v>0</v>
      </c>
      <c r="AD287" s="314" t="s">
        <v>6346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14" t="s">
        <v>6347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14" t="s">
        <v>5801</v>
      </c>
      <c r="AX287" s="312" t="s">
        <v>4495</v>
      </c>
      <c r="AY287" s="21">
        <f t="shared" si="160"/>
        <v>75.365499999999997</v>
      </c>
      <c r="AZ287" s="312">
        <v>24</v>
      </c>
      <c r="BA287" s="312">
        <f t="shared" si="140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6326</v>
      </c>
      <c r="BH287" s="312" t="s">
        <v>6196</v>
      </c>
      <c r="BI287" s="312" t="s">
        <v>6196</v>
      </c>
      <c r="BJ287" s="312">
        <v>2</v>
      </c>
      <c r="BK287" s="312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314" t="s">
        <v>5966</v>
      </c>
      <c r="CH287" s="312">
        <v>355</v>
      </c>
      <c r="CI287" s="33">
        <f t="shared" si="161"/>
        <v>390.50000000000006</v>
      </c>
      <c r="CJ287" s="61">
        <v>470</v>
      </c>
      <c r="CK287" s="33">
        <f t="shared" si="162"/>
        <v>517</v>
      </c>
      <c r="CL287" s="65">
        <v>200000</v>
      </c>
      <c r="CM287" s="314" t="s">
        <v>5966</v>
      </c>
      <c r="CN287" s="58">
        <v>355</v>
      </c>
      <c r="CO287" s="33">
        <f t="shared" si="163"/>
        <v>390.50000000000006</v>
      </c>
      <c r="CP287" s="58">
        <v>470</v>
      </c>
      <c r="CQ287" s="33">
        <f t="shared" si="164"/>
        <v>517</v>
      </c>
      <c r="CR287" s="65">
        <v>200000</v>
      </c>
      <c r="CS287" s="314" t="s">
        <v>6349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12">
        <v>12.9</v>
      </c>
      <c r="DH287" s="312">
        <v>1100</v>
      </c>
      <c r="DI287" s="21">
        <v>1112.5</v>
      </c>
      <c r="DJ287" s="312">
        <v>1220</v>
      </c>
      <c r="DK287" s="312">
        <v>1413</v>
      </c>
      <c r="DL287" s="65">
        <v>200000</v>
      </c>
      <c r="DM287" s="29" t="s">
        <v>12</v>
      </c>
      <c r="DN287" s="314" t="s">
        <v>4432</v>
      </c>
      <c r="DO287" s="301" t="s">
        <v>6300</v>
      </c>
    </row>
    <row r="288" spans="1:119">
      <c r="A288" s="314">
        <v>283</v>
      </c>
      <c r="B288" s="318"/>
      <c r="C288" s="318"/>
      <c r="D288" s="321"/>
      <c r="E288" s="324"/>
      <c r="F288" s="318"/>
      <c r="G288" s="327"/>
      <c r="H288" s="327"/>
      <c r="I288" s="327"/>
      <c r="J288" s="285" t="s">
        <v>6350</v>
      </c>
      <c r="K288" s="314" t="s">
        <v>4380</v>
      </c>
      <c r="L288" s="312" t="s">
        <v>5786</v>
      </c>
      <c r="M288" s="314" t="s">
        <v>4505</v>
      </c>
      <c r="N288" s="312" t="s">
        <v>4699</v>
      </c>
      <c r="O288" s="18" t="s">
        <v>4503</v>
      </c>
      <c r="P288" s="312" t="s">
        <v>6325</v>
      </c>
      <c r="Q288" s="312" t="s">
        <v>4417</v>
      </c>
      <c r="R288" s="312" t="s">
        <v>4417</v>
      </c>
      <c r="S288" s="312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12" t="s">
        <v>4417</v>
      </c>
      <c r="Y288" s="312" t="s">
        <v>5786</v>
      </c>
      <c r="Z288" s="312" t="s">
        <v>6042</v>
      </c>
      <c r="AA288" s="18">
        <v>10</v>
      </c>
      <c r="AB288" s="222">
        <v>0</v>
      </c>
      <c r="AC288" s="18">
        <v>0</v>
      </c>
      <c r="AD288" s="314" t="s">
        <v>6346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14" t="s">
        <v>6347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14" t="s">
        <v>5801</v>
      </c>
      <c r="AX288" s="312" t="s">
        <v>4495</v>
      </c>
      <c r="AY288" s="21">
        <f t="shared" si="160"/>
        <v>75.365499999999997</v>
      </c>
      <c r="AZ288" s="312">
        <v>24</v>
      </c>
      <c r="BA288" s="312">
        <f t="shared" si="140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6326</v>
      </c>
      <c r="BH288" s="312" t="s">
        <v>6196</v>
      </c>
      <c r="BI288" s="312" t="s">
        <v>6196</v>
      </c>
      <c r="BJ288" s="312">
        <v>2</v>
      </c>
      <c r="BK288" s="312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314" t="s">
        <v>5966</v>
      </c>
      <c r="CH288" s="312">
        <v>355</v>
      </c>
      <c r="CI288" s="33">
        <f t="shared" si="161"/>
        <v>390.50000000000006</v>
      </c>
      <c r="CJ288" s="61">
        <v>470</v>
      </c>
      <c r="CK288" s="33">
        <f t="shared" si="162"/>
        <v>517</v>
      </c>
      <c r="CL288" s="65">
        <v>200000</v>
      </c>
      <c r="CM288" s="314" t="s">
        <v>5966</v>
      </c>
      <c r="CN288" s="58">
        <v>355</v>
      </c>
      <c r="CO288" s="33">
        <f t="shared" si="163"/>
        <v>390.50000000000006</v>
      </c>
      <c r="CP288" s="58">
        <v>470</v>
      </c>
      <c r="CQ288" s="33">
        <f t="shared" si="164"/>
        <v>517</v>
      </c>
      <c r="CR288" s="65">
        <v>200000</v>
      </c>
      <c r="CS288" s="314" t="s">
        <v>6349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12">
        <v>12.9</v>
      </c>
      <c r="DH288" s="312">
        <v>1100</v>
      </c>
      <c r="DI288" s="21">
        <v>1112.5</v>
      </c>
      <c r="DJ288" s="312">
        <v>1220</v>
      </c>
      <c r="DK288" s="312">
        <v>1413</v>
      </c>
      <c r="DL288" s="65">
        <v>200000</v>
      </c>
      <c r="DM288" s="29" t="s">
        <v>12</v>
      </c>
      <c r="DN288" s="314" t="s">
        <v>4432</v>
      </c>
      <c r="DO288" s="301" t="s">
        <v>6300</v>
      </c>
    </row>
    <row r="289" spans="1:119">
      <c r="A289" s="314">
        <v>284</v>
      </c>
      <c r="B289" s="318"/>
      <c r="C289" s="318"/>
      <c r="D289" s="321"/>
      <c r="E289" s="324"/>
      <c r="F289" s="318"/>
      <c r="G289" s="327"/>
      <c r="H289" s="327"/>
      <c r="I289" s="327"/>
      <c r="J289" s="285" t="s">
        <v>4788</v>
      </c>
      <c r="K289" s="314" t="s">
        <v>4380</v>
      </c>
      <c r="L289" s="312" t="s">
        <v>5786</v>
      </c>
      <c r="M289" s="314" t="s">
        <v>4505</v>
      </c>
      <c r="N289" s="312" t="s">
        <v>4699</v>
      </c>
      <c r="O289" s="18" t="s">
        <v>4503</v>
      </c>
      <c r="P289" s="312" t="s">
        <v>6325</v>
      </c>
      <c r="Q289" s="312" t="s">
        <v>4417</v>
      </c>
      <c r="R289" s="312" t="s">
        <v>4417</v>
      </c>
      <c r="S289" s="312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12" t="s">
        <v>4417</v>
      </c>
      <c r="Y289" s="312" t="s">
        <v>5786</v>
      </c>
      <c r="Z289" s="312" t="s">
        <v>6042</v>
      </c>
      <c r="AA289" s="18">
        <v>10</v>
      </c>
      <c r="AB289" s="222">
        <v>0</v>
      </c>
      <c r="AC289" s="18">
        <v>0</v>
      </c>
      <c r="AD289" s="314" t="s">
        <v>6346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14" t="s">
        <v>6347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14" t="s">
        <v>5801</v>
      </c>
      <c r="AX289" s="312" t="s">
        <v>4495</v>
      </c>
      <c r="AY289" s="21">
        <f t="shared" si="160"/>
        <v>75.365499999999997</v>
      </c>
      <c r="AZ289" s="312">
        <v>24</v>
      </c>
      <c r="BA289" s="312">
        <f t="shared" si="140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6326</v>
      </c>
      <c r="BH289" s="312" t="s">
        <v>6196</v>
      </c>
      <c r="BI289" s="312" t="s">
        <v>6196</v>
      </c>
      <c r="BJ289" s="312">
        <v>2</v>
      </c>
      <c r="BK289" s="312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314" t="s">
        <v>5966</v>
      </c>
      <c r="CH289" s="312">
        <v>355</v>
      </c>
      <c r="CI289" s="33">
        <f t="shared" si="161"/>
        <v>390.50000000000006</v>
      </c>
      <c r="CJ289" s="61">
        <v>470</v>
      </c>
      <c r="CK289" s="33">
        <f t="shared" si="162"/>
        <v>517</v>
      </c>
      <c r="CL289" s="65">
        <v>200000</v>
      </c>
      <c r="CM289" s="314" t="s">
        <v>5966</v>
      </c>
      <c r="CN289" s="58">
        <v>355</v>
      </c>
      <c r="CO289" s="33">
        <f t="shared" si="163"/>
        <v>390.50000000000006</v>
      </c>
      <c r="CP289" s="58">
        <v>470</v>
      </c>
      <c r="CQ289" s="33">
        <f t="shared" si="164"/>
        <v>517</v>
      </c>
      <c r="CR289" s="65">
        <v>200000</v>
      </c>
      <c r="CS289" s="314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12">
        <v>12.9</v>
      </c>
      <c r="DH289" s="312">
        <v>1100</v>
      </c>
      <c r="DI289" s="21">
        <v>1112.5</v>
      </c>
      <c r="DJ289" s="312">
        <v>1220</v>
      </c>
      <c r="DK289" s="312">
        <v>1413</v>
      </c>
      <c r="DL289" s="65">
        <v>200000</v>
      </c>
      <c r="DM289" s="29" t="s">
        <v>5833</v>
      </c>
      <c r="DN289" s="314" t="s">
        <v>4432</v>
      </c>
      <c r="DO289" s="301" t="s">
        <v>6300</v>
      </c>
    </row>
    <row r="290" spans="1:119">
      <c r="A290" s="314">
        <v>285</v>
      </c>
      <c r="B290" s="318"/>
      <c r="C290" s="318"/>
      <c r="D290" s="321"/>
      <c r="E290" s="324"/>
      <c r="F290" s="318"/>
      <c r="G290" s="327"/>
      <c r="H290" s="327"/>
      <c r="I290" s="327"/>
      <c r="J290" s="285" t="s">
        <v>6351</v>
      </c>
      <c r="K290" s="314" t="s">
        <v>4380</v>
      </c>
      <c r="L290" s="312" t="s">
        <v>5786</v>
      </c>
      <c r="M290" s="314" t="s">
        <v>4505</v>
      </c>
      <c r="N290" s="312" t="s">
        <v>4699</v>
      </c>
      <c r="O290" s="18" t="s">
        <v>4503</v>
      </c>
      <c r="P290" s="312" t="s">
        <v>6325</v>
      </c>
      <c r="Q290" s="312" t="s">
        <v>4417</v>
      </c>
      <c r="R290" s="312" t="s">
        <v>4417</v>
      </c>
      <c r="S290" s="312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12" t="s">
        <v>4417</v>
      </c>
      <c r="Y290" s="312" t="s">
        <v>5786</v>
      </c>
      <c r="Z290" s="312" t="s">
        <v>6042</v>
      </c>
      <c r="AA290" s="18">
        <v>10</v>
      </c>
      <c r="AB290" s="222">
        <v>0</v>
      </c>
      <c r="AC290" s="18">
        <v>0</v>
      </c>
      <c r="AD290" s="314" t="s">
        <v>6346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14" t="s">
        <v>6347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14" t="s">
        <v>5801</v>
      </c>
      <c r="AX290" s="312" t="s">
        <v>4495</v>
      </c>
      <c r="AY290" s="21">
        <f t="shared" si="160"/>
        <v>75.365499999999997</v>
      </c>
      <c r="AZ290" s="312">
        <v>24</v>
      </c>
      <c r="BA290" s="312">
        <f t="shared" si="140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6326</v>
      </c>
      <c r="BH290" s="312" t="s">
        <v>6196</v>
      </c>
      <c r="BI290" s="312" t="s">
        <v>6196</v>
      </c>
      <c r="BJ290" s="312">
        <v>2</v>
      </c>
      <c r="BK290" s="312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314" t="s">
        <v>5966</v>
      </c>
      <c r="CH290" s="312">
        <v>355</v>
      </c>
      <c r="CI290" s="33">
        <f t="shared" si="161"/>
        <v>390.50000000000006</v>
      </c>
      <c r="CJ290" s="61">
        <v>470</v>
      </c>
      <c r="CK290" s="33">
        <f t="shared" si="162"/>
        <v>517</v>
      </c>
      <c r="CL290" s="65">
        <v>200000</v>
      </c>
      <c r="CM290" s="314" t="s">
        <v>5966</v>
      </c>
      <c r="CN290" s="58">
        <v>355</v>
      </c>
      <c r="CO290" s="33">
        <f t="shared" si="163"/>
        <v>390.50000000000006</v>
      </c>
      <c r="CP290" s="58">
        <v>470</v>
      </c>
      <c r="CQ290" s="33">
        <f t="shared" si="164"/>
        <v>517</v>
      </c>
      <c r="CR290" s="65">
        <v>200000</v>
      </c>
      <c r="CS290" s="314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12">
        <v>12.9</v>
      </c>
      <c r="DH290" s="312">
        <v>1100</v>
      </c>
      <c r="DI290" s="21">
        <v>1112.5</v>
      </c>
      <c r="DJ290" s="312">
        <v>1220</v>
      </c>
      <c r="DK290" s="312">
        <v>1413</v>
      </c>
      <c r="DL290" s="65">
        <v>200000</v>
      </c>
      <c r="DM290" s="29" t="s">
        <v>5833</v>
      </c>
      <c r="DN290" s="314" t="s">
        <v>4432</v>
      </c>
      <c r="DO290" s="301" t="s">
        <v>6300</v>
      </c>
    </row>
    <row r="291" spans="1:119" ht="15.6" customHeight="1">
      <c r="A291" s="314">
        <v>286</v>
      </c>
      <c r="B291" s="318"/>
      <c r="C291" s="318"/>
      <c r="D291" s="321"/>
      <c r="E291" s="324"/>
      <c r="F291" s="318"/>
      <c r="G291" s="327"/>
      <c r="H291" s="327"/>
      <c r="I291" s="327"/>
      <c r="J291" s="285" t="s">
        <v>4822</v>
      </c>
      <c r="K291" s="314" t="s">
        <v>4380</v>
      </c>
      <c r="L291" s="312" t="s">
        <v>5786</v>
      </c>
      <c r="M291" s="314" t="s">
        <v>4505</v>
      </c>
      <c r="N291" s="312" t="s">
        <v>4699</v>
      </c>
      <c r="O291" s="18" t="s">
        <v>4503</v>
      </c>
      <c r="P291" s="312" t="s">
        <v>6325</v>
      </c>
      <c r="Q291" s="312" t="s">
        <v>4417</v>
      </c>
      <c r="R291" s="312" t="s">
        <v>4417</v>
      </c>
      <c r="S291" s="312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12" t="s">
        <v>4417</v>
      </c>
      <c r="Y291" s="312" t="s">
        <v>5786</v>
      </c>
      <c r="Z291" s="312" t="s">
        <v>6042</v>
      </c>
      <c r="AA291" s="18">
        <v>10</v>
      </c>
      <c r="AB291" s="222">
        <v>0</v>
      </c>
      <c r="AC291" s="18">
        <v>0</v>
      </c>
      <c r="AD291" s="314" t="s">
        <v>6346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14" t="s">
        <v>6347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14" t="s">
        <v>5801</v>
      </c>
      <c r="AX291" s="312" t="s">
        <v>4495</v>
      </c>
      <c r="AY291" s="21">
        <f t="shared" si="160"/>
        <v>75.365499999999997</v>
      </c>
      <c r="AZ291" s="312">
        <v>24</v>
      </c>
      <c r="BA291" s="312">
        <f t="shared" si="140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6326</v>
      </c>
      <c r="BH291" s="312" t="s">
        <v>6196</v>
      </c>
      <c r="BI291" s="312" t="s">
        <v>6196</v>
      </c>
      <c r="BJ291" s="312">
        <v>2</v>
      </c>
      <c r="BK291" s="312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314" t="s">
        <v>5966</v>
      </c>
      <c r="CH291" s="312">
        <v>355</v>
      </c>
      <c r="CI291" s="33">
        <f t="shared" si="161"/>
        <v>390.50000000000006</v>
      </c>
      <c r="CJ291" s="61">
        <v>470</v>
      </c>
      <c r="CK291" s="33">
        <f t="shared" si="162"/>
        <v>517</v>
      </c>
      <c r="CL291" s="65">
        <v>200000</v>
      </c>
      <c r="CM291" s="314" t="s">
        <v>5966</v>
      </c>
      <c r="CN291" s="58">
        <v>355</v>
      </c>
      <c r="CO291" s="33">
        <f t="shared" si="163"/>
        <v>390.50000000000006</v>
      </c>
      <c r="CP291" s="58">
        <v>470</v>
      </c>
      <c r="CQ291" s="33">
        <f t="shared" si="164"/>
        <v>517</v>
      </c>
      <c r="CR291" s="65">
        <v>200000</v>
      </c>
      <c r="CS291" s="314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12">
        <v>12.9</v>
      </c>
      <c r="DH291" s="312">
        <v>1100</v>
      </c>
      <c r="DI291" s="21">
        <v>1112.5</v>
      </c>
      <c r="DJ291" s="312">
        <v>1220</v>
      </c>
      <c r="DK291" s="312">
        <v>1413</v>
      </c>
      <c r="DL291" s="65">
        <v>200000</v>
      </c>
      <c r="DM291" s="29" t="s">
        <v>12</v>
      </c>
      <c r="DN291" s="314" t="s">
        <v>4432</v>
      </c>
      <c r="DO291" s="301" t="s">
        <v>6300</v>
      </c>
    </row>
    <row r="292" spans="1:119" ht="15.6" customHeight="1">
      <c r="A292" s="314">
        <v>287</v>
      </c>
      <c r="B292" s="318"/>
      <c r="C292" s="318"/>
      <c r="D292" s="321"/>
      <c r="E292" s="324"/>
      <c r="F292" s="318"/>
      <c r="G292" s="327"/>
      <c r="H292" s="327"/>
      <c r="I292" s="327"/>
      <c r="J292" s="285" t="s">
        <v>4823</v>
      </c>
      <c r="K292" s="314" t="s">
        <v>4380</v>
      </c>
      <c r="L292" s="312" t="s">
        <v>5786</v>
      </c>
      <c r="M292" s="314" t="s">
        <v>4505</v>
      </c>
      <c r="N292" s="312" t="s">
        <v>4699</v>
      </c>
      <c r="O292" s="18" t="s">
        <v>4503</v>
      </c>
      <c r="P292" s="312" t="s">
        <v>6325</v>
      </c>
      <c r="Q292" s="312" t="s">
        <v>4417</v>
      </c>
      <c r="R292" s="312" t="s">
        <v>4417</v>
      </c>
      <c r="S292" s="312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12" t="s">
        <v>4417</v>
      </c>
      <c r="Y292" s="312" t="s">
        <v>5786</v>
      </c>
      <c r="Z292" s="312" t="s">
        <v>6042</v>
      </c>
      <c r="AA292" s="18">
        <v>10</v>
      </c>
      <c r="AB292" s="222">
        <v>0</v>
      </c>
      <c r="AC292" s="18">
        <v>0</v>
      </c>
      <c r="AD292" s="314" t="s">
        <v>6346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14" t="s">
        <v>6347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14" t="s">
        <v>5801</v>
      </c>
      <c r="AX292" s="312" t="s">
        <v>4495</v>
      </c>
      <c r="AY292" s="21">
        <f t="shared" si="160"/>
        <v>75.365499999999997</v>
      </c>
      <c r="AZ292" s="312">
        <v>24</v>
      </c>
      <c r="BA292" s="312">
        <f t="shared" si="140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6326</v>
      </c>
      <c r="BH292" s="312" t="s">
        <v>6196</v>
      </c>
      <c r="BI292" s="312" t="s">
        <v>6196</v>
      </c>
      <c r="BJ292" s="312">
        <v>2</v>
      </c>
      <c r="BK292" s="312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314" t="s">
        <v>5966</v>
      </c>
      <c r="CH292" s="312">
        <v>355</v>
      </c>
      <c r="CI292" s="33">
        <f t="shared" si="161"/>
        <v>390.50000000000006</v>
      </c>
      <c r="CJ292" s="61">
        <v>470</v>
      </c>
      <c r="CK292" s="33">
        <f t="shared" si="162"/>
        <v>517</v>
      </c>
      <c r="CL292" s="65">
        <v>200000</v>
      </c>
      <c r="CM292" s="314" t="s">
        <v>5966</v>
      </c>
      <c r="CN292" s="58">
        <v>355</v>
      </c>
      <c r="CO292" s="33">
        <f t="shared" si="163"/>
        <v>390.50000000000006</v>
      </c>
      <c r="CP292" s="58">
        <v>470</v>
      </c>
      <c r="CQ292" s="33">
        <f t="shared" si="164"/>
        <v>517</v>
      </c>
      <c r="CR292" s="65">
        <v>200000</v>
      </c>
      <c r="CS292" s="314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12">
        <v>12.9</v>
      </c>
      <c r="DH292" s="312">
        <v>1100</v>
      </c>
      <c r="DI292" s="21">
        <v>1112.5</v>
      </c>
      <c r="DJ292" s="312">
        <v>1220</v>
      </c>
      <c r="DK292" s="312">
        <v>1413</v>
      </c>
      <c r="DL292" s="65">
        <v>200000</v>
      </c>
      <c r="DM292" s="29" t="s">
        <v>12</v>
      </c>
      <c r="DN292" s="314" t="s">
        <v>4432</v>
      </c>
      <c r="DO292" s="301" t="s">
        <v>6300</v>
      </c>
    </row>
    <row r="293" spans="1:119">
      <c r="A293" s="314">
        <v>288</v>
      </c>
      <c r="B293" s="318"/>
      <c r="C293" s="318"/>
      <c r="D293" s="321"/>
      <c r="E293" s="324"/>
      <c r="F293" s="318"/>
      <c r="G293" s="327"/>
      <c r="H293" s="327"/>
      <c r="I293" s="327"/>
      <c r="J293" s="285" t="s">
        <v>4824</v>
      </c>
      <c r="K293" s="314" t="s">
        <v>4380</v>
      </c>
      <c r="L293" s="312" t="s">
        <v>5786</v>
      </c>
      <c r="M293" s="314" t="s">
        <v>4505</v>
      </c>
      <c r="N293" s="312" t="s">
        <v>4699</v>
      </c>
      <c r="O293" s="18" t="s">
        <v>4503</v>
      </c>
      <c r="P293" s="312" t="s">
        <v>6325</v>
      </c>
      <c r="Q293" s="312" t="s">
        <v>4417</v>
      </c>
      <c r="R293" s="312" t="s">
        <v>4417</v>
      </c>
      <c r="S293" s="312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12" t="s">
        <v>4417</v>
      </c>
      <c r="Y293" s="312" t="s">
        <v>5786</v>
      </c>
      <c r="Z293" s="312" t="s">
        <v>6042</v>
      </c>
      <c r="AA293" s="18">
        <v>10</v>
      </c>
      <c r="AB293" s="222">
        <v>0</v>
      </c>
      <c r="AC293" s="18">
        <v>0</v>
      </c>
      <c r="AD293" s="314" t="s">
        <v>6346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14" t="s">
        <v>6347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14" t="s">
        <v>5801</v>
      </c>
      <c r="AX293" s="312" t="s">
        <v>4495</v>
      </c>
      <c r="AY293" s="21">
        <f t="shared" si="160"/>
        <v>66.669749999999979</v>
      </c>
      <c r="AZ293" s="312">
        <v>27</v>
      </c>
      <c r="BA293" s="312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6326</v>
      </c>
      <c r="BH293" s="312" t="s">
        <v>6196</v>
      </c>
      <c r="BI293" s="312" t="s">
        <v>6196</v>
      </c>
      <c r="BJ293" s="312">
        <v>2</v>
      </c>
      <c r="BK293" s="312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314" t="s">
        <v>5966</v>
      </c>
      <c r="CH293" s="312">
        <v>355</v>
      </c>
      <c r="CI293" s="33">
        <f t="shared" si="161"/>
        <v>390.50000000000006</v>
      </c>
      <c r="CJ293" s="61">
        <v>470</v>
      </c>
      <c r="CK293" s="33">
        <f t="shared" si="162"/>
        <v>517</v>
      </c>
      <c r="CL293" s="65">
        <v>200000</v>
      </c>
      <c r="CM293" s="314" t="s">
        <v>5966</v>
      </c>
      <c r="CN293" s="58">
        <v>355</v>
      </c>
      <c r="CO293" s="33">
        <f t="shared" si="163"/>
        <v>390.50000000000006</v>
      </c>
      <c r="CP293" s="58">
        <v>470</v>
      </c>
      <c r="CQ293" s="33">
        <f t="shared" si="164"/>
        <v>517</v>
      </c>
      <c r="CR293" s="65">
        <v>200000</v>
      </c>
      <c r="CS293" s="314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12">
        <v>8.8000000000000007</v>
      </c>
      <c r="DH293" s="312">
        <v>660</v>
      </c>
      <c r="DI293" s="21">
        <v>778.6</v>
      </c>
      <c r="DJ293" s="312">
        <v>830</v>
      </c>
      <c r="DK293" s="312">
        <v>1013</v>
      </c>
      <c r="DL293" s="65">
        <v>200000</v>
      </c>
      <c r="DM293" s="29" t="s">
        <v>4789</v>
      </c>
      <c r="DN293" s="314" t="s">
        <v>4432</v>
      </c>
      <c r="DO293" s="301" t="s">
        <v>6300</v>
      </c>
    </row>
    <row r="294" spans="1:119" ht="15.6" customHeight="1" thickBot="1">
      <c r="A294" s="314">
        <v>289</v>
      </c>
      <c r="B294" s="319"/>
      <c r="C294" s="319"/>
      <c r="D294" s="322"/>
      <c r="E294" s="325"/>
      <c r="F294" s="319"/>
      <c r="G294" s="328"/>
      <c r="H294" s="328"/>
      <c r="I294" s="328"/>
      <c r="J294" s="284" t="s">
        <v>4825</v>
      </c>
      <c r="K294" s="314" t="s">
        <v>4380</v>
      </c>
      <c r="L294" s="312" t="s">
        <v>5786</v>
      </c>
      <c r="M294" s="314" t="s">
        <v>4505</v>
      </c>
      <c r="N294" s="312" t="s">
        <v>4699</v>
      </c>
      <c r="O294" s="18" t="s">
        <v>4503</v>
      </c>
      <c r="P294" s="312" t="s">
        <v>6325</v>
      </c>
      <c r="Q294" s="312" t="s">
        <v>4417</v>
      </c>
      <c r="R294" s="312" t="s">
        <v>4417</v>
      </c>
      <c r="S294" s="312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12" t="s">
        <v>4417</v>
      </c>
      <c r="Y294" s="312" t="s">
        <v>5786</v>
      </c>
      <c r="Z294" s="312" t="s">
        <v>6042</v>
      </c>
      <c r="AA294" s="18">
        <v>10</v>
      </c>
      <c r="AB294" s="222">
        <v>0</v>
      </c>
      <c r="AC294" s="18">
        <v>0</v>
      </c>
      <c r="AD294" s="310" t="s">
        <v>6346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10" t="s">
        <v>6347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14" t="s">
        <v>5801</v>
      </c>
      <c r="AX294" s="312" t="s">
        <v>4495</v>
      </c>
      <c r="AY294" s="21">
        <f t="shared" si="160"/>
        <v>66.669749999999979</v>
      </c>
      <c r="AZ294" s="312">
        <v>27</v>
      </c>
      <c r="BA294" s="312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6326</v>
      </c>
      <c r="BH294" s="313" t="s">
        <v>6196</v>
      </c>
      <c r="BI294" s="313" t="s">
        <v>6196</v>
      </c>
      <c r="BJ294" s="313">
        <v>2</v>
      </c>
      <c r="BK294" s="313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310" t="s">
        <v>5966</v>
      </c>
      <c r="CH294" s="313">
        <v>355</v>
      </c>
      <c r="CI294" s="35">
        <f t="shared" si="161"/>
        <v>390.50000000000006</v>
      </c>
      <c r="CJ294" s="72">
        <v>470</v>
      </c>
      <c r="CK294" s="35">
        <f t="shared" si="162"/>
        <v>517</v>
      </c>
      <c r="CL294" s="68">
        <v>200000</v>
      </c>
      <c r="CM294" s="310" t="s">
        <v>5966</v>
      </c>
      <c r="CN294" s="85">
        <v>355</v>
      </c>
      <c r="CO294" s="35">
        <f t="shared" si="163"/>
        <v>390.50000000000006</v>
      </c>
      <c r="CP294" s="85">
        <v>470</v>
      </c>
      <c r="CQ294" s="35">
        <f t="shared" si="164"/>
        <v>517</v>
      </c>
      <c r="CR294" s="68">
        <v>200000</v>
      </c>
      <c r="CS294" s="31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13">
        <v>8.8000000000000007</v>
      </c>
      <c r="DH294" s="313">
        <v>660</v>
      </c>
      <c r="DI294" s="23">
        <v>778.6</v>
      </c>
      <c r="DJ294" s="313">
        <v>830</v>
      </c>
      <c r="DK294" s="313">
        <v>1013</v>
      </c>
      <c r="DL294" s="68">
        <v>200000</v>
      </c>
      <c r="DM294" s="29" t="s">
        <v>4827</v>
      </c>
      <c r="DN294" s="310" t="s">
        <v>4432</v>
      </c>
      <c r="DO294" s="301" t="s">
        <v>6300</v>
      </c>
    </row>
    <row r="295" spans="1:119" ht="15.6" customHeight="1">
      <c r="A295" s="309">
        <v>290</v>
      </c>
      <c r="B295" s="317">
        <v>41</v>
      </c>
      <c r="C295" s="317">
        <v>2008</v>
      </c>
      <c r="D295" s="317" t="s">
        <v>5993</v>
      </c>
      <c r="E295" s="317" t="s">
        <v>6000</v>
      </c>
      <c r="F295" s="317">
        <v>3</v>
      </c>
      <c r="G295" s="317" t="s">
        <v>5991</v>
      </c>
      <c r="H295" s="317" t="s">
        <v>5992</v>
      </c>
      <c r="I295" s="317" t="s">
        <v>6238</v>
      </c>
      <c r="J295" s="283" t="s">
        <v>5994</v>
      </c>
      <c r="K295" s="309" t="s">
        <v>4380</v>
      </c>
      <c r="L295" s="311" t="s">
        <v>5786</v>
      </c>
      <c r="M295" s="309" t="s">
        <v>4504</v>
      </c>
      <c r="N295" s="311" t="s">
        <v>4698</v>
      </c>
      <c r="O295" s="17" t="s">
        <v>4503</v>
      </c>
      <c r="P295" s="311" t="s">
        <v>4467</v>
      </c>
      <c r="Q295" s="311" t="s">
        <v>4417</v>
      </c>
      <c r="R295" s="311" t="s">
        <v>4417</v>
      </c>
      <c r="S295" s="311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311" t="s">
        <v>4417</v>
      </c>
      <c r="Y295" s="311" t="s">
        <v>5786</v>
      </c>
      <c r="Z295" s="311" t="s">
        <v>4555</v>
      </c>
      <c r="AA295" s="86">
        <v>5</v>
      </c>
      <c r="AB295" s="231">
        <v>0</v>
      </c>
      <c r="AC295" s="17">
        <v>0</v>
      </c>
      <c r="AD295" s="30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30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9" t="s">
        <v>5801</v>
      </c>
      <c r="AX295" s="311" t="s">
        <v>4569</v>
      </c>
      <c r="AY295" s="16">
        <f t="shared" si="160"/>
        <v>27.474999999999998</v>
      </c>
      <c r="AZ295" s="311">
        <v>16</v>
      </c>
      <c r="BA295" s="311">
        <f t="shared" ref="BA295:BA358" si="165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11" t="s">
        <v>6196</v>
      </c>
      <c r="BI295" s="311" t="s">
        <v>6196</v>
      </c>
      <c r="BJ295" s="311">
        <v>2</v>
      </c>
      <c r="BK295" s="17">
        <v>4</v>
      </c>
      <c r="BL295" s="309">
        <v>100</v>
      </c>
      <c r="BM295" s="311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309" t="s">
        <v>5850</v>
      </c>
      <c r="BU295" s="311">
        <v>11</v>
      </c>
      <c r="BV295" s="311">
        <v>1</v>
      </c>
      <c r="BW295" s="311">
        <v>19</v>
      </c>
      <c r="BX295" s="311">
        <v>75</v>
      </c>
      <c r="BY295" s="311">
        <v>110</v>
      </c>
      <c r="BZ295" s="17">
        <v>100</v>
      </c>
      <c r="CA295" s="309" t="s">
        <v>5996</v>
      </c>
      <c r="CB295" s="311" t="s">
        <v>4598</v>
      </c>
      <c r="CC295" s="16">
        <f t="shared" ref="CC295:CC296" si="166">((BM295/100)+1)*PI()*8^2/4</f>
        <v>552.92030703180353</v>
      </c>
      <c r="CD295" s="16">
        <f>6*PI()*16^2/4</f>
        <v>1206.3715789784806</v>
      </c>
      <c r="CE295" s="311">
        <v>30</v>
      </c>
      <c r="CF295" s="120">
        <v>1.2E-2</v>
      </c>
      <c r="CG295" s="311" t="s">
        <v>6327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311" t="s">
        <v>6327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311" t="s">
        <v>6327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6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311">
        <v>10.9</v>
      </c>
      <c r="DH295" s="311">
        <v>900</v>
      </c>
      <c r="DI295" s="30">
        <v>990</v>
      </c>
      <c r="DJ295" s="311">
        <v>1000</v>
      </c>
      <c r="DK295" s="30">
        <v>1100</v>
      </c>
      <c r="DL295" s="64">
        <v>200000</v>
      </c>
      <c r="DM295" s="28" t="s">
        <v>5998</v>
      </c>
      <c r="DN295" s="311" t="s">
        <v>4432</v>
      </c>
      <c r="DO295" s="300" t="s">
        <v>6006</v>
      </c>
    </row>
    <row r="296" spans="1:119">
      <c r="A296" s="314">
        <v>291</v>
      </c>
      <c r="B296" s="318"/>
      <c r="C296" s="318"/>
      <c r="D296" s="318"/>
      <c r="E296" s="318"/>
      <c r="F296" s="318"/>
      <c r="G296" s="318"/>
      <c r="H296" s="318"/>
      <c r="I296" s="318"/>
      <c r="J296" s="285" t="s">
        <v>5995</v>
      </c>
      <c r="K296" s="314" t="s">
        <v>4380</v>
      </c>
      <c r="L296" s="312" t="s">
        <v>5786</v>
      </c>
      <c r="M296" s="314" t="s">
        <v>4505</v>
      </c>
      <c r="N296" s="312" t="s">
        <v>4699</v>
      </c>
      <c r="O296" s="18" t="s">
        <v>4503</v>
      </c>
      <c r="P296" s="312" t="s">
        <v>4467</v>
      </c>
      <c r="Q296" s="312" t="s">
        <v>4417</v>
      </c>
      <c r="R296" s="312" t="s">
        <v>4417</v>
      </c>
      <c r="S296" s="312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12" t="s">
        <v>4417</v>
      </c>
      <c r="Y296" s="312" t="s">
        <v>5786</v>
      </c>
      <c r="Z296" s="312" t="s">
        <v>4555</v>
      </c>
      <c r="AA296" s="71">
        <v>5</v>
      </c>
      <c r="AB296" s="222">
        <v>0</v>
      </c>
      <c r="AC296" s="18">
        <v>0</v>
      </c>
      <c r="AD296" s="314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14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4" t="s">
        <v>5801</v>
      </c>
      <c r="AX296" s="312" t="s">
        <v>4569</v>
      </c>
      <c r="AY296" s="21">
        <f t="shared" si="160"/>
        <v>27.474999999999998</v>
      </c>
      <c r="AZ296" s="307">
        <v>16</v>
      </c>
      <c r="BA296" s="312">
        <f t="shared" si="165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12" t="s">
        <v>6196</v>
      </c>
      <c r="BI296" s="312" t="s">
        <v>6196</v>
      </c>
      <c r="BJ296" s="307">
        <v>2</v>
      </c>
      <c r="BK296" s="307">
        <v>4</v>
      </c>
      <c r="BL296" s="314">
        <v>100</v>
      </c>
      <c r="BM296" s="312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314" t="s">
        <v>5850</v>
      </c>
      <c r="BU296" s="312">
        <v>11</v>
      </c>
      <c r="BV296" s="312">
        <v>1</v>
      </c>
      <c r="BW296" s="312">
        <v>19</v>
      </c>
      <c r="BX296" s="312">
        <v>75</v>
      </c>
      <c r="BY296" s="312">
        <v>110</v>
      </c>
      <c r="BZ296" s="18">
        <v>100</v>
      </c>
      <c r="CA296" s="314" t="s">
        <v>5996</v>
      </c>
      <c r="CB296" s="312" t="s">
        <v>4598</v>
      </c>
      <c r="CC296" s="21">
        <f t="shared" si="166"/>
        <v>552.92030703180353</v>
      </c>
      <c r="CD296" s="21">
        <f>6*PI()*16^2/4</f>
        <v>1206.3715789784806</v>
      </c>
      <c r="CE296" s="312">
        <v>30</v>
      </c>
      <c r="CF296" s="118">
        <v>1.2E-2</v>
      </c>
      <c r="CG296" s="312" t="s">
        <v>6327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12" t="s">
        <v>6327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12" t="s">
        <v>6327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7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12">
        <v>10.9</v>
      </c>
      <c r="DH296" s="312">
        <v>900</v>
      </c>
      <c r="DI296" s="32">
        <v>990</v>
      </c>
      <c r="DJ296" s="312">
        <v>1000</v>
      </c>
      <c r="DK296" s="32">
        <v>1100</v>
      </c>
      <c r="DL296" s="65">
        <v>200000</v>
      </c>
      <c r="DM296" s="29" t="s">
        <v>5999</v>
      </c>
      <c r="DN296" s="312" t="s">
        <v>4432</v>
      </c>
      <c r="DO296" s="301" t="s">
        <v>4562</v>
      </c>
    </row>
    <row r="297" spans="1:119" ht="16.2" thickBot="1">
      <c r="A297" s="310">
        <v>292</v>
      </c>
      <c r="B297" s="319"/>
      <c r="C297" s="319"/>
      <c r="D297" s="319"/>
      <c r="E297" s="319"/>
      <c r="F297" s="319"/>
      <c r="G297" s="319"/>
      <c r="H297" s="319"/>
      <c r="I297" s="319"/>
      <c r="J297" s="284" t="s">
        <v>0</v>
      </c>
      <c r="K297" s="310" t="s">
        <v>4380</v>
      </c>
      <c r="L297" s="313" t="s">
        <v>5786</v>
      </c>
      <c r="M297" s="310" t="s">
        <v>4505</v>
      </c>
      <c r="N297" s="313" t="s">
        <v>4699</v>
      </c>
      <c r="O297" s="14" t="s">
        <v>4503</v>
      </c>
      <c r="P297" s="313" t="s">
        <v>4467</v>
      </c>
      <c r="Q297" s="313" t="s">
        <v>4417</v>
      </c>
      <c r="R297" s="313" t="s">
        <v>4417</v>
      </c>
      <c r="S297" s="313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13" t="s">
        <v>4417</v>
      </c>
      <c r="Y297" s="313" t="s">
        <v>5786</v>
      </c>
      <c r="Z297" s="313" t="s">
        <v>4555</v>
      </c>
      <c r="AA297" s="116">
        <v>5</v>
      </c>
      <c r="AB297" s="227">
        <v>0</v>
      </c>
      <c r="AC297" s="14">
        <v>0</v>
      </c>
      <c r="AD297" s="31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1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5" t="s">
        <v>5801</v>
      </c>
      <c r="AX297" s="313" t="s">
        <v>4569</v>
      </c>
      <c r="AY297" s="21">
        <f t="shared" si="160"/>
        <v>27.474999999999998</v>
      </c>
      <c r="AZ297" s="308">
        <v>16</v>
      </c>
      <c r="BA297" s="313">
        <f t="shared" si="165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13" t="s">
        <v>6196</v>
      </c>
      <c r="BI297" s="313" t="s">
        <v>6196</v>
      </c>
      <c r="BJ297" s="308">
        <v>2</v>
      </c>
      <c r="BK297" s="308">
        <v>4</v>
      </c>
      <c r="BL297" s="310">
        <v>100</v>
      </c>
      <c r="BM297" s="313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310" t="s">
        <v>5850</v>
      </c>
      <c r="BU297" s="313">
        <v>11</v>
      </c>
      <c r="BV297" s="313">
        <v>1</v>
      </c>
      <c r="BW297" s="313">
        <v>19</v>
      </c>
      <c r="BX297" s="313">
        <v>75</v>
      </c>
      <c r="BY297" s="313">
        <v>110</v>
      </c>
      <c r="BZ297" s="14">
        <v>100</v>
      </c>
      <c r="CA297" s="310" t="s">
        <v>5996</v>
      </c>
      <c r="CB297" s="313" t="s">
        <v>4598</v>
      </c>
      <c r="CC297" s="23">
        <f>((BM297/100)+1)*PI()*8^2/4</f>
        <v>552.92030703180353</v>
      </c>
      <c r="CD297" s="23">
        <f>6*PI()*16^2/4</f>
        <v>1206.3715789784806</v>
      </c>
      <c r="CE297" s="313">
        <v>30</v>
      </c>
      <c r="CF297" s="119">
        <v>1.2E-2</v>
      </c>
      <c r="CG297" s="313" t="s">
        <v>6327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13" t="s">
        <v>6327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13" t="s">
        <v>6327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8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13">
        <v>10.9</v>
      </c>
      <c r="DH297" s="313">
        <v>900</v>
      </c>
      <c r="DI297" s="34">
        <v>990</v>
      </c>
      <c r="DJ297" s="313">
        <v>1000</v>
      </c>
      <c r="DK297" s="34">
        <v>1100</v>
      </c>
      <c r="DL297" s="68">
        <v>200000</v>
      </c>
      <c r="DM297" s="27" t="s">
        <v>5</v>
      </c>
      <c r="DN297" s="310" t="s">
        <v>4432</v>
      </c>
      <c r="DO297" s="302" t="s">
        <v>4562</v>
      </c>
    </row>
    <row r="298" spans="1:119" ht="15.6" customHeight="1">
      <c r="A298" s="309">
        <v>293</v>
      </c>
      <c r="B298" s="317">
        <v>42</v>
      </c>
      <c r="C298" s="317">
        <v>2009</v>
      </c>
      <c r="D298" s="320" t="s">
        <v>4671</v>
      </c>
      <c r="E298" s="323" t="s">
        <v>4843</v>
      </c>
      <c r="F298" s="317">
        <v>4</v>
      </c>
      <c r="G298" s="326" t="s">
        <v>5915</v>
      </c>
      <c r="H298" s="326" t="s">
        <v>5914</v>
      </c>
      <c r="I298" s="326" t="s">
        <v>6239</v>
      </c>
      <c r="J298" s="285" t="s">
        <v>4710</v>
      </c>
      <c r="K298" s="309" t="s">
        <v>6333</v>
      </c>
      <c r="L298" s="311" t="s">
        <v>6050</v>
      </c>
      <c r="M298" s="309" t="s">
        <v>4504</v>
      </c>
      <c r="N298" s="311" t="s">
        <v>4700</v>
      </c>
      <c r="O298" s="17" t="s">
        <v>4503</v>
      </c>
      <c r="P298" s="311" t="s">
        <v>6325</v>
      </c>
      <c r="Q298" s="311" t="s">
        <v>4467</v>
      </c>
      <c r="R298" s="311" t="s">
        <v>4417</v>
      </c>
      <c r="S298" s="311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311" t="s">
        <v>4417</v>
      </c>
      <c r="Y298" s="311" t="s">
        <v>5786</v>
      </c>
      <c r="Z298" s="311" t="s">
        <v>4556</v>
      </c>
      <c r="AA298" s="88">
        <v>0</v>
      </c>
      <c r="AB298" s="231">
        <v>0</v>
      </c>
      <c r="AC298" s="17">
        <v>1777</v>
      </c>
      <c r="AD298" s="309" t="s">
        <v>6352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30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7">(AT298-AK298)/2</f>
        <v>20</v>
      </c>
      <c r="AW298" s="309" t="s">
        <v>5653</v>
      </c>
      <c r="AX298" s="311" t="s">
        <v>4647</v>
      </c>
      <c r="AY298" s="16">
        <f>190/AZ298/0.25</f>
        <v>47.5</v>
      </c>
      <c r="AZ298" s="311">
        <v>16</v>
      </c>
      <c r="BA298" s="311">
        <f t="shared" si="165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6325</v>
      </c>
      <c r="BH298" s="311" t="s">
        <v>4462</v>
      </c>
      <c r="BI298" s="311" t="s">
        <v>4462</v>
      </c>
      <c r="BJ298" s="311">
        <v>4</v>
      </c>
      <c r="BK298" s="311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12">
        <v>8.8000000000000007</v>
      </c>
      <c r="DH298" s="312">
        <v>640</v>
      </c>
      <c r="DI298" s="312">
        <v>752</v>
      </c>
      <c r="DJ298" s="312">
        <v>800</v>
      </c>
      <c r="DK298" s="312">
        <v>946</v>
      </c>
      <c r="DL298" s="59">
        <v>200000</v>
      </c>
      <c r="DM298" s="28" t="s">
        <v>4780</v>
      </c>
      <c r="DN298" s="311" t="s">
        <v>4557</v>
      </c>
      <c r="DO298" s="300" t="s">
        <v>6009</v>
      </c>
    </row>
    <row r="299" spans="1:119" ht="15.6" customHeight="1">
      <c r="A299" s="314">
        <v>294</v>
      </c>
      <c r="B299" s="318"/>
      <c r="C299" s="318"/>
      <c r="D299" s="321"/>
      <c r="E299" s="324"/>
      <c r="F299" s="318"/>
      <c r="G299" s="327"/>
      <c r="H299" s="327"/>
      <c r="I299" s="327"/>
      <c r="J299" s="285" t="s">
        <v>4711</v>
      </c>
      <c r="K299" s="314" t="s">
        <v>6333</v>
      </c>
      <c r="L299" s="312" t="s">
        <v>6050</v>
      </c>
      <c r="M299" s="314" t="s">
        <v>4504</v>
      </c>
      <c r="N299" s="312" t="s">
        <v>4700</v>
      </c>
      <c r="O299" s="18" t="s">
        <v>4503</v>
      </c>
      <c r="P299" s="312" t="s">
        <v>6325</v>
      </c>
      <c r="Q299" s="312" t="s">
        <v>4467</v>
      </c>
      <c r="R299" s="312" t="s">
        <v>4417</v>
      </c>
      <c r="S299" s="312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12" t="s">
        <v>4417</v>
      </c>
      <c r="Y299" s="312" t="s">
        <v>5786</v>
      </c>
      <c r="Z299" s="312" t="s">
        <v>4556</v>
      </c>
      <c r="AA299" s="87">
        <v>0</v>
      </c>
      <c r="AB299" s="222">
        <v>0</v>
      </c>
      <c r="AC299" s="18">
        <v>1777</v>
      </c>
      <c r="AD299" s="314" t="s">
        <v>6352</v>
      </c>
      <c r="AE299" s="312">
        <f>INDEX('[2]Cross-Section Database'!$C$2:$V$2928,MATCH(AD299,'[2]Cross-Section Database'!$B$2:$B$2928,0),3)</f>
        <v>200</v>
      </c>
      <c r="AF299" s="312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14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7"/>
        <v>20</v>
      </c>
      <c r="AW299" s="314" t="s">
        <v>5653</v>
      </c>
      <c r="AX299" s="312" t="s">
        <v>4647</v>
      </c>
      <c r="AY299" s="21">
        <f>190/AZ299/0.25</f>
        <v>47.5</v>
      </c>
      <c r="AZ299" s="312">
        <v>16</v>
      </c>
      <c r="BA299" s="312">
        <f t="shared" si="165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6325</v>
      </c>
      <c r="BH299" s="312" t="s">
        <v>4462</v>
      </c>
      <c r="BI299" s="312" t="s">
        <v>4462</v>
      </c>
      <c r="BJ299" s="312">
        <v>4</v>
      </c>
      <c r="BK299" s="312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12">
        <v>8.8000000000000007</v>
      </c>
      <c r="DH299" s="312">
        <v>640</v>
      </c>
      <c r="DI299" s="312">
        <v>752</v>
      </c>
      <c r="DJ299" s="312">
        <v>800</v>
      </c>
      <c r="DK299" s="312">
        <v>946</v>
      </c>
      <c r="DL299" s="59">
        <v>200000</v>
      </c>
      <c r="DM299" s="29" t="s">
        <v>6010</v>
      </c>
      <c r="DN299" s="312" t="s">
        <v>4557</v>
      </c>
      <c r="DO299" s="301" t="s">
        <v>6009</v>
      </c>
    </row>
    <row r="300" spans="1:119">
      <c r="A300" s="314">
        <v>295</v>
      </c>
      <c r="B300" s="318"/>
      <c r="C300" s="318"/>
      <c r="D300" s="321"/>
      <c r="E300" s="324"/>
      <c r="F300" s="318"/>
      <c r="G300" s="327"/>
      <c r="H300" s="327"/>
      <c r="I300" s="327"/>
      <c r="J300" s="292" t="s">
        <v>4645</v>
      </c>
      <c r="K300" s="314" t="s">
        <v>4380</v>
      </c>
      <c r="L300" s="312" t="s">
        <v>5786</v>
      </c>
      <c r="M300" s="314" t="s">
        <v>4504</v>
      </c>
      <c r="N300" s="312" t="s">
        <v>4698</v>
      </c>
      <c r="O300" s="18" t="s">
        <v>4503</v>
      </c>
      <c r="P300" s="312" t="s">
        <v>4417</v>
      </c>
      <c r="Q300" s="312" t="s">
        <v>4467</v>
      </c>
      <c r="R300" s="312" t="s">
        <v>4417</v>
      </c>
      <c r="S300" s="312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12" t="s">
        <v>4417</v>
      </c>
      <c r="Y300" s="312" t="s">
        <v>5786</v>
      </c>
      <c r="Z300" s="312" t="s">
        <v>4556</v>
      </c>
      <c r="AA300" s="87">
        <v>0</v>
      </c>
      <c r="AB300" s="222">
        <v>0</v>
      </c>
      <c r="AC300" s="18">
        <v>1777</v>
      </c>
      <c r="AD300" s="314" t="s">
        <v>4643</v>
      </c>
      <c r="AE300" s="312">
        <f>INDEX('[2]Cross-Section Database'!$C$2:$V$2928,MATCH(AD300,'[2]Cross-Section Database'!$B$2:$B$2928,0),3)</f>
        <v>200</v>
      </c>
      <c r="AF300" s="312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14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7"/>
        <v>20</v>
      </c>
      <c r="AW300" s="314" t="s">
        <v>5653</v>
      </c>
      <c r="AX300" s="312" t="s">
        <v>4647</v>
      </c>
      <c r="AY300" s="21">
        <f>190/AZ300/0.25</f>
        <v>47.5</v>
      </c>
      <c r="AZ300" s="312">
        <v>16</v>
      </c>
      <c r="BA300" s="312">
        <f t="shared" si="165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12" t="s">
        <v>6196</v>
      </c>
      <c r="BI300" s="312" t="s">
        <v>6196</v>
      </c>
      <c r="BJ300" s="312">
        <v>2</v>
      </c>
      <c r="BK300" s="312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314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12">
        <v>8.8000000000000007</v>
      </c>
      <c r="DH300" s="312">
        <v>640</v>
      </c>
      <c r="DI300" s="312">
        <v>752</v>
      </c>
      <c r="DJ300" s="312">
        <v>800</v>
      </c>
      <c r="DK300" s="312">
        <v>946</v>
      </c>
      <c r="DL300" s="59">
        <v>200000</v>
      </c>
      <c r="DM300" s="29" t="s">
        <v>6011</v>
      </c>
      <c r="DN300" s="314" t="s">
        <v>4557</v>
      </c>
      <c r="DO300" s="301" t="s">
        <v>6009</v>
      </c>
    </row>
    <row r="301" spans="1:119" ht="16.2" thickBot="1">
      <c r="A301" s="310">
        <v>296</v>
      </c>
      <c r="B301" s="319"/>
      <c r="C301" s="319"/>
      <c r="D301" s="322"/>
      <c r="E301" s="325"/>
      <c r="F301" s="319"/>
      <c r="G301" s="328"/>
      <c r="H301" s="328"/>
      <c r="I301" s="328"/>
      <c r="J301" s="291" t="s">
        <v>4646</v>
      </c>
      <c r="K301" s="310" t="s">
        <v>4380</v>
      </c>
      <c r="L301" s="313" t="s">
        <v>5786</v>
      </c>
      <c r="M301" s="310" t="s">
        <v>4504</v>
      </c>
      <c r="N301" s="313" t="s">
        <v>4698</v>
      </c>
      <c r="O301" s="14" t="s">
        <v>4503</v>
      </c>
      <c r="P301" s="313" t="s">
        <v>4417</v>
      </c>
      <c r="Q301" s="313" t="s">
        <v>4467</v>
      </c>
      <c r="R301" s="313" t="s">
        <v>4417</v>
      </c>
      <c r="S301" s="313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13" t="s">
        <v>4417</v>
      </c>
      <c r="Y301" s="313" t="s">
        <v>5786</v>
      </c>
      <c r="Z301" s="313" t="s">
        <v>4556</v>
      </c>
      <c r="AA301" s="89">
        <v>0</v>
      </c>
      <c r="AB301" s="227">
        <v>0</v>
      </c>
      <c r="AC301" s="14">
        <v>1777</v>
      </c>
      <c r="AD301" s="31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1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7"/>
        <v>20</v>
      </c>
      <c r="AW301" s="310" t="s">
        <v>5653</v>
      </c>
      <c r="AX301" s="313" t="s">
        <v>4647</v>
      </c>
      <c r="AY301" s="23">
        <f>190/AZ301/0.25</f>
        <v>47.5</v>
      </c>
      <c r="AZ301" s="313">
        <v>16</v>
      </c>
      <c r="BA301" s="313">
        <f t="shared" si="165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13" t="s">
        <v>6196</v>
      </c>
      <c r="BI301" s="313" t="s">
        <v>6196</v>
      </c>
      <c r="BJ301" s="313">
        <v>2</v>
      </c>
      <c r="BK301" s="313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310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13">
        <v>8.8000000000000007</v>
      </c>
      <c r="DH301" s="313">
        <v>640</v>
      </c>
      <c r="DI301" s="313">
        <v>752</v>
      </c>
      <c r="DJ301" s="313">
        <v>800</v>
      </c>
      <c r="DK301" s="313">
        <v>946</v>
      </c>
      <c r="DL301" s="75">
        <v>200000</v>
      </c>
      <c r="DM301" s="27" t="s">
        <v>6010</v>
      </c>
      <c r="DN301" s="310" t="s">
        <v>4557</v>
      </c>
      <c r="DO301" s="301" t="s">
        <v>6009</v>
      </c>
    </row>
    <row r="302" spans="1:119">
      <c r="A302" s="314">
        <v>297</v>
      </c>
      <c r="B302" s="317">
        <v>43</v>
      </c>
      <c r="C302" s="317">
        <v>2009</v>
      </c>
      <c r="D302" s="415" t="s">
        <v>4677</v>
      </c>
      <c r="E302" s="329" t="s">
        <v>4844</v>
      </c>
      <c r="F302" s="317">
        <v>6</v>
      </c>
      <c r="G302" s="326" t="s">
        <v>5929</v>
      </c>
      <c r="H302" s="326" t="s">
        <v>5928</v>
      </c>
      <c r="I302" s="326" t="s">
        <v>6240</v>
      </c>
      <c r="J302" s="283" t="s">
        <v>4426</v>
      </c>
      <c r="K302" s="314" t="s">
        <v>6328</v>
      </c>
      <c r="L302" s="312" t="s">
        <v>5786</v>
      </c>
      <c r="M302" s="314" t="s">
        <v>4505</v>
      </c>
      <c r="N302" s="312" t="s">
        <v>4699</v>
      </c>
      <c r="O302" s="18" t="s">
        <v>4503</v>
      </c>
      <c r="P302" s="312" t="s">
        <v>6325</v>
      </c>
      <c r="Q302" s="312" t="s">
        <v>4417</v>
      </c>
      <c r="R302" s="312" t="s">
        <v>4417</v>
      </c>
      <c r="S302" s="312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12" t="s">
        <v>4417</v>
      </c>
      <c r="Y302" s="312" t="s">
        <v>5786</v>
      </c>
      <c r="Z302" s="312" t="s">
        <v>4555</v>
      </c>
      <c r="AA302" s="18">
        <v>10</v>
      </c>
      <c r="AB302" s="222">
        <v>0</v>
      </c>
      <c r="AC302" s="18">
        <v>0</v>
      </c>
      <c r="AD302" s="309" t="s">
        <v>6353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309" t="s">
        <v>6354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8">(AT302-AK302)-AV302</f>
        <v>26</v>
      </c>
      <c r="AV302" s="16">
        <f t="shared" si="167"/>
        <v>26</v>
      </c>
      <c r="AW302" s="309" t="s">
        <v>5801</v>
      </c>
      <c r="AX302" s="311" t="s">
        <v>6121</v>
      </c>
      <c r="AY302" s="311" t="s">
        <v>6121</v>
      </c>
      <c r="AZ302" s="311">
        <v>20</v>
      </c>
      <c r="BA302" s="311">
        <f t="shared" si="165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9">AT302-BB302-BC302-BD302</f>
        <v>129</v>
      </c>
      <c r="BG302" s="22" t="s">
        <v>6326</v>
      </c>
      <c r="BH302" s="311" t="s">
        <v>6196</v>
      </c>
      <c r="BI302" s="311" t="s">
        <v>6196</v>
      </c>
      <c r="BJ302" s="311">
        <v>2</v>
      </c>
      <c r="BK302" s="311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311" t="s">
        <v>6327</v>
      </c>
      <c r="CH302" s="311">
        <v>275</v>
      </c>
      <c r="CI302" s="311">
        <v>376</v>
      </c>
      <c r="CJ302" s="16">
        <v>410</v>
      </c>
      <c r="CK302" s="16">
        <v>537.5</v>
      </c>
      <c r="CL302" s="79">
        <v>196000</v>
      </c>
      <c r="CM302" s="309" t="s">
        <v>6327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311" t="s">
        <v>6327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311">
        <v>8.8000000000000007</v>
      </c>
      <c r="DH302" s="311">
        <v>640</v>
      </c>
      <c r="DI302" s="30">
        <v>730</v>
      </c>
      <c r="DJ302" s="311">
        <v>800</v>
      </c>
      <c r="DK302" s="30">
        <v>940</v>
      </c>
      <c r="DL302" s="74">
        <v>200000</v>
      </c>
      <c r="DM302" s="28" t="s">
        <v>5826</v>
      </c>
      <c r="DN302" s="311" t="s">
        <v>4432</v>
      </c>
      <c r="DO302" s="300" t="s">
        <v>4562</v>
      </c>
    </row>
    <row r="303" spans="1:119">
      <c r="A303" s="314">
        <v>298</v>
      </c>
      <c r="B303" s="318"/>
      <c r="C303" s="318"/>
      <c r="D303" s="420"/>
      <c r="E303" s="330"/>
      <c r="F303" s="318"/>
      <c r="G303" s="327"/>
      <c r="H303" s="327"/>
      <c r="I303" s="327"/>
      <c r="J303" s="285" t="s">
        <v>4427</v>
      </c>
      <c r="K303" s="314" t="s">
        <v>4380</v>
      </c>
      <c r="L303" s="312" t="s">
        <v>5786</v>
      </c>
      <c r="M303" s="314" t="s">
        <v>4505</v>
      </c>
      <c r="N303" s="312" t="s">
        <v>4699</v>
      </c>
      <c r="O303" s="18" t="s">
        <v>4503</v>
      </c>
      <c r="P303" s="312" t="s">
        <v>6325</v>
      </c>
      <c r="Q303" s="312" t="s">
        <v>4417</v>
      </c>
      <c r="R303" s="312" t="s">
        <v>4417</v>
      </c>
      <c r="S303" s="312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12" t="s">
        <v>4417</v>
      </c>
      <c r="Y303" s="312" t="s">
        <v>5786</v>
      </c>
      <c r="Z303" s="312" t="s">
        <v>4555</v>
      </c>
      <c r="AA303" s="18">
        <v>10</v>
      </c>
      <c r="AB303" s="222">
        <v>0</v>
      </c>
      <c r="AC303" s="18">
        <v>0</v>
      </c>
      <c r="AD303" s="314" t="s">
        <v>6353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14" t="s">
        <v>6354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8"/>
        <v>26</v>
      </c>
      <c r="AV303" s="21">
        <f t="shared" si="167"/>
        <v>26</v>
      </c>
      <c r="AW303" s="314" t="s">
        <v>5801</v>
      </c>
      <c r="AX303" s="312" t="s">
        <v>6121</v>
      </c>
      <c r="AY303" s="312" t="s">
        <v>6121</v>
      </c>
      <c r="AZ303" s="312">
        <v>24</v>
      </c>
      <c r="BA303" s="312">
        <f t="shared" si="165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9"/>
        <v>129</v>
      </c>
      <c r="BG303" s="15" t="s">
        <v>6326</v>
      </c>
      <c r="BH303" s="312" t="s">
        <v>6196</v>
      </c>
      <c r="BI303" s="312" t="s">
        <v>6196</v>
      </c>
      <c r="BJ303" s="312">
        <v>2</v>
      </c>
      <c r="BK303" s="312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12" t="s">
        <v>6327</v>
      </c>
      <c r="CH303" s="312">
        <v>275</v>
      </c>
      <c r="CI303" s="312">
        <v>376</v>
      </c>
      <c r="CJ303" s="21">
        <v>410</v>
      </c>
      <c r="CK303" s="21">
        <v>537.5</v>
      </c>
      <c r="CL303" s="67">
        <v>196000</v>
      </c>
      <c r="CM303" s="314" t="s">
        <v>6327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12" t="s">
        <v>6327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12">
        <v>8.8000000000000007</v>
      </c>
      <c r="DH303" s="312">
        <v>640</v>
      </c>
      <c r="DI303" s="32">
        <v>730</v>
      </c>
      <c r="DJ303" s="312">
        <v>800</v>
      </c>
      <c r="DK303" s="32">
        <v>940</v>
      </c>
      <c r="DL303" s="59">
        <v>200000</v>
      </c>
      <c r="DM303" s="76" t="s">
        <v>5845</v>
      </c>
      <c r="DN303" s="312" t="s">
        <v>4432</v>
      </c>
      <c r="DO303" s="301" t="s">
        <v>4562</v>
      </c>
    </row>
    <row r="304" spans="1:119" ht="15.6" customHeight="1">
      <c r="A304" s="314">
        <v>299</v>
      </c>
      <c r="B304" s="318"/>
      <c r="C304" s="318"/>
      <c r="D304" s="420"/>
      <c r="E304" s="330"/>
      <c r="F304" s="318"/>
      <c r="G304" s="327"/>
      <c r="H304" s="327"/>
      <c r="I304" s="327"/>
      <c r="J304" s="285" t="s">
        <v>4428</v>
      </c>
      <c r="K304" s="314" t="s">
        <v>4380</v>
      </c>
      <c r="L304" s="312" t="s">
        <v>5786</v>
      </c>
      <c r="M304" s="314" t="s">
        <v>4505</v>
      </c>
      <c r="N304" s="312" t="s">
        <v>4699</v>
      </c>
      <c r="O304" s="18" t="s">
        <v>4503</v>
      </c>
      <c r="P304" s="312" t="s">
        <v>4417</v>
      </c>
      <c r="Q304" s="312" t="s">
        <v>4417</v>
      </c>
      <c r="R304" s="312" t="s">
        <v>4417</v>
      </c>
      <c r="S304" s="312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12" t="s">
        <v>4417</v>
      </c>
      <c r="Y304" s="312" t="s">
        <v>5786</v>
      </c>
      <c r="Z304" s="312" t="s">
        <v>4555</v>
      </c>
      <c r="AA304" s="18">
        <v>10</v>
      </c>
      <c r="AB304" s="222">
        <v>0</v>
      </c>
      <c r="AC304" s="18">
        <v>0</v>
      </c>
      <c r="AD304" s="314" t="s">
        <v>6355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14" t="s">
        <v>6356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8"/>
        <v>50</v>
      </c>
      <c r="AV304" s="21">
        <f t="shared" si="167"/>
        <v>50</v>
      </c>
      <c r="AW304" s="314" t="s">
        <v>5801</v>
      </c>
      <c r="AX304" s="312" t="s">
        <v>6121</v>
      </c>
      <c r="AY304" s="21" t="s">
        <v>6121</v>
      </c>
      <c r="AZ304" s="312">
        <v>20</v>
      </c>
      <c r="BA304" s="312">
        <f t="shared" si="165"/>
        <v>245</v>
      </c>
      <c r="BB304" s="21">
        <v>110</v>
      </c>
      <c r="BC304" s="21">
        <f t="shared" ref="BC304:BC350" si="170">BB304</f>
        <v>110</v>
      </c>
      <c r="BD304" s="21">
        <v>90</v>
      </c>
      <c r="BE304" s="21">
        <v>90</v>
      </c>
      <c r="BF304" s="21">
        <f t="shared" si="169"/>
        <v>190</v>
      </c>
      <c r="BG304" s="15" t="s">
        <v>6325</v>
      </c>
      <c r="BH304" s="312" t="s">
        <v>4462</v>
      </c>
      <c r="BI304" s="312" t="s">
        <v>6196</v>
      </c>
      <c r="BJ304" s="312">
        <v>4</v>
      </c>
      <c r="BK304" s="312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12" t="s">
        <v>6327</v>
      </c>
      <c r="CH304" s="312">
        <v>275</v>
      </c>
      <c r="CI304" s="312">
        <v>351</v>
      </c>
      <c r="CJ304" s="21">
        <v>410</v>
      </c>
      <c r="CK304" s="21">
        <v>525</v>
      </c>
      <c r="CL304" s="67">
        <v>192500</v>
      </c>
      <c r="CM304" s="314" t="s">
        <v>6327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12" t="s">
        <v>6327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12">
        <v>8.8000000000000007</v>
      </c>
      <c r="DH304" s="312">
        <v>640</v>
      </c>
      <c r="DI304" s="32">
        <v>730</v>
      </c>
      <c r="DJ304" s="312">
        <v>800</v>
      </c>
      <c r="DK304" s="32">
        <v>940</v>
      </c>
      <c r="DL304" s="59">
        <v>200000</v>
      </c>
      <c r="DM304" s="29" t="s">
        <v>4760</v>
      </c>
      <c r="DN304" s="312" t="s">
        <v>4432</v>
      </c>
      <c r="DO304" s="301" t="s">
        <v>4562</v>
      </c>
    </row>
    <row r="305" spans="1:119" ht="15.6" customHeight="1">
      <c r="A305" s="314">
        <v>300</v>
      </c>
      <c r="B305" s="318"/>
      <c r="C305" s="318"/>
      <c r="D305" s="420"/>
      <c r="E305" s="330"/>
      <c r="F305" s="318"/>
      <c r="G305" s="327"/>
      <c r="H305" s="327"/>
      <c r="I305" s="327"/>
      <c r="J305" s="285" t="s">
        <v>4429</v>
      </c>
      <c r="K305" s="314" t="s">
        <v>4380</v>
      </c>
      <c r="L305" s="312" t="s">
        <v>5786</v>
      </c>
      <c r="M305" s="314" t="s">
        <v>4505</v>
      </c>
      <c r="N305" s="312" t="s">
        <v>4699</v>
      </c>
      <c r="O305" s="18" t="s">
        <v>4503</v>
      </c>
      <c r="P305" s="312" t="s">
        <v>6325</v>
      </c>
      <c r="Q305" s="312" t="s">
        <v>4417</v>
      </c>
      <c r="R305" s="312" t="s">
        <v>4417</v>
      </c>
      <c r="S305" s="312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12" t="s">
        <v>4417</v>
      </c>
      <c r="Y305" s="312" t="s">
        <v>5786</v>
      </c>
      <c r="Z305" s="312" t="s">
        <v>4555</v>
      </c>
      <c r="AA305" s="18">
        <v>10</v>
      </c>
      <c r="AB305" s="222">
        <v>0</v>
      </c>
      <c r="AC305" s="18">
        <v>0</v>
      </c>
      <c r="AD305" s="314" t="s">
        <v>6355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14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8"/>
        <v>50</v>
      </c>
      <c r="AV305" s="21">
        <f t="shared" si="167"/>
        <v>50</v>
      </c>
      <c r="AW305" s="314" t="s">
        <v>5801</v>
      </c>
      <c r="AX305" s="312" t="s">
        <v>6121</v>
      </c>
      <c r="AY305" s="21" t="s">
        <v>6121</v>
      </c>
      <c r="AZ305" s="312">
        <v>20</v>
      </c>
      <c r="BA305" s="312">
        <f t="shared" si="165"/>
        <v>245</v>
      </c>
      <c r="BB305" s="21">
        <v>110</v>
      </c>
      <c r="BC305" s="21">
        <f t="shared" si="170"/>
        <v>110</v>
      </c>
      <c r="BD305" s="21">
        <v>90</v>
      </c>
      <c r="BE305" s="21">
        <v>90</v>
      </c>
      <c r="BF305" s="21">
        <f t="shared" si="169"/>
        <v>190</v>
      </c>
      <c r="BG305" s="15" t="s">
        <v>6325</v>
      </c>
      <c r="BH305" s="312" t="s">
        <v>4462</v>
      </c>
      <c r="BI305" s="312" t="s">
        <v>6196</v>
      </c>
      <c r="BJ305" s="312">
        <v>4</v>
      </c>
      <c r="BK305" s="312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12" t="s">
        <v>6327</v>
      </c>
      <c r="CH305" s="312">
        <v>275</v>
      </c>
      <c r="CI305" s="312">
        <v>351</v>
      </c>
      <c r="CJ305" s="21">
        <v>410</v>
      </c>
      <c r="CK305" s="21">
        <v>525</v>
      </c>
      <c r="CL305" s="67">
        <v>192500</v>
      </c>
      <c r="CM305" s="314" t="s">
        <v>6327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12" t="s">
        <v>6327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12">
        <v>8.8000000000000007</v>
      </c>
      <c r="DH305" s="312">
        <v>640</v>
      </c>
      <c r="DI305" s="32">
        <v>730</v>
      </c>
      <c r="DJ305" s="312">
        <v>800</v>
      </c>
      <c r="DK305" s="32">
        <v>940</v>
      </c>
      <c r="DL305" s="59">
        <v>200000</v>
      </c>
      <c r="DM305" s="29" t="s">
        <v>4760</v>
      </c>
      <c r="DN305" s="312" t="s">
        <v>4432</v>
      </c>
      <c r="DO305" s="301" t="s">
        <v>4562</v>
      </c>
    </row>
    <row r="306" spans="1:119">
      <c r="A306" s="314">
        <v>301</v>
      </c>
      <c r="B306" s="318"/>
      <c r="C306" s="318"/>
      <c r="D306" s="420"/>
      <c r="E306" s="330"/>
      <c r="F306" s="318"/>
      <c r="G306" s="327"/>
      <c r="H306" s="327"/>
      <c r="I306" s="327"/>
      <c r="J306" s="285" t="s">
        <v>4430</v>
      </c>
      <c r="K306" s="314" t="s">
        <v>4380</v>
      </c>
      <c r="L306" s="312" t="s">
        <v>5786</v>
      </c>
      <c r="M306" s="314" t="s">
        <v>4505</v>
      </c>
      <c r="N306" s="312" t="s">
        <v>4699</v>
      </c>
      <c r="O306" s="18" t="s">
        <v>4503</v>
      </c>
      <c r="P306" s="312" t="s">
        <v>6325</v>
      </c>
      <c r="Q306" s="312" t="s">
        <v>4417</v>
      </c>
      <c r="R306" s="312" t="s">
        <v>4417</v>
      </c>
      <c r="S306" s="312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12" t="s">
        <v>4417</v>
      </c>
      <c r="Y306" s="312" t="s">
        <v>5786</v>
      </c>
      <c r="Z306" s="312" t="s">
        <v>4555</v>
      </c>
      <c r="AA306" s="18">
        <v>10</v>
      </c>
      <c r="AB306" s="222">
        <v>0</v>
      </c>
      <c r="AC306" s="18">
        <v>0</v>
      </c>
      <c r="AD306" s="314" t="s">
        <v>6357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14" t="s">
        <v>6358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8"/>
        <v>47</v>
      </c>
      <c r="AV306" s="21">
        <f t="shared" si="167"/>
        <v>47</v>
      </c>
      <c r="AW306" s="314" t="s">
        <v>5801</v>
      </c>
      <c r="AX306" s="312" t="s">
        <v>6121</v>
      </c>
      <c r="AY306" s="21" t="s">
        <v>6121</v>
      </c>
      <c r="AZ306" s="312">
        <v>24</v>
      </c>
      <c r="BA306" s="312">
        <f t="shared" si="165"/>
        <v>353</v>
      </c>
      <c r="BB306" s="21">
        <v>106.5</v>
      </c>
      <c r="BC306" s="21">
        <f t="shared" si="170"/>
        <v>106.5</v>
      </c>
      <c r="BD306" s="21">
        <v>90</v>
      </c>
      <c r="BE306" s="21">
        <v>90</v>
      </c>
      <c r="BF306" s="21">
        <f t="shared" si="169"/>
        <v>297</v>
      </c>
      <c r="BG306" s="15" t="s">
        <v>6325</v>
      </c>
      <c r="BH306" s="312" t="s">
        <v>4462</v>
      </c>
      <c r="BI306" s="312" t="s">
        <v>4462</v>
      </c>
      <c r="BJ306" s="312">
        <v>4</v>
      </c>
      <c r="BK306" s="312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12" t="s">
        <v>6327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314" t="s">
        <v>6327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12" t="s">
        <v>6327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12">
        <v>8.8000000000000007</v>
      </c>
      <c r="DH306" s="312">
        <v>640</v>
      </c>
      <c r="DI306" s="32">
        <v>730</v>
      </c>
      <c r="DJ306" s="312">
        <v>800</v>
      </c>
      <c r="DK306" s="32">
        <v>940</v>
      </c>
      <c r="DL306" s="59">
        <v>200000</v>
      </c>
      <c r="DM306" s="29" t="s">
        <v>4760</v>
      </c>
      <c r="DN306" s="312" t="s">
        <v>4432</v>
      </c>
      <c r="DO306" s="301" t="s">
        <v>4562</v>
      </c>
    </row>
    <row r="307" spans="1:119" ht="15.6" customHeight="1" thickBot="1">
      <c r="A307" s="314">
        <v>302</v>
      </c>
      <c r="B307" s="319"/>
      <c r="C307" s="319"/>
      <c r="D307" s="416"/>
      <c r="E307" s="331"/>
      <c r="F307" s="319"/>
      <c r="G307" s="328"/>
      <c r="H307" s="328"/>
      <c r="I307" s="328"/>
      <c r="J307" s="285" t="s">
        <v>4431</v>
      </c>
      <c r="K307" s="314" t="s">
        <v>4380</v>
      </c>
      <c r="L307" s="312" t="s">
        <v>5786</v>
      </c>
      <c r="M307" s="314" t="s">
        <v>4505</v>
      </c>
      <c r="N307" s="312" t="s">
        <v>4699</v>
      </c>
      <c r="O307" s="18" t="s">
        <v>4503</v>
      </c>
      <c r="P307" s="312" t="s">
        <v>6325</v>
      </c>
      <c r="Q307" s="312" t="s">
        <v>4417</v>
      </c>
      <c r="R307" s="312" t="s">
        <v>4417</v>
      </c>
      <c r="S307" s="312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12" t="s">
        <v>4417</v>
      </c>
      <c r="Y307" s="312" t="s">
        <v>5786</v>
      </c>
      <c r="Z307" s="312" t="s">
        <v>4555</v>
      </c>
      <c r="AA307" s="18">
        <v>10</v>
      </c>
      <c r="AB307" s="222">
        <v>0</v>
      </c>
      <c r="AC307" s="18">
        <v>0</v>
      </c>
      <c r="AD307" s="314" t="s">
        <v>6357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14" t="s">
        <v>6358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8"/>
        <v>47</v>
      </c>
      <c r="AV307" s="21">
        <f t="shared" si="167"/>
        <v>47</v>
      </c>
      <c r="AW307" s="314" t="s">
        <v>5801</v>
      </c>
      <c r="AX307" s="312" t="s">
        <v>6121</v>
      </c>
      <c r="AY307" s="21" t="s">
        <v>6121</v>
      </c>
      <c r="AZ307" s="312">
        <v>24</v>
      </c>
      <c r="BA307" s="312">
        <f t="shared" si="165"/>
        <v>353</v>
      </c>
      <c r="BB307" s="21">
        <v>106.5</v>
      </c>
      <c r="BC307" s="21">
        <f t="shared" si="170"/>
        <v>106.5</v>
      </c>
      <c r="BD307" s="21">
        <v>90</v>
      </c>
      <c r="BE307" s="21">
        <v>90</v>
      </c>
      <c r="BF307" s="21">
        <f t="shared" si="169"/>
        <v>297</v>
      </c>
      <c r="BG307" s="15" t="s">
        <v>6325</v>
      </c>
      <c r="BH307" s="312" t="s">
        <v>4462</v>
      </c>
      <c r="BI307" s="312" t="s">
        <v>6196</v>
      </c>
      <c r="BJ307" s="312">
        <v>4</v>
      </c>
      <c r="BK307" s="312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12" t="s">
        <v>6327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314" t="s">
        <v>6327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12" t="s">
        <v>6327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13">
        <v>8.8000000000000007</v>
      </c>
      <c r="DH307" s="313">
        <v>640</v>
      </c>
      <c r="DI307" s="34">
        <v>730</v>
      </c>
      <c r="DJ307" s="313">
        <v>800</v>
      </c>
      <c r="DK307" s="34">
        <v>940</v>
      </c>
      <c r="DL307" s="75">
        <v>200000</v>
      </c>
      <c r="DM307" s="27" t="s">
        <v>4760</v>
      </c>
      <c r="DN307" s="312" t="s">
        <v>4432</v>
      </c>
      <c r="DO307" s="301" t="s">
        <v>4562</v>
      </c>
    </row>
    <row r="308" spans="1:119" ht="15.6" customHeight="1">
      <c r="A308" s="309">
        <v>303</v>
      </c>
      <c r="B308" s="317">
        <v>44</v>
      </c>
      <c r="C308" s="317">
        <v>2011</v>
      </c>
      <c r="D308" s="320" t="s">
        <v>4677</v>
      </c>
      <c r="E308" s="323" t="s">
        <v>6274</v>
      </c>
      <c r="F308" s="317">
        <v>5</v>
      </c>
      <c r="G308" s="326" t="s">
        <v>5929</v>
      </c>
      <c r="H308" s="326" t="s">
        <v>5928</v>
      </c>
      <c r="I308" s="326" t="s">
        <v>6275</v>
      </c>
      <c r="J308" s="283" t="s">
        <v>4426</v>
      </c>
      <c r="K308" s="309" t="s">
        <v>4380</v>
      </c>
      <c r="L308" s="311" t="s">
        <v>5786</v>
      </c>
      <c r="M308" s="309" t="s">
        <v>4505</v>
      </c>
      <c r="N308" s="311" t="s">
        <v>4699</v>
      </c>
      <c r="O308" s="17" t="s">
        <v>4502</v>
      </c>
      <c r="P308" s="311" t="s">
        <v>6325</v>
      </c>
      <c r="Q308" s="311" t="s">
        <v>4417</v>
      </c>
      <c r="R308" s="311" t="s">
        <v>4417</v>
      </c>
      <c r="S308" s="311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311" t="s">
        <v>4417</v>
      </c>
      <c r="Y308" s="311" t="s">
        <v>5786</v>
      </c>
      <c r="Z308" s="311" t="s">
        <v>4555</v>
      </c>
      <c r="AA308" s="17">
        <v>10</v>
      </c>
      <c r="AB308" s="231">
        <v>0</v>
      </c>
      <c r="AC308" s="17">
        <v>0</v>
      </c>
      <c r="AD308" s="30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30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309" t="s">
        <v>5801</v>
      </c>
      <c r="AX308" s="311" t="s">
        <v>6121</v>
      </c>
      <c r="AY308" s="311" t="s">
        <v>6121</v>
      </c>
      <c r="AZ308" s="311">
        <v>20</v>
      </c>
      <c r="BA308" s="311">
        <f t="shared" si="165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9"/>
        <v>280</v>
      </c>
      <c r="BG308" s="22" t="s">
        <v>4467</v>
      </c>
      <c r="BH308" s="311" t="s">
        <v>6196</v>
      </c>
      <c r="BI308" s="311" t="s">
        <v>6196</v>
      </c>
      <c r="BJ308" s="311">
        <v>2</v>
      </c>
      <c r="BK308" s="311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311" t="s">
        <v>6327</v>
      </c>
      <c r="CH308" s="311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311" t="s">
        <v>6327</v>
      </c>
      <c r="CN308" s="311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309" t="s">
        <v>6327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311">
        <v>8.8000000000000007</v>
      </c>
      <c r="DH308" s="311">
        <v>640</v>
      </c>
      <c r="DI308" s="30">
        <v>730</v>
      </c>
      <c r="DJ308" s="311">
        <v>800</v>
      </c>
      <c r="DK308" s="30">
        <v>940</v>
      </c>
      <c r="DL308" s="74">
        <v>200000</v>
      </c>
      <c r="DM308" s="29" t="s">
        <v>4763</v>
      </c>
      <c r="DN308" s="311" t="s">
        <v>4432</v>
      </c>
      <c r="DO308" s="300" t="s">
        <v>4562</v>
      </c>
    </row>
    <row r="309" spans="1:119" ht="15.6" customHeight="1">
      <c r="A309" s="314">
        <v>304</v>
      </c>
      <c r="B309" s="318"/>
      <c r="C309" s="318"/>
      <c r="D309" s="321"/>
      <c r="E309" s="324"/>
      <c r="F309" s="318"/>
      <c r="G309" s="327"/>
      <c r="H309" s="327"/>
      <c r="I309" s="327"/>
      <c r="J309" s="285" t="s">
        <v>4427</v>
      </c>
      <c r="K309" s="314" t="s">
        <v>4380</v>
      </c>
      <c r="L309" s="312" t="s">
        <v>5786</v>
      </c>
      <c r="M309" s="314" t="s">
        <v>4505</v>
      </c>
      <c r="N309" s="312" t="s">
        <v>4699</v>
      </c>
      <c r="O309" s="18" t="s">
        <v>4502</v>
      </c>
      <c r="P309" s="312" t="s">
        <v>6325</v>
      </c>
      <c r="Q309" s="312" t="s">
        <v>4417</v>
      </c>
      <c r="R309" s="312" t="s">
        <v>4417</v>
      </c>
      <c r="S309" s="312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12" t="s">
        <v>4417</v>
      </c>
      <c r="Y309" s="312" t="s">
        <v>5786</v>
      </c>
      <c r="Z309" s="312" t="s">
        <v>4555</v>
      </c>
      <c r="AA309" s="18">
        <v>10</v>
      </c>
      <c r="AB309" s="222">
        <v>0</v>
      </c>
      <c r="AC309" s="18">
        <v>0</v>
      </c>
      <c r="AD309" s="314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14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71">AK309+50</f>
        <v>450</v>
      </c>
      <c r="AU309" s="21">
        <v>25</v>
      </c>
      <c r="AV309" s="21">
        <v>25</v>
      </c>
      <c r="AW309" s="314" t="s">
        <v>5801</v>
      </c>
      <c r="AX309" s="312" t="s">
        <v>6121</v>
      </c>
      <c r="AY309" s="312" t="s">
        <v>6121</v>
      </c>
      <c r="AZ309" s="312">
        <v>20</v>
      </c>
      <c r="BA309" s="312">
        <f t="shared" si="165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9"/>
        <v>280</v>
      </c>
      <c r="BG309" s="15" t="s">
        <v>4467</v>
      </c>
      <c r="BH309" s="312" t="s">
        <v>6196</v>
      </c>
      <c r="BI309" s="312" t="s">
        <v>6196</v>
      </c>
      <c r="BJ309" s="312">
        <v>2</v>
      </c>
      <c r="BK309" s="312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12" t="s">
        <v>6327</v>
      </c>
      <c r="CH309" s="312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12" t="s">
        <v>6327</v>
      </c>
      <c r="CN309" s="312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314" t="s">
        <v>6327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12">
        <v>8.8000000000000007</v>
      </c>
      <c r="DH309" s="312">
        <v>640</v>
      </c>
      <c r="DI309" s="32">
        <v>730</v>
      </c>
      <c r="DJ309" s="312">
        <v>800</v>
      </c>
      <c r="DK309" s="32">
        <v>940</v>
      </c>
      <c r="DL309" s="59">
        <v>200000</v>
      </c>
      <c r="DM309" s="29" t="s">
        <v>4763</v>
      </c>
      <c r="DN309" s="312" t="s">
        <v>4432</v>
      </c>
      <c r="DO309" s="301" t="s">
        <v>4562</v>
      </c>
    </row>
    <row r="310" spans="1:119" ht="15.6" customHeight="1">
      <c r="A310" s="314">
        <v>305</v>
      </c>
      <c r="B310" s="318"/>
      <c r="C310" s="318"/>
      <c r="D310" s="321"/>
      <c r="E310" s="324"/>
      <c r="F310" s="318"/>
      <c r="G310" s="327"/>
      <c r="H310" s="327"/>
      <c r="I310" s="327"/>
      <c r="J310" s="285" t="s">
        <v>4428</v>
      </c>
      <c r="K310" s="314" t="s">
        <v>4380</v>
      </c>
      <c r="L310" s="312" t="s">
        <v>5786</v>
      </c>
      <c r="M310" s="314" t="s">
        <v>4505</v>
      </c>
      <c r="N310" s="312" t="s">
        <v>4699</v>
      </c>
      <c r="O310" s="18" t="s">
        <v>4502</v>
      </c>
      <c r="P310" s="312" t="s">
        <v>4417</v>
      </c>
      <c r="Q310" s="312" t="s">
        <v>4417</v>
      </c>
      <c r="R310" s="312" t="s">
        <v>4417</v>
      </c>
      <c r="S310" s="312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12" t="s">
        <v>4417</v>
      </c>
      <c r="Y310" s="312" t="s">
        <v>5786</v>
      </c>
      <c r="Z310" s="312" t="s">
        <v>4555</v>
      </c>
      <c r="AA310" s="18">
        <v>10</v>
      </c>
      <c r="AB310" s="222">
        <v>0</v>
      </c>
      <c r="AC310" s="18">
        <v>0</v>
      </c>
      <c r="AD310" s="314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14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71"/>
        <v>400</v>
      </c>
      <c r="AU310" s="21">
        <v>25</v>
      </c>
      <c r="AV310" s="21">
        <v>25</v>
      </c>
      <c r="AW310" s="314" t="s">
        <v>5801</v>
      </c>
      <c r="AX310" s="312" t="s">
        <v>6121</v>
      </c>
      <c r="AY310" s="21" t="s">
        <v>6121</v>
      </c>
      <c r="AZ310" s="312">
        <v>20</v>
      </c>
      <c r="BA310" s="312">
        <f t="shared" si="165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9"/>
        <v>230</v>
      </c>
      <c r="BG310" s="15" t="s">
        <v>4467</v>
      </c>
      <c r="BH310" s="312" t="s">
        <v>6196</v>
      </c>
      <c r="BI310" s="312" t="s">
        <v>6196</v>
      </c>
      <c r="BJ310" s="312">
        <v>2</v>
      </c>
      <c r="BK310" s="312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12" t="s">
        <v>6327</v>
      </c>
      <c r="CH310" s="312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12" t="s">
        <v>6327</v>
      </c>
      <c r="CN310" s="312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314" t="s">
        <v>6327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12">
        <v>8.8000000000000007</v>
      </c>
      <c r="DH310" s="312">
        <v>640</v>
      </c>
      <c r="DI310" s="32">
        <v>730</v>
      </c>
      <c r="DJ310" s="312">
        <v>800</v>
      </c>
      <c r="DK310" s="32">
        <v>940</v>
      </c>
      <c r="DL310" s="59">
        <v>200000</v>
      </c>
      <c r="DM310" s="29" t="s">
        <v>4763</v>
      </c>
      <c r="DN310" s="312" t="s">
        <v>4432</v>
      </c>
      <c r="DO310" s="301" t="s">
        <v>4562</v>
      </c>
    </row>
    <row r="311" spans="1:119">
      <c r="A311" s="314">
        <v>306</v>
      </c>
      <c r="B311" s="318"/>
      <c r="C311" s="318"/>
      <c r="D311" s="321"/>
      <c r="E311" s="324"/>
      <c r="F311" s="318"/>
      <c r="G311" s="327"/>
      <c r="H311" s="327"/>
      <c r="I311" s="327"/>
      <c r="J311" s="285" t="s">
        <v>4429</v>
      </c>
      <c r="K311" s="314" t="s">
        <v>4380</v>
      </c>
      <c r="L311" s="312" t="s">
        <v>5786</v>
      </c>
      <c r="M311" s="314" t="s">
        <v>4505</v>
      </c>
      <c r="N311" s="312" t="s">
        <v>4699</v>
      </c>
      <c r="O311" s="18" t="s">
        <v>4502</v>
      </c>
      <c r="P311" s="312" t="s">
        <v>6325</v>
      </c>
      <c r="Q311" s="312" t="s">
        <v>4417</v>
      </c>
      <c r="R311" s="312" t="s">
        <v>4417</v>
      </c>
      <c r="S311" s="312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12" t="s">
        <v>4417</v>
      </c>
      <c r="Y311" s="312" t="s">
        <v>5786</v>
      </c>
      <c r="Z311" s="312" t="s">
        <v>4555</v>
      </c>
      <c r="AA311" s="18">
        <v>10</v>
      </c>
      <c r="AB311" s="222">
        <v>0</v>
      </c>
      <c r="AC311" s="18">
        <v>0</v>
      </c>
      <c r="AD311" s="314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14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71"/>
        <v>500</v>
      </c>
      <c r="AU311" s="21">
        <v>25</v>
      </c>
      <c r="AV311" s="21">
        <v>25</v>
      </c>
      <c r="AW311" s="314" t="s">
        <v>5801</v>
      </c>
      <c r="AX311" s="312" t="s">
        <v>6121</v>
      </c>
      <c r="AY311" s="21" t="s">
        <v>6121</v>
      </c>
      <c r="AZ311" s="312">
        <v>20</v>
      </c>
      <c r="BA311" s="312">
        <f t="shared" si="165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9"/>
        <v>330</v>
      </c>
      <c r="BG311" s="15" t="s">
        <v>4467</v>
      </c>
      <c r="BH311" s="312" t="s">
        <v>6196</v>
      </c>
      <c r="BI311" s="312" t="s">
        <v>6196</v>
      </c>
      <c r="BJ311" s="312">
        <v>2</v>
      </c>
      <c r="BK311" s="312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12" t="s">
        <v>6327</v>
      </c>
      <c r="CH311" s="312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12" t="s">
        <v>6327</v>
      </c>
      <c r="CN311" s="312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314" t="s">
        <v>6327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12">
        <v>8.8000000000000007</v>
      </c>
      <c r="DH311" s="312">
        <v>640</v>
      </c>
      <c r="DI311" s="32">
        <v>730</v>
      </c>
      <c r="DJ311" s="312">
        <v>800</v>
      </c>
      <c r="DK311" s="32">
        <v>940</v>
      </c>
      <c r="DL311" s="59">
        <v>200000</v>
      </c>
      <c r="DM311" s="29" t="s">
        <v>4763</v>
      </c>
      <c r="DN311" s="312" t="s">
        <v>4432</v>
      </c>
      <c r="DO311" s="301" t="s">
        <v>4562</v>
      </c>
    </row>
    <row r="312" spans="1:119" ht="16.2" thickBot="1">
      <c r="A312" s="310">
        <v>307</v>
      </c>
      <c r="B312" s="319"/>
      <c r="C312" s="319"/>
      <c r="D312" s="322"/>
      <c r="E312" s="325"/>
      <c r="F312" s="319"/>
      <c r="G312" s="328"/>
      <c r="H312" s="328"/>
      <c r="I312" s="328"/>
      <c r="J312" s="284" t="s">
        <v>6277</v>
      </c>
      <c r="K312" s="310" t="s">
        <v>4380</v>
      </c>
      <c r="L312" s="313" t="s">
        <v>5786</v>
      </c>
      <c r="M312" s="310" t="s">
        <v>4505</v>
      </c>
      <c r="N312" s="313" t="s">
        <v>4699</v>
      </c>
      <c r="O312" s="14" t="s">
        <v>4502</v>
      </c>
      <c r="P312" s="313" t="s">
        <v>6325</v>
      </c>
      <c r="Q312" s="313" t="s">
        <v>4417</v>
      </c>
      <c r="R312" s="313" t="s">
        <v>4417</v>
      </c>
      <c r="S312" s="313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13" t="s">
        <v>4417</v>
      </c>
      <c r="Y312" s="313" t="s">
        <v>5786</v>
      </c>
      <c r="Z312" s="313" t="s">
        <v>4555</v>
      </c>
      <c r="AA312" s="14">
        <v>10</v>
      </c>
      <c r="AB312" s="227">
        <v>0</v>
      </c>
      <c r="AC312" s="14">
        <v>0</v>
      </c>
      <c r="AD312" s="31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1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71"/>
        <v>556</v>
      </c>
      <c r="AU312" s="23">
        <v>25</v>
      </c>
      <c r="AV312" s="23">
        <v>25</v>
      </c>
      <c r="AW312" s="310" t="s">
        <v>5801</v>
      </c>
      <c r="AX312" s="313" t="s">
        <v>6121</v>
      </c>
      <c r="AY312" s="23" t="s">
        <v>6121</v>
      </c>
      <c r="AZ312" s="313">
        <v>20</v>
      </c>
      <c r="BA312" s="313">
        <f t="shared" si="165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9"/>
        <v>386</v>
      </c>
      <c r="BG312" s="19" t="s">
        <v>4467</v>
      </c>
      <c r="BH312" s="313" t="s">
        <v>6196</v>
      </c>
      <c r="BI312" s="313" t="s">
        <v>6196</v>
      </c>
      <c r="BJ312" s="313">
        <v>2</v>
      </c>
      <c r="BK312" s="313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13" t="s">
        <v>6327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13" t="s">
        <v>6327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310" t="s">
        <v>6327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12">
        <v>8.8000000000000007</v>
      </c>
      <c r="DH312" s="312">
        <v>640</v>
      </c>
      <c r="DI312" s="32">
        <v>730</v>
      </c>
      <c r="DJ312" s="312">
        <v>800</v>
      </c>
      <c r="DK312" s="32">
        <v>940</v>
      </c>
      <c r="DL312" s="59">
        <v>200000</v>
      </c>
      <c r="DM312" s="29" t="s">
        <v>4763</v>
      </c>
      <c r="DN312" s="312" t="s">
        <v>4432</v>
      </c>
      <c r="DO312" s="302" t="s">
        <v>4562</v>
      </c>
    </row>
    <row r="313" spans="1:119" ht="15.6" customHeight="1">
      <c r="A313" s="314">
        <v>308</v>
      </c>
      <c r="B313" s="317">
        <v>45</v>
      </c>
      <c r="C313" s="317">
        <v>2011</v>
      </c>
      <c r="D313" s="329" t="s">
        <v>4678</v>
      </c>
      <c r="E313" s="329" t="s">
        <v>4842</v>
      </c>
      <c r="F313" s="317">
        <v>3</v>
      </c>
      <c r="G313" s="317" t="s">
        <v>5922</v>
      </c>
      <c r="H313" s="317" t="s">
        <v>5917</v>
      </c>
      <c r="I313" s="317" t="s">
        <v>6241</v>
      </c>
      <c r="J313" s="285" t="s">
        <v>4684</v>
      </c>
      <c r="K313" s="314" t="s">
        <v>4380</v>
      </c>
      <c r="L313" s="312" t="s">
        <v>5786</v>
      </c>
      <c r="M313" s="314" t="s">
        <v>4504</v>
      </c>
      <c r="N313" s="312" t="s">
        <v>4698</v>
      </c>
      <c r="O313" s="18" t="s">
        <v>4503</v>
      </c>
      <c r="P313" s="312" t="s">
        <v>4417</v>
      </c>
      <c r="Q313" s="312" t="s">
        <v>4467</v>
      </c>
      <c r="R313" s="312" t="s">
        <v>4417</v>
      </c>
      <c r="S313" s="312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12" t="s">
        <v>4417</v>
      </c>
      <c r="Y313" s="312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314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14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7"/>
        <v>4</v>
      </c>
      <c r="AW313" s="314" t="s">
        <v>5666</v>
      </c>
      <c r="AX313" s="312" t="s">
        <v>6121</v>
      </c>
      <c r="AY313" s="21" t="s">
        <v>6121</v>
      </c>
      <c r="AZ313" s="312">
        <v>20</v>
      </c>
      <c r="BA313" s="312">
        <f t="shared" si="165"/>
        <v>245</v>
      </c>
      <c r="BB313" s="21">
        <v>97</v>
      </c>
      <c r="BC313" s="21">
        <f t="shared" si="170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12" t="s">
        <v>6196</v>
      </c>
      <c r="BI313" s="312" t="s">
        <v>6196</v>
      </c>
      <c r="BJ313" s="312">
        <v>2</v>
      </c>
      <c r="BK313" s="312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311">
        <v>8.8000000000000007</v>
      </c>
      <c r="DH313" s="311">
        <v>640</v>
      </c>
      <c r="DI313" s="30">
        <v>750</v>
      </c>
      <c r="DJ313" s="311">
        <v>800</v>
      </c>
      <c r="DK313" s="30">
        <v>940</v>
      </c>
      <c r="DL313" s="74">
        <v>200000</v>
      </c>
      <c r="DM313" s="42" t="s">
        <v>4569</v>
      </c>
      <c r="DN313" s="311" t="s">
        <v>4557</v>
      </c>
      <c r="DO313" s="301" t="s">
        <v>4562</v>
      </c>
    </row>
    <row r="314" spans="1:119" ht="15.6" customHeight="1">
      <c r="A314" s="314">
        <v>309</v>
      </c>
      <c r="B314" s="318"/>
      <c r="C314" s="318"/>
      <c r="D314" s="330"/>
      <c r="E314" s="330"/>
      <c r="F314" s="318"/>
      <c r="G314" s="318"/>
      <c r="H314" s="318"/>
      <c r="I314" s="318"/>
      <c r="J314" s="285" t="s">
        <v>4685</v>
      </c>
      <c r="K314" s="314" t="s">
        <v>4380</v>
      </c>
      <c r="L314" s="312" t="s">
        <v>6052</v>
      </c>
      <c r="M314" s="314" t="s">
        <v>4504</v>
      </c>
      <c r="N314" s="312" t="s">
        <v>4698</v>
      </c>
      <c r="O314" s="18" t="s">
        <v>4503</v>
      </c>
      <c r="P314" s="312" t="s">
        <v>4467</v>
      </c>
      <c r="Q314" s="312" t="s">
        <v>4467</v>
      </c>
      <c r="R314" s="312" t="s">
        <v>4417</v>
      </c>
      <c r="S314" s="312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12" t="s">
        <v>4417</v>
      </c>
      <c r="Y314" s="312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314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14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7"/>
        <v>4</v>
      </c>
      <c r="AW314" s="314" t="s">
        <v>5666</v>
      </c>
      <c r="AX314" s="312" t="s">
        <v>6121</v>
      </c>
      <c r="AY314" s="21" t="s">
        <v>6121</v>
      </c>
      <c r="AZ314" s="312">
        <v>20</v>
      </c>
      <c r="BA314" s="312">
        <f t="shared" si="165"/>
        <v>245</v>
      </c>
      <c r="BB314" s="21">
        <v>97</v>
      </c>
      <c r="BC314" s="21">
        <f t="shared" si="170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12" t="s">
        <v>6196</v>
      </c>
      <c r="BI314" s="312" t="s">
        <v>6196</v>
      </c>
      <c r="BJ314" s="312">
        <v>2</v>
      </c>
      <c r="BK314" s="312">
        <v>6</v>
      </c>
      <c r="BL314" s="314">
        <v>120</v>
      </c>
      <c r="BM314" s="312">
        <v>2000</v>
      </c>
      <c r="BN314" s="312" t="s">
        <v>6183</v>
      </c>
      <c r="BO314" s="312">
        <v>1</v>
      </c>
      <c r="BP314" s="312">
        <v>300</v>
      </c>
      <c r="BQ314" s="312">
        <v>1620</v>
      </c>
      <c r="BR314" s="312">
        <v>55</v>
      </c>
      <c r="BS314" s="312" t="s">
        <v>4586</v>
      </c>
      <c r="BT314" s="314" t="s">
        <v>5850</v>
      </c>
      <c r="BU314" s="312">
        <v>5</v>
      </c>
      <c r="BV314" s="312">
        <v>1</v>
      </c>
      <c r="BW314" s="312">
        <v>19</v>
      </c>
      <c r="BX314" s="312">
        <v>100</v>
      </c>
      <c r="BY314" s="32">
        <v>200</v>
      </c>
      <c r="BZ314" s="18">
        <v>300</v>
      </c>
      <c r="CA314" s="312" t="s">
        <v>4583</v>
      </c>
      <c r="CB314" s="312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98">
        <v>550</v>
      </c>
      <c r="DG314" s="312">
        <v>8.8000000000000007</v>
      </c>
      <c r="DH314" s="312">
        <v>640</v>
      </c>
      <c r="DI314" s="32">
        <v>750</v>
      </c>
      <c r="DJ314" s="312">
        <v>800</v>
      </c>
      <c r="DK314" s="32">
        <v>940</v>
      </c>
      <c r="DL314" s="59">
        <v>200000</v>
      </c>
      <c r="DM314" s="40" t="s">
        <v>5846</v>
      </c>
      <c r="DN314" s="312" t="s">
        <v>4557</v>
      </c>
      <c r="DO314" s="301" t="s">
        <v>4562</v>
      </c>
    </row>
    <row r="315" spans="1:119" ht="15.6" customHeight="1" thickBot="1">
      <c r="A315" s="310">
        <v>310</v>
      </c>
      <c r="B315" s="319"/>
      <c r="C315" s="319"/>
      <c r="D315" s="331"/>
      <c r="E315" s="331"/>
      <c r="F315" s="319"/>
      <c r="G315" s="319"/>
      <c r="H315" s="319"/>
      <c r="I315" s="319"/>
      <c r="J315" s="284" t="s">
        <v>4686</v>
      </c>
      <c r="K315" s="310" t="s">
        <v>4531</v>
      </c>
      <c r="L315" s="313" t="s">
        <v>6052</v>
      </c>
      <c r="M315" s="310" t="s">
        <v>4504</v>
      </c>
      <c r="N315" s="313" t="s">
        <v>4698</v>
      </c>
      <c r="O315" s="14" t="s">
        <v>4503</v>
      </c>
      <c r="P315" s="313" t="s">
        <v>4467</v>
      </c>
      <c r="Q315" s="313" t="s">
        <v>4467</v>
      </c>
      <c r="R315" s="313" t="s">
        <v>4417</v>
      </c>
      <c r="S315" s="313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13" t="s">
        <v>4417</v>
      </c>
      <c r="Y315" s="313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310" t="s">
        <v>4630</v>
      </c>
      <c r="AE315" s="313">
        <v>300</v>
      </c>
      <c r="AF315" s="313">
        <v>300</v>
      </c>
      <c r="AG315" s="23">
        <v>10</v>
      </c>
      <c r="AH315" s="23">
        <v>10</v>
      </c>
      <c r="AI315" s="23">
        <v>1500</v>
      </c>
      <c r="AJ315" s="31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7"/>
        <v>4</v>
      </c>
      <c r="AW315" s="310" t="s">
        <v>5666</v>
      </c>
      <c r="AX315" s="313" t="s">
        <v>6121</v>
      </c>
      <c r="AY315" s="23" t="s">
        <v>6121</v>
      </c>
      <c r="AZ315" s="313">
        <v>20</v>
      </c>
      <c r="BA315" s="313">
        <f t="shared" si="165"/>
        <v>245</v>
      </c>
      <c r="BB315" s="23">
        <v>97</v>
      </c>
      <c r="BC315" s="23">
        <f t="shared" si="170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13" t="s">
        <v>6196</v>
      </c>
      <c r="BI315" s="313" t="s">
        <v>6196</v>
      </c>
      <c r="BJ315" s="313">
        <v>2</v>
      </c>
      <c r="BK315" s="313">
        <v>6</v>
      </c>
      <c r="BL315" s="310">
        <v>120</v>
      </c>
      <c r="BM315" s="313">
        <v>2000</v>
      </c>
      <c r="BN315" s="313" t="s">
        <v>6183</v>
      </c>
      <c r="BO315" s="313">
        <v>1</v>
      </c>
      <c r="BP315" s="313">
        <v>300</v>
      </c>
      <c r="BQ315" s="313">
        <v>1620</v>
      </c>
      <c r="BR315" s="313">
        <v>55</v>
      </c>
      <c r="BS315" s="313" t="s">
        <v>4586</v>
      </c>
      <c r="BT315" s="310" t="s">
        <v>5850</v>
      </c>
      <c r="BU315" s="313">
        <v>5</v>
      </c>
      <c r="BV315" s="313">
        <v>1</v>
      </c>
      <c r="BW315" s="313">
        <v>19</v>
      </c>
      <c r="BX315" s="313">
        <v>100</v>
      </c>
      <c r="BY315" s="34">
        <v>200</v>
      </c>
      <c r="BZ315" s="14">
        <v>300</v>
      </c>
      <c r="CA315" s="313" t="s">
        <v>4583</v>
      </c>
      <c r="CB315" s="313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99">
        <v>550</v>
      </c>
      <c r="DG315" s="313">
        <v>8.8000000000000007</v>
      </c>
      <c r="DH315" s="313">
        <v>640</v>
      </c>
      <c r="DI315" s="34">
        <v>750</v>
      </c>
      <c r="DJ315" s="313">
        <v>800</v>
      </c>
      <c r="DK315" s="34">
        <v>940</v>
      </c>
      <c r="DL315" s="75">
        <v>200000</v>
      </c>
      <c r="DM315" s="41" t="s">
        <v>5847</v>
      </c>
      <c r="DN315" s="313" t="s">
        <v>4557</v>
      </c>
      <c r="DO315" s="302" t="s">
        <v>4562</v>
      </c>
    </row>
    <row r="316" spans="1:119">
      <c r="A316" s="309">
        <v>311</v>
      </c>
      <c r="B316" s="317">
        <v>46</v>
      </c>
      <c r="C316" s="317">
        <v>2012</v>
      </c>
      <c r="D316" s="317" t="s">
        <v>4748</v>
      </c>
      <c r="E316" s="317" t="s">
        <v>4841</v>
      </c>
      <c r="F316" s="317">
        <v>2</v>
      </c>
      <c r="G316" s="317" t="s">
        <v>5930</v>
      </c>
      <c r="H316" s="317" t="s">
        <v>4672</v>
      </c>
      <c r="I316" s="317" t="s">
        <v>6210</v>
      </c>
      <c r="J316" s="283" t="s">
        <v>4723</v>
      </c>
      <c r="K316" s="309" t="s">
        <v>4380</v>
      </c>
      <c r="L316" s="311" t="s">
        <v>5786</v>
      </c>
      <c r="M316" s="309" t="s">
        <v>4504</v>
      </c>
      <c r="N316" s="311" t="s">
        <v>4697</v>
      </c>
      <c r="O316" s="17" t="s">
        <v>4503</v>
      </c>
      <c r="P316" s="311" t="s">
        <v>4417</v>
      </c>
      <c r="Q316" s="311" t="s">
        <v>4417</v>
      </c>
      <c r="R316" s="311" t="s">
        <v>4417</v>
      </c>
      <c r="S316" s="311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311" t="s">
        <v>4417</v>
      </c>
      <c r="Y316" s="311" t="s">
        <v>5786</v>
      </c>
      <c r="Z316" s="311" t="s">
        <v>4555</v>
      </c>
      <c r="AA316" s="17">
        <v>6</v>
      </c>
      <c r="AB316" s="231">
        <v>0</v>
      </c>
      <c r="AC316" s="17">
        <v>0</v>
      </c>
      <c r="AD316" s="30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14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2">(AT316-AK316)-AV316</f>
        <v>22.5</v>
      </c>
      <c r="AV316" s="16">
        <f t="shared" si="167"/>
        <v>22.5</v>
      </c>
      <c r="AW316" s="309" t="s">
        <v>5801</v>
      </c>
      <c r="AX316" s="311" t="s">
        <v>4495</v>
      </c>
      <c r="AY316" s="16">
        <f>0.175*BA316*DJ316/1000</f>
        <v>21.98</v>
      </c>
      <c r="AZ316" s="311">
        <v>16</v>
      </c>
      <c r="BA316" s="311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11" t="s">
        <v>6196</v>
      </c>
      <c r="BI316" s="311" t="s">
        <v>6196</v>
      </c>
      <c r="BJ316" s="311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314" t="s">
        <v>4446</v>
      </c>
      <c r="CH316" s="312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12" t="s">
        <v>4446</v>
      </c>
      <c r="CN316" s="312">
        <v>235</v>
      </c>
      <c r="CO316" s="21">
        <f>(343+356)/2</f>
        <v>349.5</v>
      </c>
      <c r="CP316" s="312">
        <v>360</v>
      </c>
      <c r="CQ316" s="312">
        <f>(456+480)/2</f>
        <v>468</v>
      </c>
      <c r="CR316" s="74">
        <v>200000</v>
      </c>
      <c r="CS316" s="312" t="s">
        <v>4446</v>
      </c>
      <c r="CT316" s="58">
        <v>235</v>
      </c>
      <c r="CU316" s="312">
        <v>310</v>
      </c>
      <c r="CV316" s="58">
        <v>360</v>
      </c>
      <c r="CW316" s="312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311">
        <v>8.8000000000000007</v>
      </c>
      <c r="DH316" s="311">
        <v>640</v>
      </c>
      <c r="DI316" s="311">
        <v>893</v>
      </c>
      <c r="DJ316" s="311">
        <v>800</v>
      </c>
      <c r="DK316" s="311">
        <v>1010</v>
      </c>
      <c r="DL316" s="74">
        <v>200000</v>
      </c>
      <c r="DM316" s="140" t="s">
        <v>4760</v>
      </c>
      <c r="DN316" s="311" t="s">
        <v>4432</v>
      </c>
      <c r="DO316" s="300" t="s">
        <v>4562</v>
      </c>
    </row>
    <row r="317" spans="1:119" ht="16.2" thickBot="1">
      <c r="A317" s="310">
        <v>312</v>
      </c>
      <c r="B317" s="319"/>
      <c r="C317" s="319"/>
      <c r="D317" s="319"/>
      <c r="E317" s="319"/>
      <c r="F317" s="319"/>
      <c r="G317" s="319"/>
      <c r="H317" s="319"/>
      <c r="I317" s="319"/>
      <c r="J317" s="284" t="s">
        <v>4724</v>
      </c>
      <c r="K317" s="310" t="s">
        <v>4380</v>
      </c>
      <c r="L317" s="313" t="s">
        <v>5786</v>
      </c>
      <c r="M317" s="310" t="s">
        <v>4548</v>
      </c>
      <c r="N317" s="313" t="s">
        <v>4703</v>
      </c>
      <c r="O317" s="14" t="s">
        <v>4503</v>
      </c>
      <c r="P317" s="313" t="s">
        <v>4417</v>
      </c>
      <c r="Q317" s="313" t="s">
        <v>4417</v>
      </c>
      <c r="R317" s="313" t="s">
        <v>4417</v>
      </c>
      <c r="S317" s="313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13" t="s">
        <v>4417</v>
      </c>
      <c r="Y317" s="313" t="s">
        <v>5786</v>
      </c>
      <c r="Z317" s="313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31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2"/>
        <v>22.5</v>
      </c>
      <c r="AV317" s="23">
        <f t="shared" si="167"/>
        <v>22.5</v>
      </c>
      <c r="AW317" s="310" t="s">
        <v>5801</v>
      </c>
      <c r="AX317" s="313" t="s">
        <v>4495</v>
      </c>
      <c r="AY317" s="23">
        <f>0.175*BA317*DJ317/1000</f>
        <v>21.98</v>
      </c>
      <c r="AZ317" s="313">
        <v>16</v>
      </c>
      <c r="BA317" s="313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13" t="s">
        <v>6196</v>
      </c>
      <c r="BI317" s="313" t="s">
        <v>6196</v>
      </c>
      <c r="BJ317" s="313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310" t="s">
        <v>4446</v>
      </c>
      <c r="CH317" s="313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13" t="s">
        <v>4446</v>
      </c>
      <c r="CN317" s="313">
        <v>235</v>
      </c>
      <c r="CO317" s="23">
        <f>(343+356)/2</f>
        <v>349.5</v>
      </c>
      <c r="CP317" s="313">
        <v>360</v>
      </c>
      <c r="CQ317" s="313">
        <f>(456+480)/2</f>
        <v>468</v>
      </c>
      <c r="CR317" s="75">
        <v>200000</v>
      </c>
      <c r="CS317" s="313" t="s">
        <v>4446</v>
      </c>
      <c r="CT317" s="85">
        <v>235</v>
      </c>
      <c r="CU317" s="313">
        <v>310</v>
      </c>
      <c r="CV317" s="85">
        <v>360</v>
      </c>
      <c r="CW317" s="313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13">
        <v>8.8000000000000007</v>
      </c>
      <c r="DH317" s="313">
        <v>640</v>
      </c>
      <c r="DI317" s="313">
        <v>893</v>
      </c>
      <c r="DJ317" s="313">
        <v>800</v>
      </c>
      <c r="DK317" s="313">
        <v>1010</v>
      </c>
      <c r="DL317" s="75">
        <v>200000</v>
      </c>
      <c r="DM317" s="141" t="s">
        <v>5830</v>
      </c>
      <c r="DN317" s="310" t="s">
        <v>4432</v>
      </c>
      <c r="DO317" s="302" t="s">
        <v>4562</v>
      </c>
    </row>
    <row r="318" spans="1:119">
      <c r="A318" s="309">
        <v>313</v>
      </c>
      <c r="B318" s="317">
        <v>47</v>
      </c>
      <c r="C318" s="317">
        <v>2012</v>
      </c>
      <c r="D318" s="415" t="s">
        <v>4679</v>
      </c>
      <c r="E318" s="329" t="s">
        <v>4840</v>
      </c>
      <c r="F318" s="317">
        <v>4</v>
      </c>
      <c r="G318" s="326" t="s">
        <v>5929</v>
      </c>
      <c r="H318" s="326" t="s">
        <v>5928</v>
      </c>
      <c r="I318" s="326" t="s">
        <v>6242</v>
      </c>
      <c r="J318" s="285" t="s">
        <v>4563</v>
      </c>
      <c r="K318" s="309" t="s">
        <v>4380</v>
      </c>
      <c r="L318" s="311" t="s">
        <v>5786</v>
      </c>
      <c r="M318" s="309" t="s">
        <v>4505</v>
      </c>
      <c r="N318" s="311" t="s">
        <v>4699</v>
      </c>
      <c r="O318" s="17" t="s">
        <v>4503</v>
      </c>
      <c r="P318" s="311" t="s">
        <v>6325</v>
      </c>
      <c r="Q318" s="311" t="s">
        <v>4417</v>
      </c>
      <c r="R318" s="311" t="s">
        <v>4417</v>
      </c>
      <c r="S318" s="311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311" t="s">
        <v>4417</v>
      </c>
      <c r="Y318" s="311" t="s">
        <v>5786</v>
      </c>
      <c r="Z318" s="311" t="s">
        <v>6038</v>
      </c>
      <c r="AA318" s="17">
        <v>10</v>
      </c>
      <c r="AB318" s="231">
        <v>0</v>
      </c>
      <c r="AC318" s="17">
        <v>0</v>
      </c>
      <c r="AD318" s="30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30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2"/>
        <v>25</v>
      </c>
      <c r="AV318" s="16">
        <f t="shared" si="167"/>
        <v>25</v>
      </c>
      <c r="AW318" s="309" t="s">
        <v>5801</v>
      </c>
      <c r="AX318" s="311" t="s">
        <v>6121</v>
      </c>
      <c r="AY318" s="16" t="s">
        <v>6121</v>
      </c>
      <c r="AZ318" s="311">
        <v>20</v>
      </c>
      <c r="BA318" s="311">
        <f t="shared" si="165"/>
        <v>245</v>
      </c>
      <c r="BB318" s="16">
        <v>85</v>
      </c>
      <c r="BC318" s="16">
        <f t="shared" si="170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11" t="s">
        <v>6196</v>
      </c>
      <c r="BI318" s="311" t="s">
        <v>6196</v>
      </c>
      <c r="BJ318" s="311">
        <v>2</v>
      </c>
      <c r="BK318" s="311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311" t="s">
        <v>4447</v>
      </c>
      <c r="CH318" s="311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309" t="s">
        <v>4381</v>
      </c>
      <c r="CN318" s="311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311">
        <v>8.8000000000000007</v>
      </c>
      <c r="DH318" s="311">
        <v>640</v>
      </c>
      <c r="DI318" s="30">
        <v>730</v>
      </c>
      <c r="DJ318" s="311">
        <v>800</v>
      </c>
      <c r="DK318" s="30">
        <v>940</v>
      </c>
      <c r="DL318" s="74">
        <v>200000</v>
      </c>
      <c r="DM318" s="28" t="s">
        <v>5826</v>
      </c>
      <c r="DN318" s="311" t="s">
        <v>6045</v>
      </c>
      <c r="DO318" s="300" t="s">
        <v>6037</v>
      </c>
    </row>
    <row r="319" spans="1:119" ht="15.6" customHeight="1">
      <c r="A319" s="314">
        <v>314</v>
      </c>
      <c r="B319" s="318"/>
      <c r="C319" s="318"/>
      <c r="D319" s="420"/>
      <c r="E319" s="330"/>
      <c r="F319" s="318"/>
      <c r="G319" s="327"/>
      <c r="H319" s="327"/>
      <c r="I319" s="327"/>
      <c r="J319" s="285" t="s">
        <v>4564</v>
      </c>
      <c r="K319" s="314" t="s">
        <v>4380</v>
      </c>
      <c r="L319" s="312" t="s">
        <v>5786</v>
      </c>
      <c r="M319" s="314" t="s">
        <v>4505</v>
      </c>
      <c r="N319" s="312" t="s">
        <v>4699</v>
      </c>
      <c r="O319" s="18" t="s">
        <v>4503</v>
      </c>
      <c r="P319" s="312" t="s">
        <v>6325</v>
      </c>
      <c r="Q319" s="312" t="s">
        <v>4417</v>
      </c>
      <c r="R319" s="312" t="s">
        <v>4417</v>
      </c>
      <c r="S319" s="312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12" t="s">
        <v>4417</v>
      </c>
      <c r="Y319" s="312" t="s">
        <v>5786</v>
      </c>
      <c r="Z319" s="312" t="s">
        <v>6038</v>
      </c>
      <c r="AA319" s="18">
        <v>10</v>
      </c>
      <c r="AB319" s="222">
        <v>0</v>
      </c>
      <c r="AC319" s="18">
        <v>0</v>
      </c>
      <c r="AD319" s="314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14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2"/>
        <v>25</v>
      </c>
      <c r="AV319" s="21">
        <f t="shared" si="167"/>
        <v>25</v>
      </c>
      <c r="AW319" s="314" t="s">
        <v>5801</v>
      </c>
      <c r="AX319" s="312" t="s">
        <v>6121</v>
      </c>
      <c r="AY319" s="21" t="s">
        <v>6121</v>
      </c>
      <c r="AZ319" s="312">
        <v>20</v>
      </c>
      <c r="BA319" s="312">
        <f t="shared" si="165"/>
        <v>245</v>
      </c>
      <c r="BB319" s="21">
        <v>85</v>
      </c>
      <c r="BC319" s="21">
        <f t="shared" si="170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12" t="s">
        <v>6196</v>
      </c>
      <c r="BI319" s="312" t="s">
        <v>6196</v>
      </c>
      <c r="BJ319" s="312">
        <v>2</v>
      </c>
      <c r="BK319" s="312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12" t="s">
        <v>4447</v>
      </c>
      <c r="CH319" s="312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314" t="s">
        <v>4381</v>
      </c>
      <c r="CN319" s="312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12">
        <v>8.8000000000000007</v>
      </c>
      <c r="DH319" s="312">
        <v>640</v>
      </c>
      <c r="DI319" s="32">
        <v>730</v>
      </c>
      <c r="DJ319" s="312">
        <v>800</v>
      </c>
      <c r="DK319" s="32">
        <v>940</v>
      </c>
      <c r="DL319" s="59">
        <v>200000</v>
      </c>
      <c r="DM319" s="29" t="s">
        <v>6039</v>
      </c>
      <c r="DN319" s="312" t="s">
        <v>6045</v>
      </c>
      <c r="DO319" s="301" t="s">
        <v>6037</v>
      </c>
    </row>
    <row r="320" spans="1:119" ht="15.6" customHeight="1">
      <c r="A320" s="314">
        <v>315</v>
      </c>
      <c r="B320" s="318"/>
      <c r="C320" s="318"/>
      <c r="D320" s="420"/>
      <c r="E320" s="330"/>
      <c r="F320" s="318"/>
      <c r="G320" s="327"/>
      <c r="H320" s="327"/>
      <c r="I320" s="327"/>
      <c r="J320" s="285" t="s">
        <v>4565</v>
      </c>
      <c r="K320" s="314" t="s">
        <v>4380</v>
      </c>
      <c r="L320" s="312" t="s">
        <v>5786</v>
      </c>
      <c r="M320" s="314" t="s">
        <v>4505</v>
      </c>
      <c r="N320" s="312" t="s">
        <v>4699</v>
      </c>
      <c r="O320" s="18" t="s">
        <v>4503</v>
      </c>
      <c r="P320" s="312" t="s">
        <v>6325</v>
      </c>
      <c r="Q320" s="312" t="s">
        <v>4417</v>
      </c>
      <c r="R320" s="312" t="s">
        <v>4417</v>
      </c>
      <c r="S320" s="312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12" t="s">
        <v>4417</v>
      </c>
      <c r="Y320" s="312" t="s">
        <v>5786</v>
      </c>
      <c r="Z320" s="312" t="s">
        <v>6038</v>
      </c>
      <c r="AA320" s="18">
        <v>10</v>
      </c>
      <c r="AB320" s="222">
        <v>0</v>
      </c>
      <c r="AC320" s="18">
        <v>0</v>
      </c>
      <c r="AD320" s="314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14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2"/>
        <v>25</v>
      </c>
      <c r="AV320" s="21">
        <f t="shared" si="167"/>
        <v>25</v>
      </c>
      <c r="AW320" s="314" t="s">
        <v>5801</v>
      </c>
      <c r="AX320" s="312" t="s">
        <v>6121</v>
      </c>
      <c r="AY320" s="21" t="s">
        <v>6121</v>
      </c>
      <c r="AZ320" s="312">
        <v>20</v>
      </c>
      <c r="BA320" s="312">
        <f t="shared" si="165"/>
        <v>245</v>
      </c>
      <c r="BB320" s="21">
        <v>85</v>
      </c>
      <c r="BC320" s="21">
        <f t="shared" si="170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12" t="s">
        <v>4462</v>
      </c>
      <c r="BI320" s="312" t="s">
        <v>4462</v>
      </c>
      <c r="BJ320" s="312">
        <v>4</v>
      </c>
      <c r="BK320" s="312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12" t="s">
        <v>4447</v>
      </c>
      <c r="CH320" s="312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314" t="s">
        <v>4381</v>
      </c>
      <c r="CN320" s="312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12">
        <v>8.8000000000000007</v>
      </c>
      <c r="DH320" s="312">
        <v>640</v>
      </c>
      <c r="DI320" s="32">
        <v>730</v>
      </c>
      <c r="DJ320" s="312">
        <v>800</v>
      </c>
      <c r="DK320" s="32">
        <v>940</v>
      </c>
      <c r="DL320" s="59">
        <v>200000</v>
      </c>
      <c r="DM320" s="29" t="s">
        <v>6039</v>
      </c>
      <c r="DN320" s="312" t="s">
        <v>6045</v>
      </c>
      <c r="DO320" s="301" t="s">
        <v>6037</v>
      </c>
    </row>
    <row r="321" spans="1:119" ht="15.6" customHeight="1" thickBot="1">
      <c r="A321" s="314">
        <v>316</v>
      </c>
      <c r="B321" s="319"/>
      <c r="C321" s="319"/>
      <c r="D321" s="416"/>
      <c r="E321" s="331"/>
      <c r="F321" s="319"/>
      <c r="G321" s="328"/>
      <c r="H321" s="328"/>
      <c r="I321" s="328"/>
      <c r="J321" s="285" t="s">
        <v>4566</v>
      </c>
      <c r="K321" s="314" t="s">
        <v>4380</v>
      </c>
      <c r="L321" s="312" t="s">
        <v>5786</v>
      </c>
      <c r="M321" s="314" t="s">
        <v>4505</v>
      </c>
      <c r="N321" s="312" t="s">
        <v>4699</v>
      </c>
      <c r="O321" s="18" t="s">
        <v>4503</v>
      </c>
      <c r="P321" s="312" t="s">
        <v>6325</v>
      </c>
      <c r="Q321" s="312" t="s">
        <v>4417</v>
      </c>
      <c r="R321" s="312" t="s">
        <v>4417</v>
      </c>
      <c r="S321" s="312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12" t="s">
        <v>4417</v>
      </c>
      <c r="Y321" s="312" t="s">
        <v>5786</v>
      </c>
      <c r="Z321" s="312" t="s">
        <v>6038</v>
      </c>
      <c r="AA321" s="18">
        <v>10</v>
      </c>
      <c r="AB321" s="222">
        <v>0</v>
      </c>
      <c r="AC321" s="18">
        <v>0</v>
      </c>
      <c r="AD321" s="314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14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2"/>
        <v>25</v>
      </c>
      <c r="AV321" s="21">
        <f t="shared" si="167"/>
        <v>25</v>
      </c>
      <c r="AW321" s="314" t="s">
        <v>5801</v>
      </c>
      <c r="AX321" s="312" t="s">
        <v>6121</v>
      </c>
      <c r="AY321" s="21" t="s">
        <v>6121</v>
      </c>
      <c r="AZ321" s="312">
        <v>20</v>
      </c>
      <c r="BA321" s="312">
        <f t="shared" si="165"/>
        <v>245</v>
      </c>
      <c r="BB321" s="21">
        <v>85</v>
      </c>
      <c r="BC321" s="21">
        <f t="shared" si="170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12" t="s">
        <v>4462</v>
      </c>
      <c r="BI321" s="312" t="s">
        <v>4462</v>
      </c>
      <c r="BJ321" s="312">
        <v>4</v>
      </c>
      <c r="BK321" s="312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12" t="s">
        <v>4447</v>
      </c>
      <c r="CH321" s="312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314" t="s">
        <v>4381</v>
      </c>
      <c r="CN321" s="312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12">
        <v>8.8000000000000007</v>
      </c>
      <c r="DH321" s="312">
        <v>640</v>
      </c>
      <c r="DI321" s="32">
        <v>730</v>
      </c>
      <c r="DJ321" s="312">
        <v>800</v>
      </c>
      <c r="DK321" s="32">
        <v>940</v>
      </c>
      <c r="DL321" s="59">
        <v>200000</v>
      </c>
      <c r="DM321" s="29" t="s">
        <v>5826</v>
      </c>
      <c r="DN321" s="312" t="s">
        <v>6045</v>
      </c>
      <c r="DO321" s="301" t="s">
        <v>6037</v>
      </c>
    </row>
    <row r="322" spans="1:119" ht="15.6" customHeight="1">
      <c r="A322" s="309">
        <v>317</v>
      </c>
      <c r="B322" s="317">
        <v>48</v>
      </c>
      <c r="C322" s="317">
        <v>2013</v>
      </c>
      <c r="D322" s="320" t="s">
        <v>5646</v>
      </c>
      <c r="E322" s="323" t="s">
        <v>5650</v>
      </c>
      <c r="F322" s="317">
        <v>7</v>
      </c>
      <c r="G322" s="326" t="s">
        <v>5907</v>
      </c>
      <c r="H322" s="326" t="s">
        <v>5896</v>
      </c>
      <c r="I322" s="326" t="s">
        <v>6243</v>
      </c>
      <c r="J322" s="283" t="s">
        <v>4508</v>
      </c>
      <c r="K322" s="309" t="s">
        <v>4380</v>
      </c>
      <c r="L322" s="311" t="s">
        <v>5786</v>
      </c>
      <c r="M322" s="309" t="s">
        <v>4505</v>
      </c>
      <c r="N322" s="311" t="s">
        <v>4699</v>
      </c>
      <c r="O322" s="17" t="s">
        <v>4503</v>
      </c>
      <c r="P322" s="311" t="s">
        <v>6325</v>
      </c>
      <c r="Q322" s="311" t="s">
        <v>4467</v>
      </c>
      <c r="R322" s="311" t="s">
        <v>4417</v>
      </c>
      <c r="S322" s="311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311" t="s">
        <v>4417</v>
      </c>
      <c r="Y322" s="311" t="s">
        <v>5786</v>
      </c>
      <c r="Z322" s="311" t="s">
        <v>4555</v>
      </c>
      <c r="AA322" s="86">
        <v>8</v>
      </c>
      <c r="AB322" s="231">
        <v>0</v>
      </c>
      <c r="AC322" s="17">
        <v>0</v>
      </c>
      <c r="AD322" s="30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30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2"/>
        <v>20.300000000000011</v>
      </c>
      <c r="AV322" s="16">
        <f t="shared" si="167"/>
        <v>20.300000000000011</v>
      </c>
      <c r="AW322" s="309" t="s">
        <v>5647</v>
      </c>
      <c r="AX322" s="30" t="s">
        <v>5652</v>
      </c>
      <c r="AY322" s="31">
        <v>57.192744999999995</v>
      </c>
      <c r="AZ322" s="311">
        <v>16</v>
      </c>
      <c r="BA322" s="311">
        <f t="shared" si="165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11" t="s">
        <v>6196</v>
      </c>
      <c r="BI322" s="311" t="s">
        <v>6196</v>
      </c>
      <c r="BJ322" s="311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309" t="s">
        <v>4381</v>
      </c>
      <c r="CH322" s="311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309" t="s">
        <v>4381</v>
      </c>
      <c r="CN322" s="311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311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309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311">
        <v>8.8000000000000007</v>
      </c>
      <c r="DH322" s="311">
        <v>640</v>
      </c>
      <c r="DI322" s="311">
        <v>752</v>
      </c>
      <c r="DJ322" s="311">
        <v>800</v>
      </c>
      <c r="DK322" s="311">
        <v>987</v>
      </c>
      <c r="DL322" s="92">
        <v>205000</v>
      </c>
      <c r="DM322" s="28" t="s">
        <v>5651</v>
      </c>
      <c r="DN322" s="311" t="s">
        <v>4432</v>
      </c>
      <c r="DO322" s="300" t="s">
        <v>4562</v>
      </c>
    </row>
    <row r="323" spans="1:119" ht="15.6" customHeight="1">
      <c r="A323" s="314">
        <v>318</v>
      </c>
      <c r="B323" s="318"/>
      <c r="C323" s="318"/>
      <c r="D323" s="321"/>
      <c r="E323" s="324"/>
      <c r="F323" s="318"/>
      <c r="G323" s="327"/>
      <c r="H323" s="327"/>
      <c r="I323" s="327"/>
      <c r="J323" s="285" t="s">
        <v>4394</v>
      </c>
      <c r="K323" s="314" t="s">
        <v>4380</v>
      </c>
      <c r="L323" s="312" t="s">
        <v>5786</v>
      </c>
      <c r="M323" s="314" t="s">
        <v>4505</v>
      </c>
      <c r="N323" s="312" t="s">
        <v>4699</v>
      </c>
      <c r="O323" s="18" t="s">
        <v>4503</v>
      </c>
      <c r="P323" s="312" t="s">
        <v>6325</v>
      </c>
      <c r="Q323" s="312" t="s">
        <v>4467</v>
      </c>
      <c r="R323" s="312" t="s">
        <v>4417</v>
      </c>
      <c r="S323" s="312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12" t="s">
        <v>4417</v>
      </c>
      <c r="Y323" s="312" t="s">
        <v>5786</v>
      </c>
      <c r="Z323" s="312" t="s">
        <v>4555</v>
      </c>
      <c r="AA323" s="71">
        <v>8</v>
      </c>
      <c r="AB323" s="222">
        <v>0</v>
      </c>
      <c r="AC323" s="18">
        <v>0</v>
      </c>
      <c r="AD323" s="314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14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2"/>
        <v>20.099999999999994</v>
      </c>
      <c r="AV323" s="21">
        <f t="shared" si="167"/>
        <v>20.099999999999994</v>
      </c>
      <c r="AW323" s="314" t="s">
        <v>5647</v>
      </c>
      <c r="AX323" s="32" t="s">
        <v>5652</v>
      </c>
      <c r="AY323" s="33">
        <v>54.875424999999993</v>
      </c>
      <c r="AZ323" s="312">
        <v>16</v>
      </c>
      <c r="BA323" s="312">
        <f t="shared" si="165"/>
        <v>157</v>
      </c>
      <c r="BB323" s="21">
        <f t="shared" ref="BB323:BB328" si="173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12" t="s">
        <v>6196</v>
      </c>
      <c r="BI323" s="312" t="s">
        <v>6196</v>
      </c>
      <c r="BJ323" s="312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314" t="s">
        <v>4381</v>
      </c>
      <c r="CH323" s="312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314" t="s">
        <v>4381</v>
      </c>
      <c r="CN323" s="312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12">
        <v>355</v>
      </c>
      <c r="CU323" s="21">
        <f t="shared" ref="CU323:CW328" si="174">1.1*CT323</f>
        <v>390.50000000000006</v>
      </c>
      <c r="CV323" s="21">
        <v>470</v>
      </c>
      <c r="CW323" s="21">
        <f t="shared" si="174"/>
        <v>517</v>
      </c>
      <c r="CX323" s="59">
        <v>200000</v>
      </c>
      <c r="CY323" s="314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12">
        <v>8.8000000000000007</v>
      </c>
      <c r="DH323" s="312">
        <v>640</v>
      </c>
      <c r="DI323" s="312">
        <v>752</v>
      </c>
      <c r="DJ323" s="312">
        <v>800</v>
      </c>
      <c r="DK323" s="312">
        <v>987</v>
      </c>
      <c r="DL323" s="95">
        <v>205000</v>
      </c>
      <c r="DM323" s="29" t="s">
        <v>5651</v>
      </c>
      <c r="DN323" s="312" t="s">
        <v>4432</v>
      </c>
      <c r="DO323" s="301" t="s">
        <v>4562</v>
      </c>
    </row>
    <row r="324" spans="1:119">
      <c r="A324" s="314">
        <v>319</v>
      </c>
      <c r="B324" s="318"/>
      <c r="C324" s="318"/>
      <c r="D324" s="321"/>
      <c r="E324" s="324"/>
      <c r="F324" s="318"/>
      <c r="G324" s="327"/>
      <c r="H324" s="327"/>
      <c r="I324" s="327"/>
      <c r="J324" s="285" t="s">
        <v>4396</v>
      </c>
      <c r="K324" s="314" t="s">
        <v>4380</v>
      </c>
      <c r="L324" s="312" t="s">
        <v>5786</v>
      </c>
      <c r="M324" s="314" t="s">
        <v>4505</v>
      </c>
      <c r="N324" s="312" t="s">
        <v>4699</v>
      </c>
      <c r="O324" s="18" t="s">
        <v>4503</v>
      </c>
      <c r="P324" s="312" t="s">
        <v>6325</v>
      </c>
      <c r="Q324" s="312" t="s">
        <v>4467</v>
      </c>
      <c r="R324" s="312" t="s">
        <v>4417</v>
      </c>
      <c r="S324" s="312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12" t="s">
        <v>4417</v>
      </c>
      <c r="Y324" s="312" t="s">
        <v>5786</v>
      </c>
      <c r="Z324" s="312" t="s">
        <v>4555</v>
      </c>
      <c r="AA324" s="71">
        <v>8</v>
      </c>
      <c r="AB324" s="222">
        <v>0</v>
      </c>
      <c r="AC324" s="18">
        <v>0</v>
      </c>
      <c r="AD324" s="314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14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2"/>
        <v>20.099999999999994</v>
      </c>
      <c r="AV324" s="21">
        <f t="shared" si="167"/>
        <v>20.099999999999994</v>
      </c>
      <c r="AW324" s="314" t="s">
        <v>5647</v>
      </c>
      <c r="AX324" s="32" t="s">
        <v>5652</v>
      </c>
      <c r="AY324" s="33">
        <v>54.714500000000001</v>
      </c>
      <c r="AZ324" s="312">
        <v>16</v>
      </c>
      <c r="BA324" s="312">
        <f t="shared" si="165"/>
        <v>157</v>
      </c>
      <c r="BB324" s="21">
        <f t="shared" si="173"/>
        <v>81</v>
      </c>
      <c r="BC324" s="21">
        <f t="shared" ref="BC324:BC328" si="175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12" t="s">
        <v>6196</v>
      </c>
      <c r="BI324" s="312" t="s">
        <v>6196</v>
      </c>
      <c r="BJ324" s="312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314" t="s">
        <v>4381</v>
      </c>
      <c r="CH324" s="312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314" t="s">
        <v>4381</v>
      </c>
      <c r="CN324" s="312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12">
        <v>355</v>
      </c>
      <c r="CU324" s="21">
        <f t="shared" si="174"/>
        <v>390.50000000000006</v>
      </c>
      <c r="CV324" s="21">
        <v>470</v>
      </c>
      <c r="CW324" s="21">
        <f t="shared" si="174"/>
        <v>517</v>
      </c>
      <c r="CX324" s="59">
        <v>200000</v>
      </c>
      <c r="CY324" s="314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12">
        <v>8.8000000000000007</v>
      </c>
      <c r="DH324" s="312">
        <v>640</v>
      </c>
      <c r="DI324" s="312">
        <v>752</v>
      </c>
      <c r="DJ324" s="312">
        <v>800</v>
      </c>
      <c r="DK324" s="312">
        <v>987</v>
      </c>
      <c r="DL324" s="95">
        <v>205000</v>
      </c>
      <c r="DM324" s="29" t="s">
        <v>5651</v>
      </c>
      <c r="DN324" s="312" t="s">
        <v>4432</v>
      </c>
      <c r="DO324" s="301" t="s">
        <v>4562</v>
      </c>
    </row>
    <row r="325" spans="1:119">
      <c r="A325" s="314">
        <v>320</v>
      </c>
      <c r="B325" s="318"/>
      <c r="C325" s="318"/>
      <c r="D325" s="321"/>
      <c r="E325" s="324"/>
      <c r="F325" s="318"/>
      <c r="G325" s="327"/>
      <c r="H325" s="327"/>
      <c r="I325" s="327"/>
      <c r="J325" s="285" t="s">
        <v>4397</v>
      </c>
      <c r="K325" s="314" t="s">
        <v>4380</v>
      </c>
      <c r="L325" s="312" t="s">
        <v>5786</v>
      </c>
      <c r="M325" s="314" t="s">
        <v>4505</v>
      </c>
      <c r="N325" s="312" t="s">
        <v>4699</v>
      </c>
      <c r="O325" s="18" t="s">
        <v>4503</v>
      </c>
      <c r="P325" s="312" t="s">
        <v>6325</v>
      </c>
      <c r="Q325" s="312" t="s">
        <v>4467</v>
      </c>
      <c r="R325" s="312" t="s">
        <v>4417</v>
      </c>
      <c r="S325" s="312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12" t="s">
        <v>4417</v>
      </c>
      <c r="Y325" s="312" t="s">
        <v>5786</v>
      </c>
      <c r="Z325" s="312" t="s">
        <v>4555</v>
      </c>
      <c r="AA325" s="71">
        <v>8</v>
      </c>
      <c r="AB325" s="222">
        <v>0</v>
      </c>
      <c r="AC325" s="18">
        <v>0</v>
      </c>
      <c r="AD325" s="314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14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2"/>
        <v>20.300000000000011</v>
      </c>
      <c r="AV325" s="21">
        <f t="shared" si="167"/>
        <v>20.300000000000011</v>
      </c>
      <c r="AW325" s="314" t="s">
        <v>5647</v>
      </c>
      <c r="AX325" s="32" t="s">
        <v>5652</v>
      </c>
      <c r="AY325" s="33">
        <v>57.064004999999995</v>
      </c>
      <c r="AZ325" s="312">
        <v>16</v>
      </c>
      <c r="BA325" s="312">
        <f t="shared" si="165"/>
        <v>157</v>
      </c>
      <c r="BB325" s="21">
        <f t="shared" si="173"/>
        <v>86.000000000000014</v>
      </c>
      <c r="BC325" s="21">
        <f t="shared" si="175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12" t="s">
        <v>6196</v>
      </c>
      <c r="BI325" s="312" t="s">
        <v>6196</v>
      </c>
      <c r="BJ325" s="312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314" t="s">
        <v>4381</v>
      </c>
      <c r="CH325" s="312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314" t="s">
        <v>4381</v>
      </c>
      <c r="CN325" s="312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12">
        <v>355</v>
      </c>
      <c r="CU325" s="21">
        <f t="shared" si="174"/>
        <v>390.50000000000006</v>
      </c>
      <c r="CV325" s="21">
        <v>470</v>
      </c>
      <c r="CW325" s="21">
        <f t="shared" si="174"/>
        <v>517</v>
      </c>
      <c r="CX325" s="59">
        <v>200000</v>
      </c>
      <c r="CY325" s="314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12">
        <v>8.8000000000000007</v>
      </c>
      <c r="DH325" s="312">
        <v>640</v>
      </c>
      <c r="DI325" s="312">
        <v>752</v>
      </c>
      <c r="DJ325" s="312">
        <v>800</v>
      </c>
      <c r="DK325" s="312">
        <v>987</v>
      </c>
      <c r="DL325" s="95">
        <v>205000</v>
      </c>
      <c r="DM325" s="29" t="s">
        <v>5651</v>
      </c>
      <c r="DN325" s="312" t="s">
        <v>4432</v>
      </c>
      <c r="DO325" s="301" t="s">
        <v>4562</v>
      </c>
    </row>
    <row r="326" spans="1:119" ht="15.6" customHeight="1">
      <c r="A326" s="314">
        <v>321</v>
      </c>
      <c r="B326" s="318"/>
      <c r="C326" s="318"/>
      <c r="D326" s="321"/>
      <c r="E326" s="324"/>
      <c r="F326" s="318"/>
      <c r="G326" s="327"/>
      <c r="H326" s="327"/>
      <c r="I326" s="327"/>
      <c r="J326" s="285" t="s">
        <v>4398</v>
      </c>
      <c r="K326" s="314" t="s">
        <v>4380</v>
      </c>
      <c r="L326" s="312" t="s">
        <v>5786</v>
      </c>
      <c r="M326" s="314" t="s">
        <v>4505</v>
      </c>
      <c r="N326" s="312" t="s">
        <v>4699</v>
      </c>
      <c r="O326" s="18" t="s">
        <v>4503</v>
      </c>
      <c r="P326" s="312" t="s">
        <v>6325</v>
      </c>
      <c r="Q326" s="312" t="s">
        <v>4467</v>
      </c>
      <c r="R326" s="312" t="s">
        <v>4417</v>
      </c>
      <c r="S326" s="312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12" t="s">
        <v>4417</v>
      </c>
      <c r="Y326" s="312" t="s">
        <v>5786</v>
      </c>
      <c r="Z326" s="312" t="s">
        <v>4555</v>
      </c>
      <c r="AA326" s="71">
        <v>8</v>
      </c>
      <c r="AB326" s="222">
        <v>0</v>
      </c>
      <c r="AC326" s="18">
        <v>0</v>
      </c>
      <c r="AD326" s="314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14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2"/>
        <v>20.099999999999994</v>
      </c>
      <c r="AV326" s="21">
        <f t="shared" si="167"/>
        <v>20.099999999999994</v>
      </c>
      <c r="AW326" s="314" t="s">
        <v>5647</v>
      </c>
      <c r="AX326" s="32" t="s">
        <v>5652</v>
      </c>
      <c r="AY326" s="33">
        <v>48.374054999999998</v>
      </c>
      <c r="AZ326" s="312">
        <v>16</v>
      </c>
      <c r="BA326" s="312">
        <f t="shared" si="165"/>
        <v>157</v>
      </c>
      <c r="BB326" s="21">
        <f t="shared" si="173"/>
        <v>81</v>
      </c>
      <c r="BC326" s="21">
        <f t="shared" si="175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12" t="s">
        <v>6196</v>
      </c>
      <c r="BI326" s="312" t="s">
        <v>6196</v>
      </c>
      <c r="BJ326" s="312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314" t="s">
        <v>4381</v>
      </c>
      <c r="CH326" s="312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314" t="s">
        <v>4381</v>
      </c>
      <c r="CN326" s="312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12">
        <v>355</v>
      </c>
      <c r="CU326" s="21">
        <f t="shared" si="174"/>
        <v>390.50000000000006</v>
      </c>
      <c r="CV326" s="21">
        <v>470</v>
      </c>
      <c r="CW326" s="21">
        <f t="shared" si="174"/>
        <v>517</v>
      </c>
      <c r="CX326" s="59">
        <v>200000</v>
      </c>
      <c r="CY326" s="314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12">
        <v>8.8000000000000007</v>
      </c>
      <c r="DH326" s="312">
        <v>640</v>
      </c>
      <c r="DI326" s="312">
        <v>752</v>
      </c>
      <c r="DJ326" s="312">
        <v>800</v>
      </c>
      <c r="DK326" s="312">
        <v>987</v>
      </c>
      <c r="DL326" s="95">
        <v>205000</v>
      </c>
      <c r="DM326" s="29" t="s">
        <v>5651</v>
      </c>
      <c r="DN326" s="312" t="s">
        <v>4432</v>
      </c>
      <c r="DO326" s="301" t="s">
        <v>4562</v>
      </c>
    </row>
    <row r="327" spans="1:119">
      <c r="A327" s="314">
        <v>322</v>
      </c>
      <c r="B327" s="318"/>
      <c r="C327" s="318"/>
      <c r="D327" s="321"/>
      <c r="E327" s="324"/>
      <c r="F327" s="318"/>
      <c r="G327" s="327"/>
      <c r="H327" s="327"/>
      <c r="I327" s="327"/>
      <c r="J327" s="285" t="s">
        <v>4399</v>
      </c>
      <c r="K327" s="314" t="s">
        <v>4380</v>
      </c>
      <c r="L327" s="312" t="s">
        <v>5786</v>
      </c>
      <c r="M327" s="314" t="s">
        <v>4505</v>
      </c>
      <c r="N327" s="312" t="s">
        <v>4699</v>
      </c>
      <c r="O327" s="18" t="s">
        <v>4503</v>
      </c>
      <c r="P327" s="312" t="s">
        <v>6325</v>
      </c>
      <c r="Q327" s="312" t="s">
        <v>4467</v>
      </c>
      <c r="R327" s="312" t="s">
        <v>4417</v>
      </c>
      <c r="S327" s="312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12" t="s">
        <v>4417</v>
      </c>
      <c r="Y327" s="312" t="s">
        <v>5786</v>
      </c>
      <c r="Z327" s="312" t="s">
        <v>4555</v>
      </c>
      <c r="AA327" s="71">
        <v>8</v>
      </c>
      <c r="AB327" s="222">
        <v>0</v>
      </c>
      <c r="AC327" s="18">
        <v>0</v>
      </c>
      <c r="AD327" s="314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14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2"/>
        <v>20.300000000000011</v>
      </c>
      <c r="AV327" s="21">
        <f t="shared" si="167"/>
        <v>20.300000000000011</v>
      </c>
      <c r="AW327" s="314" t="s">
        <v>5647</v>
      </c>
      <c r="AX327" s="32" t="s">
        <v>5652</v>
      </c>
      <c r="AY327" s="33">
        <v>61.602090000000004</v>
      </c>
      <c r="AZ327" s="312">
        <v>16</v>
      </c>
      <c r="BA327" s="312">
        <f t="shared" si="165"/>
        <v>157</v>
      </c>
      <c r="BB327" s="21">
        <f t="shared" si="173"/>
        <v>86.000000000000014</v>
      </c>
      <c r="BC327" s="21">
        <f t="shared" si="175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12" t="s">
        <v>6196</v>
      </c>
      <c r="BI327" s="312" t="s">
        <v>6196</v>
      </c>
      <c r="BJ327" s="312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314" t="s">
        <v>4381</v>
      </c>
      <c r="CH327" s="312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314" t="s">
        <v>4381</v>
      </c>
      <c r="CN327" s="312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12">
        <v>355</v>
      </c>
      <c r="CU327" s="21">
        <f t="shared" si="174"/>
        <v>390.50000000000006</v>
      </c>
      <c r="CV327" s="21">
        <v>470</v>
      </c>
      <c r="CW327" s="21">
        <f t="shared" si="174"/>
        <v>517</v>
      </c>
      <c r="CX327" s="59">
        <v>200000</v>
      </c>
      <c r="CY327" s="314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12">
        <v>8.8000000000000007</v>
      </c>
      <c r="DH327" s="312">
        <v>640</v>
      </c>
      <c r="DI327" s="312">
        <v>752</v>
      </c>
      <c r="DJ327" s="312">
        <v>800</v>
      </c>
      <c r="DK327" s="312">
        <v>987</v>
      </c>
      <c r="DL327" s="95">
        <v>205000</v>
      </c>
      <c r="DM327" s="29" t="s">
        <v>5651</v>
      </c>
      <c r="DN327" s="312" t="s">
        <v>4432</v>
      </c>
      <c r="DO327" s="301" t="s">
        <v>4562</v>
      </c>
    </row>
    <row r="328" spans="1:119" ht="15.6" customHeight="1" thickBot="1">
      <c r="A328" s="310">
        <v>323</v>
      </c>
      <c r="B328" s="319"/>
      <c r="C328" s="319"/>
      <c r="D328" s="322"/>
      <c r="E328" s="325"/>
      <c r="F328" s="319"/>
      <c r="G328" s="328"/>
      <c r="H328" s="328"/>
      <c r="I328" s="328"/>
      <c r="J328" s="284" t="s">
        <v>4400</v>
      </c>
      <c r="K328" s="310" t="s">
        <v>4380</v>
      </c>
      <c r="L328" s="313" t="s">
        <v>5786</v>
      </c>
      <c r="M328" s="310" t="s">
        <v>4505</v>
      </c>
      <c r="N328" s="313" t="s">
        <v>4699</v>
      </c>
      <c r="O328" s="14" t="s">
        <v>4503</v>
      </c>
      <c r="P328" s="313" t="s">
        <v>6325</v>
      </c>
      <c r="Q328" s="313" t="s">
        <v>4467</v>
      </c>
      <c r="R328" s="313" t="s">
        <v>4417</v>
      </c>
      <c r="S328" s="313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13" t="s">
        <v>4417</v>
      </c>
      <c r="Y328" s="313" t="s">
        <v>5786</v>
      </c>
      <c r="Z328" s="313" t="s">
        <v>4555</v>
      </c>
      <c r="AA328" s="116">
        <v>8</v>
      </c>
      <c r="AB328" s="227">
        <v>0</v>
      </c>
      <c r="AC328" s="14">
        <v>0</v>
      </c>
      <c r="AD328" s="31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1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2"/>
        <v>20.300000000000011</v>
      </c>
      <c r="AV328" s="23">
        <f t="shared" si="167"/>
        <v>20.300000000000011</v>
      </c>
      <c r="AW328" s="310" t="s">
        <v>5647</v>
      </c>
      <c r="AX328" s="34" t="s">
        <v>5652</v>
      </c>
      <c r="AY328" s="35">
        <v>55</v>
      </c>
      <c r="AZ328" s="313">
        <v>16</v>
      </c>
      <c r="BA328" s="313">
        <f t="shared" si="165"/>
        <v>157</v>
      </c>
      <c r="BB328" s="23">
        <f t="shared" si="173"/>
        <v>86.000000000000014</v>
      </c>
      <c r="BC328" s="23">
        <f t="shared" si="175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13" t="s">
        <v>6196</v>
      </c>
      <c r="BI328" s="313" t="s">
        <v>6196</v>
      </c>
      <c r="BJ328" s="313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310" t="s">
        <v>4381</v>
      </c>
      <c r="CH328" s="313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310" t="s">
        <v>4381</v>
      </c>
      <c r="CN328" s="313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13">
        <v>355</v>
      </c>
      <c r="CU328" s="23">
        <f t="shared" si="174"/>
        <v>390.50000000000006</v>
      </c>
      <c r="CV328" s="23">
        <v>470</v>
      </c>
      <c r="CW328" s="23">
        <f t="shared" si="174"/>
        <v>517</v>
      </c>
      <c r="CX328" s="59">
        <v>200000</v>
      </c>
      <c r="CY328" s="310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13">
        <v>8.8000000000000007</v>
      </c>
      <c r="DH328" s="313">
        <v>640</v>
      </c>
      <c r="DI328" s="313">
        <v>752</v>
      </c>
      <c r="DJ328" s="313">
        <v>800</v>
      </c>
      <c r="DK328" s="313">
        <v>987</v>
      </c>
      <c r="DL328" s="97">
        <v>205000</v>
      </c>
      <c r="DM328" s="27" t="s">
        <v>5651</v>
      </c>
      <c r="DN328" s="314" t="s">
        <v>4432</v>
      </c>
      <c r="DO328" s="301" t="s">
        <v>4562</v>
      </c>
    </row>
    <row r="329" spans="1:119">
      <c r="A329" s="309">
        <v>324</v>
      </c>
      <c r="B329" s="317">
        <v>49</v>
      </c>
      <c r="C329" s="317">
        <v>2014</v>
      </c>
      <c r="D329" s="317" t="s">
        <v>5957</v>
      </c>
      <c r="E329" s="317" t="s">
        <v>5967</v>
      </c>
      <c r="F329" s="317">
        <v>2</v>
      </c>
      <c r="G329" s="317" t="s">
        <v>5962</v>
      </c>
      <c r="H329" s="317" t="s">
        <v>5958</v>
      </c>
      <c r="I329" s="317" t="s">
        <v>5673</v>
      </c>
      <c r="J329" s="283" t="s">
        <v>5960</v>
      </c>
      <c r="K329" s="309" t="s">
        <v>4380</v>
      </c>
      <c r="L329" s="311" t="s">
        <v>5786</v>
      </c>
      <c r="M329" s="309" t="s">
        <v>4505</v>
      </c>
      <c r="N329" s="311" t="s">
        <v>4699</v>
      </c>
      <c r="O329" s="17" t="s">
        <v>4503</v>
      </c>
      <c r="P329" s="311" t="s">
        <v>4417</v>
      </c>
      <c r="Q329" s="311" t="s">
        <v>4417</v>
      </c>
      <c r="R329" s="311" t="s">
        <v>4417</v>
      </c>
      <c r="S329" s="311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311" t="s">
        <v>4417</v>
      </c>
      <c r="Y329" s="311" t="s">
        <v>5786</v>
      </c>
      <c r="Z329" s="306" t="s">
        <v>4556</v>
      </c>
      <c r="AA329" s="47">
        <v>0</v>
      </c>
      <c r="AB329" s="231">
        <v>0</v>
      </c>
      <c r="AC329" s="17">
        <v>0</v>
      </c>
      <c r="AD329" s="303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3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9" t="s">
        <v>5801</v>
      </c>
      <c r="AX329" s="311" t="s">
        <v>5959</v>
      </c>
      <c r="AY329" s="16">
        <f>480/AZ329/0.25</f>
        <v>96</v>
      </c>
      <c r="AZ329" s="306">
        <v>20</v>
      </c>
      <c r="BA329" s="306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6" t="s">
        <v>6198</v>
      </c>
      <c r="BI329" s="306" t="s">
        <v>6198</v>
      </c>
      <c r="BJ329" s="306">
        <v>4</v>
      </c>
      <c r="BK329" s="306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309" t="s">
        <v>5963</v>
      </c>
      <c r="CH329" s="311">
        <v>235</v>
      </c>
      <c r="CI329" s="16">
        <v>353</v>
      </c>
      <c r="CJ329" s="311">
        <v>360</v>
      </c>
      <c r="CK329" s="16">
        <v>433</v>
      </c>
      <c r="CL329" s="64">
        <v>200000</v>
      </c>
      <c r="CM329" s="309" t="s">
        <v>5963</v>
      </c>
      <c r="CN329" s="311">
        <v>235</v>
      </c>
      <c r="CO329" s="16">
        <v>346</v>
      </c>
      <c r="CP329" s="311">
        <v>360</v>
      </c>
      <c r="CQ329" s="16">
        <v>433</v>
      </c>
      <c r="CR329" s="64">
        <v>200000</v>
      </c>
      <c r="CS329" s="309" t="s">
        <v>5964</v>
      </c>
      <c r="CT329" s="311">
        <v>355</v>
      </c>
      <c r="CU329" s="16">
        <v>366</v>
      </c>
      <c r="CV329" s="311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311">
        <v>10.9</v>
      </c>
      <c r="DH329" s="311">
        <v>900</v>
      </c>
      <c r="DI329" s="30">
        <v>990</v>
      </c>
      <c r="DJ329" s="311">
        <v>1000</v>
      </c>
      <c r="DK329" s="30">
        <v>1100</v>
      </c>
      <c r="DL329" s="74">
        <v>200000</v>
      </c>
      <c r="DM329" s="239" t="s">
        <v>5965</v>
      </c>
      <c r="DN329" s="306" t="s">
        <v>4432</v>
      </c>
      <c r="DO329" s="300" t="s">
        <v>4562</v>
      </c>
    </row>
    <row r="330" spans="1:119" ht="16.2" thickBot="1">
      <c r="A330" s="305">
        <v>325</v>
      </c>
      <c r="B330" s="319"/>
      <c r="C330" s="319"/>
      <c r="D330" s="319"/>
      <c r="E330" s="319"/>
      <c r="F330" s="319"/>
      <c r="G330" s="319"/>
      <c r="H330" s="319"/>
      <c r="I330" s="319"/>
      <c r="J330" s="284" t="s">
        <v>5961</v>
      </c>
      <c r="K330" s="305" t="s">
        <v>4380</v>
      </c>
      <c r="L330" s="308" t="s">
        <v>5786</v>
      </c>
      <c r="M330" s="305" t="s">
        <v>4505</v>
      </c>
      <c r="N330" s="308" t="s">
        <v>4699</v>
      </c>
      <c r="O330" s="49" t="s">
        <v>4503</v>
      </c>
      <c r="P330" s="308" t="s">
        <v>4417</v>
      </c>
      <c r="Q330" s="308" t="s">
        <v>4417</v>
      </c>
      <c r="R330" s="308" t="s">
        <v>4417</v>
      </c>
      <c r="S330" s="308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8" t="s">
        <v>4417</v>
      </c>
      <c r="Y330" s="308" t="s">
        <v>5786</v>
      </c>
      <c r="Z330" s="308" t="s">
        <v>4556</v>
      </c>
      <c r="AA330" s="49">
        <v>0</v>
      </c>
      <c r="AB330" s="227">
        <v>0</v>
      </c>
      <c r="AC330" s="14">
        <v>0</v>
      </c>
      <c r="AD330" s="305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5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10" t="s">
        <v>5801</v>
      </c>
      <c r="AX330" s="313" t="s">
        <v>5959</v>
      </c>
      <c r="AY330" s="23">
        <f>480/AZ330/0.25</f>
        <v>96</v>
      </c>
      <c r="AZ330" s="308">
        <v>20</v>
      </c>
      <c r="BA330" s="308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8" t="s">
        <v>6198</v>
      </c>
      <c r="BI330" s="308" t="s">
        <v>6198</v>
      </c>
      <c r="BJ330" s="308">
        <v>4</v>
      </c>
      <c r="BK330" s="308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310" t="s">
        <v>5963</v>
      </c>
      <c r="CH330" s="313">
        <v>235</v>
      </c>
      <c r="CI330" s="23">
        <v>346</v>
      </c>
      <c r="CJ330" s="313">
        <v>360</v>
      </c>
      <c r="CK330" s="23">
        <v>433</v>
      </c>
      <c r="CL330" s="68">
        <v>200000</v>
      </c>
      <c r="CM330" s="310" t="s">
        <v>5963</v>
      </c>
      <c r="CN330" s="313">
        <v>235</v>
      </c>
      <c r="CO330" s="23">
        <v>346</v>
      </c>
      <c r="CP330" s="313">
        <v>360</v>
      </c>
      <c r="CQ330" s="23">
        <v>433</v>
      </c>
      <c r="CR330" s="68">
        <v>200000</v>
      </c>
      <c r="CS330" s="310" t="s">
        <v>5964</v>
      </c>
      <c r="CT330" s="313">
        <v>355</v>
      </c>
      <c r="CU330" s="23">
        <v>366</v>
      </c>
      <c r="CV330" s="313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13">
        <v>10.9</v>
      </c>
      <c r="DH330" s="313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8" t="s">
        <v>4432</v>
      </c>
      <c r="DO330" s="302" t="s">
        <v>4562</v>
      </c>
    </row>
    <row r="331" spans="1:119">
      <c r="A331" s="309">
        <v>326</v>
      </c>
      <c r="B331" s="317">
        <v>50</v>
      </c>
      <c r="C331" s="317">
        <v>2016</v>
      </c>
      <c r="D331" s="460" t="s">
        <v>4680</v>
      </c>
      <c r="E331" s="463" t="s">
        <v>4839</v>
      </c>
      <c r="F331" s="317">
        <v>10</v>
      </c>
      <c r="G331" s="326" t="s">
        <v>5926</v>
      </c>
      <c r="H331" s="326" t="s">
        <v>5917</v>
      </c>
      <c r="I331" s="326" t="s">
        <v>6244</v>
      </c>
      <c r="J331" s="283" t="s">
        <v>4727</v>
      </c>
      <c r="K331" s="309" t="s">
        <v>4380</v>
      </c>
      <c r="L331" s="311" t="s">
        <v>5786</v>
      </c>
      <c r="M331" s="309" t="s">
        <v>4504</v>
      </c>
      <c r="N331" s="311" t="s">
        <v>4697</v>
      </c>
      <c r="O331" s="17" t="s">
        <v>4503</v>
      </c>
      <c r="P331" s="311" t="s">
        <v>4417</v>
      </c>
      <c r="Q331" s="311" t="s">
        <v>4417</v>
      </c>
      <c r="R331" s="311" t="s">
        <v>6156</v>
      </c>
      <c r="S331" s="311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311" t="s">
        <v>4417</v>
      </c>
      <c r="Y331" s="311" t="s">
        <v>5786</v>
      </c>
      <c r="Z331" s="311" t="s">
        <v>4555</v>
      </c>
      <c r="AA331" s="17">
        <v>8</v>
      </c>
      <c r="AB331" s="222">
        <v>0</v>
      </c>
      <c r="AC331" s="18">
        <v>0</v>
      </c>
      <c r="AD331" s="314" t="s">
        <v>6359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14" t="s">
        <v>6360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2"/>
        <v>25</v>
      </c>
      <c r="AV331" s="21">
        <f t="shared" si="167"/>
        <v>25</v>
      </c>
      <c r="AW331" s="309" t="s">
        <v>5801</v>
      </c>
      <c r="AX331" s="312" t="s">
        <v>4601</v>
      </c>
      <c r="AY331" s="21">
        <f t="shared" ref="AY331:AY336" si="176">300/AZ331/0.25</f>
        <v>50</v>
      </c>
      <c r="AZ331" s="312">
        <v>24</v>
      </c>
      <c r="BA331" s="312">
        <f t="shared" si="165"/>
        <v>353</v>
      </c>
      <c r="BB331" s="21">
        <v>85</v>
      </c>
      <c r="BC331" s="21">
        <f t="shared" si="170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12" t="s">
        <v>6196</v>
      </c>
      <c r="BI331" s="312" t="s">
        <v>6196</v>
      </c>
      <c r="BJ331" s="312">
        <v>2</v>
      </c>
      <c r="BK331" s="312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77">(328.8+351.7)/2</f>
        <v>340.25</v>
      </c>
      <c r="CJ331" s="21">
        <v>505</v>
      </c>
      <c r="CK331" s="21">
        <f t="shared" ref="CK331:CK336" si="178">(524.7+522.8)/2</f>
        <v>523.75</v>
      </c>
      <c r="CL331" s="67">
        <f t="shared" ref="CL331:CL336" si="179">(191700+202100)/2</f>
        <v>196900</v>
      </c>
      <c r="CM331" s="133" t="s">
        <v>5658</v>
      </c>
      <c r="CN331" s="58">
        <v>300</v>
      </c>
      <c r="CO331" s="46">
        <f t="shared" ref="CO331:CO336" si="180">(352.2+398.8)/2</f>
        <v>375.5</v>
      </c>
      <c r="CP331" s="46">
        <v>505</v>
      </c>
      <c r="CQ331" s="21">
        <f t="shared" ref="CQ331:CQ336" si="181">(530.6+551.4)/2</f>
        <v>541</v>
      </c>
      <c r="CR331" s="67">
        <f t="shared" ref="CR331:CR336" si="182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12">
        <v>8.8000000000000007</v>
      </c>
      <c r="DH331" s="312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311" t="s">
        <v>4432</v>
      </c>
      <c r="DO331" s="300" t="s">
        <v>4562</v>
      </c>
    </row>
    <row r="332" spans="1:119" ht="15.6" customHeight="1">
      <c r="A332" s="314">
        <v>327</v>
      </c>
      <c r="B332" s="318"/>
      <c r="C332" s="318"/>
      <c r="D332" s="461"/>
      <c r="E332" s="464"/>
      <c r="F332" s="318"/>
      <c r="G332" s="327"/>
      <c r="H332" s="327"/>
      <c r="I332" s="327"/>
      <c r="J332" s="285" t="s">
        <v>4728</v>
      </c>
      <c r="K332" s="314" t="s">
        <v>4380</v>
      </c>
      <c r="L332" s="312" t="s">
        <v>5786</v>
      </c>
      <c r="M332" s="314" t="s">
        <v>4504</v>
      </c>
      <c r="N332" s="312" t="s">
        <v>4697</v>
      </c>
      <c r="O332" s="18" t="s">
        <v>4503</v>
      </c>
      <c r="P332" s="312" t="s">
        <v>4467</v>
      </c>
      <c r="Q332" s="312" t="s">
        <v>4417</v>
      </c>
      <c r="R332" s="312" t="s">
        <v>6156</v>
      </c>
      <c r="S332" s="312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12" t="s">
        <v>4417</v>
      </c>
      <c r="Y332" s="312" t="s">
        <v>5786</v>
      </c>
      <c r="Z332" s="312" t="s">
        <v>4555</v>
      </c>
      <c r="AA332" s="18">
        <v>8</v>
      </c>
      <c r="AB332" s="222">
        <v>0</v>
      </c>
      <c r="AC332" s="18">
        <v>0</v>
      </c>
      <c r="AD332" s="314" t="s">
        <v>6359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14" t="s">
        <v>6360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2"/>
        <v>25</v>
      </c>
      <c r="AV332" s="21">
        <f t="shared" si="167"/>
        <v>25</v>
      </c>
      <c r="AW332" s="314" t="s">
        <v>5801</v>
      </c>
      <c r="AX332" s="312" t="s">
        <v>4601</v>
      </c>
      <c r="AY332" s="21">
        <f t="shared" si="176"/>
        <v>50</v>
      </c>
      <c r="AZ332" s="312">
        <v>24</v>
      </c>
      <c r="BA332" s="312">
        <f t="shared" si="165"/>
        <v>353</v>
      </c>
      <c r="BB332" s="21">
        <v>85</v>
      </c>
      <c r="BC332" s="21">
        <f t="shared" si="170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12" t="s">
        <v>6196</v>
      </c>
      <c r="BI332" s="312" t="s">
        <v>6196</v>
      </c>
      <c r="BJ332" s="312">
        <v>2</v>
      </c>
      <c r="BK332" s="312">
        <v>4</v>
      </c>
      <c r="BL332" s="314">
        <v>120</v>
      </c>
      <c r="BM332" s="312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314" t="s">
        <v>5851</v>
      </c>
      <c r="BU332" s="312">
        <v>6</v>
      </c>
      <c r="BV332" s="312">
        <v>2</v>
      </c>
      <c r="BW332" s="312">
        <v>20</v>
      </c>
      <c r="BX332" s="312">
        <v>120</v>
      </c>
      <c r="BY332" s="312">
        <v>120</v>
      </c>
      <c r="BZ332" s="18">
        <v>525</v>
      </c>
      <c r="CA332" s="312" t="s">
        <v>4582</v>
      </c>
      <c r="CB332" s="312" t="s">
        <v>4598</v>
      </c>
      <c r="CC332" s="21">
        <f t="shared" ref="CC332:CC333" si="183">((BM332/150)+1)*PI()*10^2/4</f>
        <v>654.49846949787343</v>
      </c>
      <c r="CD332" s="21">
        <f>6*PI()*16^2/4</f>
        <v>1206.3715789784806</v>
      </c>
      <c r="CE332" s="312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77"/>
        <v>340.25</v>
      </c>
      <c r="CJ332" s="21">
        <v>505</v>
      </c>
      <c r="CK332" s="21">
        <f t="shared" si="178"/>
        <v>523.75</v>
      </c>
      <c r="CL332" s="67">
        <f t="shared" si="179"/>
        <v>196900</v>
      </c>
      <c r="CM332" s="133" t="s">
        <v>5658</v>
      </c>
      <c r="CN332" s="58">
        <v>300</v>
      </c>
      <c r="CO332" s="46">
        <f t="shared" si="180"/>
        <v>375.5</v>
      </c>
      <c r="CP332" s="46">
        <v>505</v>
      </c>
      <c r="CQ332" s="21">
        <f t="shared" si="181"/>
        <v>541</v>
      </c>
      <c r="CR332" s="67">
        <f t="shared" si="182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12">
        <v>8.8000000000000007</v>
      </c>
      <c r="DH332" s="312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12" t="s">
        <v>4432</v>
      </c>
      <c r="DO332" s="301" t="s">
        <v>4562</v>
      </c>
    </row>
    <row r="333" spans="1:119" ht="15.6" customHeight="1">
      <c r="A333" s="314">
        <v>328</v>
      </c>
      <c r="B333" s="318"/>
      <c r="C333" s="318"/>
      <c r="D333" s="461"/>
      <c r="E333" s="464"/>
      <c r="F333" s="318"/>
      <c r="G333" s="327"/>
      <c r="H333" s="327"/>
      <c r="I333" s="327"/>
      <c r="J333" s="285" t="s">
        <v>4729</v>
      </c>
      <c r="K333" s="314" t="s">
        <v>4380</v>
      </c>
      <c r="L333" s="312" t="s">
        <v>5786</v>
      </c>
      <c r="M333" s="314" t="s">
        <v>4504</v>
      </c>
      <c r="N333" s="312" t="s">
        <v>4697</v>
      </c>
      <c r="O333" s="18" t="s">
        <v>4503</v>
      </c>
      <c r="P333" s="312" t="s">
        <v>4467</v>
      </c>
      <c r="Q333" s="312" t="s">
        <v>4417</v>
      </c>
      <c r="R333" s="312" t="s">
        <v>6156</v>
      </c>
      <c r="S333" s="312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12" t="s">
        <v>4417</v>
      </c>
      <c r="Y333" s="312" t="s">
        <v>5786</v>
      </c>
      <c r="Z333" s="312" t="s">
        <v>4555</v>
      </c>
      <c r="AA333" s="18">
        <v>8</v>
      </c>
      <c r="AB333" s="222">
        <v>0</v>
      </c>
      <c r="AC333" s="18">
        <v>0</v>
      </c>
      <c r="AD333" s="314" t="s">
        <v>6359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14" t="s">
        <v>6360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2"/>
        <v>25</v>
      </c>
      <c r="AV333" s="21">
        <f t="shared" si="167"/>
        <v>25</v>
      </c>
      <c r="AW333" s="314" t="s">
        <v>5801</v>
      </c>
      <c r="AX333" s="312" t="s">
        <v>4601</v>
      </c>
      <c r="AY333" s="21">
        <f t="shared" si="176"/>
        <v>50</v>
      </c>
      <c r="AZ333" s="312">
        <v>24</v>
      </c>
      <c r="BA333" s="312">
        <f t="shared" si="165"/>
        <v>353</v>
      </c>
      <c r="BB333" s="21">
        <v>85</v>
      </c>
      <c r="BC333" s="21">
        <f t="shared" si="170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12" t="s">
        <v>6196</v>
      </c>
      <c r="BI333" s="312" t="s">
        <v>6196</v>
      </c>
      <c r="BJ333" s="312">
        <v>2</v>
      </c>
      <c r="BK333" s="312">
        <v>4</v>
      </c>
      <c r="BL333" s="314">
        <v>120</v>
      </c>
      <c r="BM333" s="312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314" t="s">
        <v>5851</v>
      </c>
      <c r="BU333" s="312">
        <v>4</v>
      </c>
      <c r="BV333" s="312">
        <v>2</v>
      </c>
      <c r="BW333" s="312">
        <v>16</v>
      </c>
      <c r="BX333" s="312">
        <v>120</v>
      </c>
      <c r="BY333" s="312">
        <v>120</v>
      </c>
      <c r="BZ333" s="18">
        <v>1050</v>
      </c>
      <c r="CA333" s="312" t="s">
        <v>4582</v>
      </c>
      <c r="CB333" s="312" t="s">
        <v>4581</v>
      </c>
      <c r="CC333" s="21">
        <f t="shared" si="183"/>
        <v>654.49846949787343</v>
      </c>
      <c r="CD333" s="21">
        <f>4*PI()*16^2/4+2*PI()*10^2/4</f>
        <v>961.32735199847673</v>
      </c>
      <c r="CE333" s="312">
        <v>30</v>
      </c>
      <c r="CF333" s="118">
        <f t="shared" ref="CF333:CF340" si="184">CD333/BL333/BM333</f>
        <v>7.2827829696854307E-3</v>
      </c>
      <c r="CG333" s="58" t="s">
        <v>5658</v>
      </c>
      <c r="CH333" s="58">
        <v>300</v>
      </c>
      <c r="CI333" s="46">
        <f t="shared" si="177"/>
        <v>340.25</v>
      </c>
      <c r="CJ333" s="21">
        <v>505</v>
      </c>
      <c r="CK333" s="21">
        <f t="shared" si="178"/>
        <v>523.75</v>
      </c>
      <c r="CL333" s="67">
        <f t="shared" si="179"/>
        <v>196900</v>
      </c>
      <c r="CM333" s="133" t="s">
        <v>5658</v>
      </c>
      <c r="CN333" s="58">
        <v>300</v>
      </c>
      <c r="CO333" s="46">
        <f t="shared" si="180"/>
        <v>375.5</v>
      </c>
      <c r="CP333" s="46">
        <v>505</v>
      </c>
      <c r="CQ333" s="21">
        <f t="shared" si="181"/>
        <v>541</v>
      </c>
      <c r="CR333" s="67">
        <f t="shared" si="182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12">
        <v>8.8000000000000007</v>
      </c>
      <c r="DH333" s="312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314" t="s">
        <v>4432</v>
      </c>
      <c r="DO333" s="301" t="s">
        <v>4562</v>
      </c>
    </row>
    <row r="334" spans="1:119">
      <c r="A334" s="314">
        <v>329</v>
      </c>
      <c r="B334" s="318"/>
      <c r="C334" s="318"/>
      <c r="D334" s="461"/>
      <c r="E334" s="464"/>
      <c r="F334" s="318"/>
      <c r="G334" s="327"/>
      <c r="H334" s="327"/>
      <c r="I334" s="327"/>
      <c r="J334" s="285" t="s">
        <v>4730</v>
      </c>
      <c r="K334" s="314" t="s">
        <v>4380</v>
      </c>
      <c r="L334" s="312" t="s">
        <v>5786</v>
      </c>
      <c r="M334" s="314" t="s">
        <v>4504</v>
      </c>
      <c r="N334" s="312" t="s">
        <v>4698</v>
      </c>
      <c r="O334" s="18" t="s">
        <v>4503</v>
      </c>
      <c r="P334" s="312" t="s">
        <v>4417</v>
      </c>
      <c r="Q334" s="312" t="s">
        <v>4467</v>
      </c>
      <c r="R334" s="312" t="s">
        <v>4417</v>
      </c>
      <c r="S334" s="312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12" t="s">
        <v>4417</v>
      </c>
      <c r="Y334" s="312" t="s">
        <v>5786</v>
      </c>
      <c r="Z334" s="312" t="s">
        <v>4555</v>
      </c>
      <c r="AA334" s="18">
        <v>8</v>
      </c>
      <c r="AB334" s="222">
        <v>0</v>
      </c>
      <c r="AC334" s="18">
        <v>0</v>
      </c>
      <c r="AD334" s="314" t="s">
        <v>6361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14" t="s">
        <v>6360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2"/>
        <v>25</v>
      </c>
      <c r="AV334" s="21">
        <f t="shared" si="167"/>
        <v>25</v>
      </c>
      <c r="AW334" s="314" t="s">
        <v>5653</v>
      </c>
      <c r="AX334" s="312" t="s">
        <v>4601</v>
      </c>
      <c r="AY334" s="21">
        <f t="shared" si="176"/>
        <v>60</v>
      </c>
      <c r="AZ334" s="312">
        <v>20</v>
      </c>
      <c r="BA334" s="312">
        <f t="shared" si="165"/>
        <v>245</v>
      </c>
      <c r="BB334" s="21">
        <v>95</v>
      </c>
      <c r="BC334" s="21">
        <f t="shared" si="170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12" t="s">
        <v>6196</v>
      </c>
      <c r="BI334" s="312" t="s">
        <v>6196</v>
      </c>
      <c r="BJ334" s="312">
        <v>2</v>
      </c>
      <c r="BK334" s="312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77"/>
        <v>340.25</v>
      </c>
      <c r="CJ334" s="21">
        <v>505</v>
      </c>
      <c r="CK334" s="21">
        <f t="shared" si="178"/>
        <v>523.75</v>
      </c>
      <c r="CL334" s="67">
        <f t="shared" si="179"/>
        <v>196900</v>
      </c>
      <c r="CM334" s="133" t="s">
        <v>5658</v>
      </c>
      <c r="CN334" s="58">
        <v>300</v>
      </c>
      <c r="CO334" s="46">
        <f t="shared" si="180"/>
        <v>375.5</v>
      </c>
      <c r="CP334" s="46">
        <v>505</v>
      </c>
      <c r="CQ334" s="21">
        <f t="shared" si="181"/>
        <v>541</v>
      </c>
      <c r="CR334" s="67">
        <f t="shared" si="182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12">
        <v>8.8000000000000007</v>
      </c>
      <c r="DH334" s="312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314" t="s">
        <v>4432</v>
      </c>
      <c r="DO334" s="301" t="s">
        <v>4562</v>
      </c>
    </row>
    <row r="335" spans="1:119">
      <c r="A335" s="314">
        <v>330</v>
      </c>
      <c r="B335" s="318"/>
      <c r="C335" s="318"/>
      <c r="D335" s="461"/>
      <c r="E335" s="464"/>
      <c r="F335" s="318"/>
      <c r="G335" s="327"/>
      <c r="H335" s="327"/>
      <c r="I335" s="327"/>
      <c r="J335" s="285" t="s">
        <v>4731</v>
      </c>
      <c r="K335" s="314" t="s">
        <v>4380</v>
      </c>
      <c r="L335" s="312" t="s">
        <v>5786</v>
      </c>
      <c r="M335" s="314" t="s">
        <v>4504</v>
      </c>
      <c r="N335" s="312" t="s">
        <v>4698</v>
      </c>
      <c r="O335" s="18" t="s">
        <v>4503</v>
      </c>
      <c r="P335" s="312" t="s">
        <v>6326</v>
      </c>
      <c r="Q335" s="312" t="s">
        <v>4467</v>
      </c>
      <c r="R335" s="312" t="s">
        <v>4417</v>
      </c>
      <c r="S335" s="312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12" t="s">
        <v>4417</v>
      </c>
      <c r="Y335" s="312" t="s">
        <v>5786</v>
      </c>
      <c r="Z335" s="312" t="s">
        <v>4555</v>
      </c>
      <c r="AA335" s="18">
        <v>8</v>
      </c>
      <c r="AB335" s="222">
        <v>0</v>
      </c>
      <c r="AC335" s="18">
        <v>0</v>
      </c>
      <c r="AD335" s="314" t="s">
        <v>6361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14" t="s">
        <v>6360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2"/>
        <v>25</v>
      </c>
      <c r="AV335" s="21">
        <f t="shared" si="167"/>
        <v>25</v>
      </c>
      <c r="AW335" s="314" t="s">
        <v>5653</v>
      </c>
      <c r="AX335" s="312" t="s">
        <v>4601</v>
      </c>
      <c r="AY335" s="21">
        <f t="shared" si="176"/>
        <v>60</v>
      </c>
      <c r="AZ335" s="312">
        <v>20</v>
      </c>
      <c r="BA335" s="312">
        <f t="shared" si="165"/>
        <v>245</v>
      </c>
      <c r="BB335" s="21">
        <v>95</v>
      </c>
      <c r="BC335" s="21">
        <f t="shared" si="170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12" t="s">
        <v>6196</v>
      </c>
      <c r="BI335" s="312" t="s">
        <v>6196</v>
      </c>
      <c r="BJ335" s="312">
        <v>2</v>
      </c>
      <c r="BK335" s="312">
        <v>6</v>
      </c>
      <c r="BL335" s="314">
        <v>120</v>
      </c>
      <c r="BM335" s="312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314" t="s">
        <v>5851</v>
      </c>
      <c r="BU335" s="312">
        <v>6</v>
      </c>
      <c r="BV335" s="312">
        <v>2</v>
      </c>
      <c r="BW335" s="312">
        <v>20</v>
      </c>
      <c r="BX335" s="312">
        <v>120</v>
      </c>
      <c r="BY335" s="312">
        <v>120</v>
      </c>
      <c r="BZ335" s="18">
        <v>550</v>
      </c>
      <c r="CA335" s="312" t="s">
        <v>4582</v>
      </c>
      <c r="CB335" s="312" t="s">
        <v>4581</v>
      </c>
      <c r="CC335" s="21">
        <f t="shared" ref="CC335:CC339" si="185">((BM335/150)+1)*PI()*10^2/4</f>
        <v>654.49846949787343</v>
      </c>
      <c r="CD335" s="21">
        <f t="shared" ref="CD335:CD340" si="186">4*PI()*16^2/4+2*PI()*10^2/4</f>
        <v>961.32735199847673</v>
      </c>
      <c r="CE335" s="312">
        <v>30</v>
      </c>
      <c r="CF335" s="118">
        <f t="shared" si="184"/>
        <v>7.2827829696854307E-3</v>
      </c>
      <c r="CG335" s="58" t="s">
        <v>5658</v>
      </c>
      <c r="CH335" s="58">
        <v>300</v>
      </c>
      <c r="CI335" s="46">
        <f t="shared" si="177"/>
        <v>340.25</v>
      </c>
      <c r="CJ335" s="21">
        <v>505</v>
      </c>
      <c r="CK335" s="21">
        <f t="shared" si="178"/>
        <v>523.75</v>
      </c>
      <c r="CL335" s="67">
        <f t="shared" si="179"/>
        <v>196900</v>
      </c>
      <c r="CM335" s="133" t="s">
        <v>5658</v>
      </c>
      <c r="CN335" s="58">
        <v>300</v>
      </c>
      <c r="CO335" s="46">
        <f t="shared" si="180"/>
        <v>375.5</v>
      </c>
      <c r="CP335" s="46">
        <v>505</v>
      </c>
      <c r="CQ335" s="21">
        <f t="shared" si="181"/>
        <v>541</v>
      </c>
      <c r="CR335" s="67">
        <f t="shared" si="182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12">
        <v>8.8000000000000007</v>
      </c>
      <c r="DH335" s="312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314" t="s">
        <v>4432</v>
      </c>
      <c r="DO335" s="301" t="s">
        <v>4562</v>
      </c>
    </row>
    <row r="336" spans="1:119">
      <c r="A336" s="314">
        <v>331</v>
      </c>
      <c r="B336" s="318"/>
      <c r="C336" s="318"/>
      <c r="D336" s="461"/>
      <c r="E336" s="464"/>
      <c r="F336" s="318"/>
      <c r="G336" s="327"/>
      <c r="H336" s="327"/>
      <c r="I336" s="327"/>
      <c r="J336" s="285" t="s">
        <v>4732</v>
      </c>
      <c r="K336" s="314" t="s">
        <v>4380</v>
      </c>
      <c r="L336" s="312" t="s">
        <v>5786</v>
      </c>
      <c r="M336" s="314" t="s">
        <v>4504</v>
      </c>
      <c r="N336" s="312" t="s">
        <v>4698</v>
      </c>
      <c r="O336" s="18" t="s">
        <v>4503</v>
      </c>
      <c r="P336" s="312" t="s">
        <v>6326</v>
      </c>
      <c r="Q336" s="312" t="s">
        <v>4467</v>
      </c>
      <c r="R336" s="312" t="s">
        <v>4417</v>
      </c>
      <c r="S336" s="312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12" t="s">
        <v>4417</v>
      </c>
      <c r="Y336" s="312" t="s">
        <v>5786</v>
      </c>
      <c r="Z336" s="312" t="s">
        <v>4555</v>
      </c>
      <c r="AA336" s="18">
        <v>8</v>
      </c>
      <c r="AB336" s="222">
        <v>0</v>
      </c>
      <c r="AC336" s="18">
        <v>0</v>
      </c>
      <c r="AD336" s="314" t="s">
        <v>6361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14" t="s">
        <v>6360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2"/>
        <v>25</v>
      </c>
      <c r="AV336" s="21">
        <f t="shared" si="167"/>
        <v>25</v>
      </c>
      <c r="AW336" s="314" t="s">
        <v>5653</v>
      </c>
      <c r="AX336" s="312" t="s">
        <v>4601</v>
      </c>
      <c r="AY336" s="21">
        <f t="shared" si="176"/>
        <v>60</v>
      </c>
      <c r="AZ336" s="312">
        <v>20</v>
      </c>
      <c r="BA336" s="312">
        <f t="shared" si="165"/>
        <v>245</v>
      </c>
      <c r="BB336" s="21">
        <v>95</v>
      </c>
      <c r="BC336" s="21">
        <f t="shared" si="170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12" t="s">
        <v>6196</v>
      </c>
      <c r="BI336" s="312" t="s">
        <v>6196</v>
      </c>
      <c r="BJ336" s="312">
        <v>2</v>
      </c>
      <c r="BK336" s="312">
        <v>6</v>
      </c>
      <c r="BL336" s="314">
        <v>120</v>
      </c>
      <c r="BM336" s="312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314" t="s">
        <v>5851</v>
      </c>
      <c r="BU336" s="312">
        <v>6</v>
      </c>
      <c r="BV336" s="312">
        <v>2</v>
      </c>
      <c r="BW336" s="312">
        <v>16</v>
      </c>
      <c r="BX336" s="312">
        <v>120</v>
      </c>
      <c r="BY336" s="312">
        <v>120</v>
      </c>
      <c r="BZ336" s="18">
        <v>550</v>
      </c>
      <c r="CA336" s="312" t="s">
        <v>4582</v>
      </c>
      <c r="CB336" s="312" t="s">
        <v>4581</v>
      </c>
      <c r="CC336" s="21">
        <f t="shared" si="185"/>
        <v>654.49846949787343</v>
      </c>
      <c r="CD336" s="21">
        <f t="shared" si="186"/>
        <v>961.32735199847673</v>
      </c>
      <c r="CE336" s="312">
        <v>30</v>
      </c>
      <c r="CF336" s="118">
        <f t="shared" si="184"/>
        <v>7.2827829696854307E-3</v>
      </c>
      <c r="CG336" s="58" t="s">
        <v>5658</v>
      </c>
      <c r="CH336" s="58">
        <v>300</v>
      </c>
      <c r="CI336" s="46">
        <f t="shared" si="177"/>
        <v>340.25</v>
      </c>
      <c r="CJ336" s="21">
        <v>505</v>
      </c>
      <c r="CK336" s="21">
        <f t="shared" si="178"/>
        <v>523.75</v>
      </c>
      <c r="CL336" s="67">
        <f t="shared" si="179"/>
        <v>196900</v>
      </c>
      <c r="CM336" s="133" t="s">
        <v>5658</v>
      </c>
      <c r="CN336" s="58">
        <v>300</v>
      </c>
      <c r="CO336" s="46">
        <f t="shared" si="180"/>
        <v>375.5</v>
      </c>
      <c r="CP336" s="46">
        <v>505</v>
      </c>
      <c r="CQ336" s="21">
        <f t="shared" si="181"/>
        <v>541</v>
      </c>
      <c r="CR336" s="67">
        <f t="shared" si="182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12">
        <v>8.8000000000000007</v>
      </c>
      <c r="DH336" s="312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314" t="s">
        <v>4432</v>
      </c>
      <c r="DO336" s="301" t="s">
        <v>4562</v>
      </c>
    </row>
    <row r="337" spans="1:119">
      <c r="A337" s="314">
        <v>332</v>
      </c>
      <c r="B337" s="318"/>
      <c r="C337" s="318"/>
      <c r="D337" s="461"/>
      <c r="E337" s="464"/>
      <c r="F337" s="318"/>
      <c r="G337" s="327"/>
      <c r="H337" s="327"/>
      <c r="I337" s="327"/>
      <c r="J337" s="285" t="s">
        <v>4733</v>
      </c>
      <c r="K337" s="314" t="s">
        <v>4380</v>
      </c>
      <c r="L337" s="312" t="s">
        <v>5786</v>
      </c>
      <c r="M337" s="314" t="s">
        <v>4504</v>
      </c>
      <c r="N337" s="312" t="s">
        <v>4698</v>
      </c>
      <c r="O337" s="18" t="s">
        <v>4503</v>
      </c>
      <c r="P337" s="312" t="s">
        <v>6326</v>
      </c>
      <c r="Q337" s="312" t="s">
        <v>4467</v>
      </c>
      <c r="R337" s="312" t="s">
        <v>4417</v>
      </c>
      <c r="S337" s="312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12" t="s">
        <v>4417</v>
      </c>
      <c r="Y337" s="312" t="s">
        <v>5786</v>
      </c>
      <c r="Z337" s="312" t="s">
        <v>4555</v>
      </c>
      <c r="AA337" s="18">
        <v>8</v>
      </c>
      <c r="AB337" s="222">
        <v>0</v>
      </c>
      <c r="AC337" s="18">
        <v>0</v>
      </c>
      <c r="AD337" s="314" t="s">
        <v>6361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14" t="s">
        <v>6360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2"/>
        <v>25</v>
      </c>
      <c r="AV337" s="21">
        <f t="shared" si="167"/>
        <v>25</v>
      </c>
      <c r="AW337" s="314" t="s">
        <v>5653</v>
      </c>
      <c r="AX337" s="312" t="s">
        <v>4497</v>
      </c>
      <c r="AY337" s="21">
        <v>145</v>
      </c>
      <c r="AZ337" s="312">
        <v>20</v>
      </c>
      <c r="BA337" s="312">
        <f t="shared" si="165"/>
        <v>245</v>
      </c>
      <c r="BB337" s="21">
        <v>95</v>
      </c>
      <c r="BC337" s="21">
        <f t="shared" si="170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12" t="s">
        <v>6196</v>
      </c>
      <c r="BI337" s="312" t="s">
        <v>6196</v>
      </c>
      <c r="BJ337" s="312">
        <v>2</v>
      </c>
      <c r="BK337" s="312">
        <v>6</v>
      </c>
      <c r="BL337" s="314">
        <v>120</v>
      </c>
      <c r="BM337" s="312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314" t="s">
        <v>5851</v>
      </c>
      <c r="BU337" s="312">
        <v>6</v>
      </c>
      <c r="BV337" s="312">
        <v>2</v>
      </c>
      <c r="BW337" s="312">
        <v>20</v>
      </c>
      <c r="BX337" s="312">
        <v>120</v>
      </c>
      <c r="BY337" s="312">
        <v>120</v>
      </c>
      <c r="BZ337" s="18">
        <v>550</v>
      </c>
      <c r="CA337" s="312" t="s">
        <v>4582</v>
      </c>
      <c r="CB337" s="312" t="s">
        <v>4581</v>
      </c>
      <c r="CC337" s="21">
        <f t="shared" si="185"/>
        <v>654.49846949787343</v>
      </c>
      <c r="CD337" s="21">
        <f t="shared" si="186"/>
        <v>961.32735199847673</v>
      </c>
      <c r="CE337" s="312">
        <v>30</v>
      </c>
      <c r="CF337" s="118">
        <f t="shared" si="184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12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12">
        <v>8.8000000000000007</v>
      </c>
      <c r="DH337" s="312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314" t="s">
        <v>4432</v>
      </c>
      <c r="DO337" s="301" t="s">
        <v>4562</v>
      </c>
    </row>
    <row r="338" spans="1:119" ht="15.6" customHeight="1">
      <c r="A338" s="314">
        <v>333</v>
      </c>
      <c r="B338" s="318"/>
      <c r="C338" s="318"/>
      <c r="D338" s="461"/>
      <c r="E338" s="464"/>
      <c r="F338" s="318"/>
      <c r="G338" s="327"/>
      <c r="H338" s="327"/>
      <c r="I338" s="327"/>
      <c r="J338" s="285" t="s">
        <v>4734</v>
      </c>
      <c r="K338" s="314" t="s">
        <v>4380</v>
      </c>
      <c r="L338" s="312" t="s">
        <v>5786</v>
      </c>
      <c r="M338" s="314" t="s">
        <v>4504</v>
      </c>
      <c r="N338" s="312" t="s">
        <v>4698</v>
      </c>
      <c r="O338" s="18" t="s">
        <v>4503</v>
      </c>
      <c r="P338" s="312" t="s">
        <v>6326</v>
      </c>
      <c r="Q338" s="312" t="s">
        <v>4467</v>
      </c>
      <c r="R338" s="312" t="s">
        <v>4417</v>
      </c>
      <c r="S338" s="312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12" t="s">
        <v>4417</v>
      </c>
      <c r="Y338" s="312" t="s">
        <v>5786</v>
      </c>
      <c r="Z338" s="312" t="s">
        <v>4555</v>
      </c>
      <c r="AA338" s="18">
        <v>8</v>
      </c>
      <c r="AB338" s="222">
        <v>0</v>
      </c>
      <c r="AC338" s="18">
        <v>0</v>
      </c>
      <c r="AD338" s="314" t="s">
        <v>6361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14" t="s">
        <v>6360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2"/>
        <v>25</v>
      </c>
      <c r="AV338" s="21">
        <f t="shared" si="167"/>
        <v>25</v>
      </c>
      <c r="AW338" s="314" t="s">
        <v>5653</v>
      </c>
      <c r="AX338" s="312" t="s">
        <v>4497</v>
      </c>
      <c r="AY338" s="21">
        <v>95</v>
      </c>
      <c r="AZ338" s="312">
        <v>20</v>
      </c>
      <c r="BA338" s="312">
        <f t="shared" si="165"/>
        <v>245</v>
      </c>
      <c r="BB338" s="21">
        <v>95</v>
      </c>
      <c r="BC338" s="21">
        <f t="shared" si="170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12" t="s">
        <v>6196</v>
      </c>
      <c r="BI338" s="312" t="s">
        <v>6196</v>
      </c>
      <c r="BJ338" s="312">
        <v>2</v>
      </c>
      <c r="BK338" s="312">
        <v>6</v>
      </c>
      <c r="BL338" s="314">
        <v>120</v>
      </c>
      <c r="BM338" s="312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314" t="s">
        <v>5851</v>
      </c>
      <c r="BU338" s="312">
        <v>6</v>
      </c>
      <c r="BV338" s="312">
        <v>2</v>
      </c>
      <c r="BW338" s="312">
        <v>16</v>
      </c>
      <c r="BX338" s="312">
        <v>120</v>
      </c>
      <c r="BY338" s="312">
        <v>120</v>
      </c>
      <c r="BZ338" s="18">
        <v>550</v>
      </c>
      <c r="CA338" s="312" t="s">
        <v>4582</v>
      </c>
      <c r="CB338" s="312" t="s">
        <v>4581</v>
      </c>
      <c r="CC338" s="21">
        <f t="shared" si="185"/>
        <v>654.49846949787343</v>
      </c>
      <c r="CD338" s="21">
        <f t="shared" si="186"/>
        <v>961.32735199847673</v>
      </c>
      <c r="CE338" s="312">
        <v>30</v>
      </c>
      <c r="CF338" s="118">
        <f t="shared" si="184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12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12">
        <v>8.8000000000000007</v>
      </c>
      <c r="DH338" s="312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314" t="s">
        <v>4432</v>
      </c>
      <c r="DO338" s="301" t="s">
        <v>4562</v>
      </c>
    </row>
    <row r="339" spans="1:119" ht="15.6" customHeight="1">
      <c r="A339" s="314">
        <v>334</v>
      </c>
      <c r="B339" s="318"/>
      <c r="C339" s="318"/>
      <c r="D339" s="461"/>
      <c r="E339" s="464"/>
      <c r="F339" s="318"/>
      <c r="G339" s="327"/>
      <c r="H339" s="327"/>
      <c r="I339" s="327"/>
      <c r="J339" s="285" t="s">
        <v>4735</v>
      </c>
      <c r="K339" s="314" t="s">
        <v>4380</v>
      </c>
      <c r="L339" s="312" t="s">
        <v>5786</v>
      </c>
      <c r="M339" s="314" t="s">
        <v>4504</v>
      </c>
      <c r="N339" s="312" t="s">
        <v>4698</v>
      </c>
      <c r="O339" s="18" t="s">
        <v>4503</v>
      </c>
      <c r="P339" s="312" t="s">
        <v>6326</v>
      </c>
      <c r="Q339" s="312" t="s">
        <v>4417</v>
      </c>
      <c r="R339" s="312" t="s">
        <v>4417</v>
      </c>
      <c r="S339" s="312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12" t="s">
        <v>4417</v>
      </c>
      <c r="Y339" s="312" t="s">
        <v>5786</v>
      </c>
      <c r="Z339" s="312" t="s">
        <v>4555</v>
      </c>
      <c r="AA339" s="18">
        <v>8</v>
      </c>
      <c r="AB339" s="222">
        <v>0</v>
      </c>
      <c r="AC339" s="18">
        <v>0</v>
      </c>
      <c r="AD339" s="314" t="s">
        <v>6359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14" t="s">
        <v>6360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2"/>
        <v>25</v>
      </c>
      <c r="AV339" s="21">
        <f t="shared" si="167"/>
        <v>25</v>
      </c>
      <c r="AW339" s="314" t="s">
        <v>5801</v>
      </c>
      <c r="AX339" s="312" t="s">
        <v>4497</v>
      </c>
      <c r="AY339" s="21">
        <v>95</v>
      </c>
      <c r="AZ339" s="312">
        <v>24</v>
      </c>
      <c r="BA339" s="312">
        <f t="shared" si="165"/>
        <v>353</v>
      </c>
      <c r="BB339" s="21">
        <v>95</v>
      </c>
      <c r="BC339" s="21">
        <f t="shared" si="170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6326</v>
      </c>
      <c r="BH339" s="312" t="s">
        <v>6196</v>
      </c>
      <c r="BI339" s="312" t="s">
        <v>6196</v>
      </c>
      <c r="BJ339" s="312">
        <v>2</v>
      </c>
      <c r="BK339" s="312">
        <v>4</v>
      </c>
      <c r="BL339" s="314">
        <v>120</v>
      </c>
      <c r="BM339" s="312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314" t="s">
        <v>5851</v>
      </c>
      <c r="BU339" s="312">
        <v>4</v>
      </c>
      <c r="BV339" s="312">
        <v>2</v>
      </c>
      <c r="BW339" s="312">
        <v>16</v>
      </c>
      <c r="BX339" s="312">
        <v>120</v>
      </c>
      <c r="BY339" s="312">
        <v>120</v>
      </c>
      <c r="BZ339" s="18">
        <v>550</v>
      </c>
      <c r="CA339" s="312" t="s">
        <v>4582</v>
      </c>
      <c r="CB339" s="312" t="s">
        <v>4581</v>
      </c>
      <c r="CC339" s="21">
        <f t="shared" si="185"/>
        <v>654.49846949787343</v>
      </c>
      <c r="CD339" s="21">
        <f t="shared" si="186"/>
        <v>961.32735199847673</v>
      </c>
      <c r="CE339" s="312">
        <v>30</v>
      </c>
      <c r="CF339" s="118">
        <f t="shared" si="184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12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12">
        <v>10.9</v>
      </c>
      <c r="DH339" s="312">
        <v>900</v>
      </c>
      <c r="DI339" s="32">
        <v>990</v>
      </c>
      <c r="DJ339" s="312">
        <v>1000</v>
      </c>
      <c r="DK339" s="32">
        <v>1100</v>
      </c>
      <c r="DL339" s="59">
        <v>200000</v>
      </c>
      <c r="DM339" s="29" t="s">
        <v>5849</v>
      </c>
      <c r="DN339" s="314" t="s">
        <v>4432</v>
      </c>
      <c r="DO339" s="301" t="s">
        <v>4562</v>
      </c>
    </row>
    <row r="340" spans="1:119" ht="16.2" thickBot="1">
      <c r="A340" s="310">
        <v>335</v>
      </c>
      <c r="B340" s="319"/>
      <c r="C340" s="319"/>
      <c r="D340" s="462"/>
      <c r="E340" s="465"/>
      <c r="F340" s="319"/>
      <c r="G340" s="328"/>
      <c r="H340" s="328"/>
      <c r="I340" s="328"/>
      <c r="J340" s="284" t="s">
        <v>4736</v>
      </c>
      <c r="K340" s="310" t="s">
        <v>4380</v>
      </c>
      <c r="L340" s="313" t="s">
        <v>5786</v>
      </c>
      <c r="M340" s="310" t="s">
        <v>4504</v>
      </c>
      <c r="N340" s="313" t="s">
        <v>4698</v>
      </c>
      <c r="O340" s="14" t="s">
        <v>4503</v>
      </c>
      <c r="P340" s="313" t="s">
        <v>6326</v>
      </c>
      <c r="Q340" s="313" t="s">
        <v>4417</v>
      </c>
      <c r="R340" s="313" t="s">
        <v>4417</v>
      </c>
      <c r="S340" s="313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13" t="s">
        <v>4417</v>
      </c>
      <c r="Y340" s="313" t="s">
        <v>5786</v>
      </c>
      <c r="Z340" s="313" t="s">
        <v>4555</v>
      </c>
      <c r="AA340" s="14">
        <v>8</v>
      </c>
      <c r="AB340" s="227">
        <v>0</v>
      </c>
      <c r="AC340" s="14">
        <v>0</v>
      </c>
      <c r="AD340" s="314" t="s">
        <v>6359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10" t="s">
        <v>6360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2"/>
        <v>25</v>
      </c>
      <c r="AV340" s="23">
        <f t="shared" si="167"/>
        <v>25</v>
      </c>
      <c r="AW340" s="314" t="s">
        <v>5801</v>
      </c>
      <c r="AX340" s="312" t="s">
        <v>4497</v>
      </c>
      <c r="AY340" s="21">
        <v>145</v>
      </c>
      <c r="AZ340" s="312">
        <v>24</v>
      </c>
      <c r="BA340" s="312">
        <f t="shared" si="165"/>
        <v>353</v>
      </c>
      <c r="BB340" s="21">
        <v>95</v>
      </c>
      <c r="BC340" s="21">
        <f t="shared" si="170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6326</v>
      </c>
      <c r="BH340" s="312" t="s">
        <v>6196</v>
      </c>
      <c r="BI340" s="312" t="s">
        <v>6196</v>
      </c>
      <c r="BJ340" s="312">
        <v>2</v>
      </c>
      <c r="BK340" s="312">
        <v>4</v>
      </c>
      <c r="BL340" s="314">
        <v>120</v>
      </c>
      <c r="BM340" s="312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314" t="s">
        <v>5851</v>
      </c>
      <c r="BU340" s="312">
        <v>4</v>
      </c>
      <c r="BV340" s="312">
        <v>2</v>
      </c>
      <c r="BW340" s="312">
        <v>20</v>
      </c>
      <c r="BX340" s="312">
        <v>120</v>
      </c>
      <c r="BY340" s="312">
        <v>120</v>
      </c>
      <c r="BZ340" s="18">
        <v>550</v>
      </c>
      <c r="CA340" s="312" t="s">
        <v>4582</v>
      </c>
      <c r="CB340" s="312" t="s">
        <v>4581</v>
      </c>
      <c r="CC340" s="23">
        <f>((BM340/150)+1)*PI()*10^2/4</f>
        <v>654.49846949787343</v>
      </c>
      <c r="CD340" s="21">
        <f t="shared" si="186"/>
        <v>961.32735199847673</v>
      </c>
      <c r="CE340" s="312">
        <v>30</v>
      </c>
      <c r="CF340" s="118">
        <f t="shared" si="184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12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12">
        <v>10.9</v>
      </c>
      <c r="DH340" s="312">
        <v>900</v>
      </c>
      <c r="DI340" s="32">
        <v>990</v>
      </c>
      <c r="DJ340" s="312">
        <v>1000</v>
      </c>
      <c r="DK340" s="32">
        <v>1100</v>
      </c>
      <c r="DL340" s="59">
        <v>200000</v>
      </c>
      <c r="DM340" s="29" t="s">
        <v>5849</v>
      </c>
      <c r="DN340" s="314" t="s">
        <v>4432</v>
      </c>
      <c r="DO340" s="301" t="s">
        <v>4562</v>
      </c>
    </row>
    <row r="341" spans="1:119">
      <c r="A341" s="314">
        <v>336</v>
      </c>
      <c r="B341" s="317">
        <v>51</v>
      </c>
      <c r="C341" s="317">
        <v>2016</v>
      </c>
      <c r="D341" s="415" t="s">
        <v>5641</v>
      </c>
      <c r="E341" s="329" t="s">
        <v>4838</v>
      </c>
      <c r="F341" s="317">
        <v>6</v>
      </c>
      <c r="G341" s="326" t="s">
        <v>5924</v>
      </c>
      <c r="H341" s="326" t="s">
        <v>5923</v>
      </c>
      <c r="I341" s="326" t="s">
        <v>6245</v>
      </c>
      <c r="J341" s="283" t="s">
        <v>6362</v>
      </c>
      <c r="K341" s="314" t="s">
        <v>6333</v>
      </c>
      <c r="L341" s="312" t="s">
        <v>6053</v>
      </c>
      <c r="M341" s="314" t="s">
        <v>4505</v>
      </c>
      <c r="N341" s="312" t="s">
        <v>4699</v>
      </c>
      <c r="O341" s="18" t="s">
        <v>4503</v>
      </c>
      <c r="P341" s="312" t="s">
        <v>6325</v>
      </c>
      <c r="Q341" s="312" t="s">
        <v>4417</v>
      </c>
      <c r="R341" s="312" t="s">
        <v>4417</v>
      </c>
      <c r="S341" s="312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12" t="s">
        <v>4417</v>
      </c>
      <c r="Y341" s="312" t="s">
        <v>5786</v>
      </c>
      <c r="Z341" s="312" t="s">
        <v>4556</v>
      </c>
      <c r="AA341" s="87">
        <v>0</v>
      </c>
      <c r="AB341" s="231">
        <v>0</v>
      </c>
      <c r="AC341" s="17">
        <v>0</v>
      </c>
      <c r="AD341" s="309" t="s">
        <v>6363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309" t="s">
        <v>6364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309" t="s">
        <v>5801</v>
      </c>
      <c r="AX341" s="311" t="s">
        <v>6121</v>
      </c>
      <c r="AY341" s="16" t="s">
        <v>6121</v>
      </c>
      <c r="AZ341" s="311">
        <v>16</v>
      </c>
      <c r="BA341" s="311">
        <f t="shared" si="165"/>
        <v>157</v>
      </c>
      <c r="BB341" s="16">
        <v>48</v>
      </c>
      <c r="BC341" s="16">
        <f t="shared" si="170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6326</v>
      </c>
      <c r="BH341" s="311" t="s">
        <v>6196</v>
      </c>
      <c r="BI341" s="311" t="s">
        <v>6196</v>
      </c>
      <c r="BJ341" s="311">
        <v>2</v>
      </c>
      <c r="BK341" s="311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311">
        <v>10.9</v>
      </c>
      <c r="DH341" s="311">
        <v>900</v>
      </c>
      <c r="DI341" s="30">
        <v>990</v>
      </c>
      <c r="DJ341" s="311">
        <v>1000</v>
      </c>
      <c r="DK341" s="30">
        <v>1100</v>
      </c>
      <c r="DL341" s="74">
        <v>200000</v>
      </c>
      <c r="DM341" s="28" t="s">
        <v>12</v>
      </c>
      <c r="DN341" s="311" t="s">
        <v>4557</v>
      </c>
      <c r="DO341" s="300" t="s">
        <v>4562</v>
      </c>
    </row>
    <row r="342" spans="1:119">
      <c r="A342" s="314">
        <v>337</v>
      </c>
      <c r="B342" s="318"/>
      <c r="C342" s="318"/>
      <c r="D342" s="420"/>
      <c r="E342" s="330"/>
      <c r="F342" s="318"/>
      <c r="G342" s="327"/>
      <c r="H342" s="327"/>
      <c r="I342" s="327"/>
      <c r="J342" s="285" t="s">
        <v>4383</v>
      </c>
      <c r="K342" s="314" t="s">
        <v>6333</v>
      </c>
      <c r="L342" s="312" t="s">
        <v>6053</v>
      </c>
      <c r="M342" s="314" t="s">
        <v>4505</v>
      </c>
      <c r="N342" s="312" t="s">
        <v>4699</v>
      </c>
      <c r="O342" s="18" t="s">
        <v>4503</v>
      </c>
      <c r="P342" s="312" t="s">
        <v>6325</v>
      </c>
      <c r="Q342" s="312" t="s">
        <v>4417</v>
      </c>
      <c r="R342" s="312" t="s">
        <v>4417</v>
      </c>
      <c r="S342" s="312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12" t="s">
        <v>4417</v>
      </c>
      <c r="Y342" s="312" t="s">
        <v>5786</v>
      </c>
      <c r="Z342" s="312" t="s">
        <v>4556</v>
      </c>
      <c r="AA342" s="87">
        <v>0</v>
      </c>
      <c r="AB342" s="222">
        <v>0</v>
      </c>
      <c r="AC342" s="18">
        <v>0</v>
      </c>
      <c r="AD342" s="314" t="s">
        <v>6364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14" t="s">
        <v>6365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7">(AT342-AK342)-AV342</f>
        <v>14</v>
      </c>
      <c r="AV342" s="21">
        <f t="shared" ref="AV342:AV360" si="188">(AT342-AK342)/2</f>
        <v>14</v>
      </c>
      <c r="AW342" s="314" t="s">
        <v>5801</v>
      </c>
      <c r="AX342" s="312" t="s">
        <v>6121</v>
      </c>
      <c r="AY342" s="21" t="s">
        <v>6121</v>
      </c>
      <c r="AZ342" s="312">
        <v>20</v>
      </c>
      <c r="BA342" s="312">
        <f t="shared" si="165"/>
        <v>245</v>
      </c>
      <c r="BB342" s="21">
        <v>44</v>
      </c>
      <c r="BC342" s="21">
        <f t="shared" si="170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6326</v>
      </c>
      <c r="BH342" s="312" t="s">
        <v>6196</v>
      </c>
      <c r="BI342" s="312" t="s">
        <v>6196</v>
      </c>
      <c r="BJ342" s="312">
        <v>2</v>
      </c>
      <c r="BK342" s="312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12">
        <v>10.9</v>
      </c>
      <c r="DH342" s="312">
        <v>900</v>
      </c>
      <c r="DI342" s="32">
        <v>990</v>
      </c>
      <c r="DJ342" s="312">
        <v>1000</v>
      </c>
      <c r="DK342" s="32">
        <v>1100</v>
      </c>
      <c r="DL342" s="59">
        <v>200000</v>
      </c>
      <c r="DM342" s="29" t="s">
        <v>12</v>
      </c>
      <c r="DN342" s="312" t="s">
        <v>4557</v>
      </c>
      <c r="DO342" s="301" t="s">
        <v>4562</v>
      </c>
    </row>
    <row r="343" spans="1:119" ht="15.6" customHeight="1">
      <c r="A343" s="314">
        <v>338</v>
      </c>
      <c r="B343" s="318"/>
      <c r="C343" s="318"/>
      <c r="D343" s="420"/>
      <c r="E343" s="330"/>
      <c r="F343" s="318"/>
      <c r="G343" s="327"/>
      <c r="H343" s="327"/>
      <c r="I343" s="327"/>
      <c r="J343" s="285" t="s">
        <v>4384</v>
      </c>
      <c r="K343" s="314" t="s">
        <v>6333</v>
      </c>
      <c r="L343" s="312" t="s">
        <v>6053</v>
      </c>
      <c r="M343" s="314" t="s">
        <v>4505</v>
      </c>
      <c r="N343" s="312" t="s">
        <v>4699</v>
      </c>
      <c r="O343" s="18" t="s">
        <v>4503</v>
      </c>
      <c r="P343" s="312" t="s">
        <v>6325</v>
      </c>
      <c r="Q343" s="312" t="s">
        <v>4417</v>
      </c>
      <c r="R343" s="312" t="s">
        <v>4417</v>
      </c>
      <c r="S343" s="312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12" t="s">
        <v>4417</v>
      </c>
      <c r="Y343" s="312" t="s">
        <v>5786</v>
      </c>
      <c r="Z343" s="312" t="s">
        <v>4556</v>
      </c>
      <c r="AA343" s="87">
        <v>0</v>
      </c>
      <c r="AB343" s="222">
        <v>0</v>
      </c>
      <c r="AC343" s="18">
        <v>0</v>
      </c>
      <c r="AD343" s="314" t="s">
        <v>6363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14" t="s">
        <v>6364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7"/>
        <v>11.5</v>
      </c>
      <c r="AV343" s="21">
        <f t="shared" si="188"/>
        <v>11.5</v>
      </c>
      <c r="AW343" s="314" t="s">
        <v>5801</v>
      </c>
      <c r="AX343" s="312" t="s">
        <v>6121</v>
      </c>
      <c r="AY343" s="21" t="s">
        <v>6121</v>
      </c>
      <c r="AZ343" s="312">
        <v>20</v>
      </c>
      <c r="BA343" s="312">
        <f t="shared" si="165"/>
        <v>245</v>
      </c>
      <c r="BB343" s="21">
        <v>38.5</v>
      </c>
      <c r="BC343" s="21">
        <f t="shared" si="170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6326</v>
      </c>
      <c r="BH343" s="312" t="s">
        <v>6196</v>
      </c>
      <c r="BI343" s="312" t="s">
        <v>6196</v>
      </c>
      <c r="BJ343" s="312">
        <v>2</v>
      </c>
      <c r="BK343" s="312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12">
        <v>8.8000000000000007</v>
      </c>
      <c r="DH343" s="312">
        <v>640</v>
      </c>
      <c r="DI343" s="32">
        <v>730</v>
      </c>
      <c r="DJ343" s="312">
        <v>800</v>
      </c>
      <c r="DK343" s="32">
        <v>940</v>
      </c>
      <c r="DL343" s="59">
        <v>200000</v>
      </c>
      <c r="DM343" s="29" t="s">
        <v>12</v>
      </c>
      <c r="DN343" s="314" t="s">
        <v>4557</v>
      </c>
      <c r="DO343" s="301" t="s">
        <v>4562</v>
      </c>
    </row>
    <row r="344" spans="1:119" ht="15.6" customHeight="1">
      <c r="A344" s="314">
        <v>339</v>
      </c>
      <c r="B344" s="318"/>
      <c r="C344" s="318"/>
      <c r="D344" s="420"/>
      <c r="E344" s="330"/>
      <c r="F344" s="318"/>
      <c r="G344" s="327"/>
      <c r="H344" s="327"/>
      <c r="I344" s="327"/>
      <c r="J344" s="285" t="s">
        <v>4385</v>
      </c>
      <c r="K344" s="314" t="s">
        <v>6333</v>
      </c>
      <c r="L344" s="312" t="s">
        <v>6053</v>
      </c>
      <c r="M344" s="314" t="s">
        <v>4505</v>
      </c>
      <c r="N344" s="312" t="s">
        <v>4699</v>
      </c>
      <c r="O344" s="18" t="s">
        <v>4503</v>
      </c>
      <c r="P344" s="312" t="s">
        <v>6325</v>
      </c>
      <c r="Q344" s="312" t="s">
        <v>4417</v>
      </c>
      <c r="R344" s="312" t="s">
        <v>4417</v>
      </c>
      <c r="S344" s="312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12" t="s">
        <v>4417</v>
      </c>
      <c r="Y344" s="312" t="s">
        <v>5786</v>
      </c>
      <c r="Z344" s="312" t="s">
        <v>4556</v>
      </c>
      <c r="AA344" s="87">
        <v>0</v>
      </c>
      <c r="AB344" s="222">
        <v>0</v>
      </c>
      <c r="AC344" s="18">
        <v>0</v>
      </c>
      <c r="AD344" s="314" t="s">
        <v>6363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14" t="s">
        <v>6365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7"/>
        <v>14</v>
      </c>
      <c r="AV344" s="21">
        <f t="shared" si="188"/>
        <v>14</v>
      </c>
      <c r="AW344" s="314" t="s">
        <v>5801</v>
      </c>
      <c r="AX344" s="312" t="s">
        <v>6121</v>
      </c>
      <c r="AY344" s="21" t="s">
        <v>6121</v>
      </c>
      <c r="AZ344" s="312">
        <v>20</v>
      </c>
      <c r="BA344" s="312">
        <f t="shared" si="165"/>
        <v>245</v>
      </c>
      <c r="BB344" s="21">
        <v>44</v>
      </c>
      <c r="BC344" s="21">
        <f t="shared" si="170"/>
        <v>44</v>
      </c>
      <c r="BD344" s="21">
        <v>50</v>
      </c>
      <c r="BE344" s="21">
        <v>50</v>
      </c>
      <c r="BF344" s="21">
        <v>0</v>
      </c>
      <c r="BG344" s="15" t="s">
        <v>6326</v>
      </c>
      <c r="BH344" s="312" t="s">
        <v>4462</v>
      </c>
      <c r="BI344" s="312" t="s">
        <v>6196</v>
      </c>
      <c r="BJ344" s="312">
        <v>4</v>
      </c>
      <c r="BK344" s="312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12">
        <v>10.9</v>
      </c>
      <c r="DH344" s="312">
        <v>900</v>
      </c>
      <c r="DI344" s="32">
        <v>990</v>
      </c>
      <c r="DJ344" s="312">
        <v>1000</v>
      </c>
      <c r="DK344" s="32">
        <v>1100</v>
      </c>
      <c r="DL344" s="59">
        <v>200000</v>
      </c>
      <c r="DM344" s="40" t="s">
        <v>12</v>
      </c>
      <c r="DN344" s="312" t="s">
        <v>4557</v>
      </c>
      <c r="DO344" s="301" t="s">
        <v>4562</v>
      </c>
    </row>
    <row r="345" spans="1:119">
      <c r="A345" s="314">
        <v>340</v>
      </c>
      <c r="B345" s="318"/>
      <c r="C345" s="318"/>
      <c r="D345" s="420"/>
      <c r="E345" s="330"/>
      <c r="F345" s="318"/>
      <c r="G345" s="327"/>
      <c r="H345" s="327"/>
      <c r="I345" s="327"/>
      <c r="J345" s="285" t="s">
        <v>4386</v>
      </c>
      <c r="K345" s="314" t="s">
        <v>6333</v>
      </c>
      <c r="L345" s="312" t="s">
        <v>6053</v>
      </c>
      <c r="M345" s="314" t="s">
        <v>4505</v>
      </c>
      <c r="N345" s="312" t="s">
        <v>4699</v>
      </c>
      <c r="O345" s="18" t="s">
        <v>4503</v>
      </c>
      <c r="P345" s="312" t="s">
        <v>6325</v>
      </c>
      <c r="Q345" s="312" t="s">
        <v>4417</v>
      </c>
      <c r="R345" s="312" t="s">
        <v>4417</v>
      </c>
      <c r="S345" s="312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12" t="s">
        <v>4417</v>
      </c>
      <c r="Y345" s="312" t="s">
        <v>5786</v>
      </c>
      <c r="Z345" s="312" t="s">
        <v>4556</v>
      </c>
      <c r="AA345" s="87">
        <v>0</v>
      </c>
      <c r="AB345" s="222">
        <v>0</v>
      </c>
      <c r="AC345" s="18">
        <v>0</v>
      </c>
      <c r="AD345" s="314" t="s">
        <v>6363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14" t="s">
        <v>6365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7"/>
        <v>15</v>
      </c>
      <c r="AV345" s="21">
        <f t="shared" si="188"/>
        <v>15</v>
      </c>
      <c r="AW345" s="314" t="s">
        <v>5801</v>
      </c>
      <c r="AX345" s="312" t="s">
        <v>6121</v>
      </c>
      <c r="AY345" s="21" t="s">
        <v>6121</v>
      </c>
      <c r="AZ345" s="312">
        <v>16</v>
      </c>
      <c r="BA345" s="312">
        <f t="shared" si="165"/>
        <v>157</v>
      </c>
      <c r="BB345" s="21">
        <v>45</v>
      </c>
      <c r="BC345" s="21">
        <f t="shared" si="170"/>
        <v>45</v>
      </c>
      <c r="BD345" s="21">
        <v>50</v>
      </c>
      <c r="BE345" s="21">
        <v>50</v>
      </c>
      <c r="BF345" s="21">
        <v>0</v>
      </c>
      <c r="BG345" s="15" t="s">
        <v>6326</v>
      </c>
      <c r="BH345" s="312" t="s">
        <v>4462</v>
      </c>
      <c r="BI345" s="312" t="s">
        <v>6196</v>
      </c>
      <c r="BJ345" s="312">
        <v>4</v>
      </c>
      <c r="BK345" s="312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12">
        <v>10.9</v>
      </c>
      <c r="DH345" s="312">
        <v>900</v>
      </c>
      <c r="DI345" s="32">
        <v>990</v>
      </c>
      <c r="DJ345" s="312">
        <v>1000</v>
      </c>
      <c r="DK345" s="32">
        <v>1100</v>
      </c>
      <c r="DL345" s="59">
        <v>200000</v>
      </c>
      <c r="DM345" s="40" t="s">
        <v>12</v>
      </c>
      <c r="DN345" s="314" t="s">
        <v>4557</v>
      </c>
      <c r="DO345" s="301" t="s">
        <v>4562</v>
      </c>
    </row>
    <row r="346" spans="1:119" ht="15.6" customHeight="1" thickBot="1">
      <c r="A346" s="314">
        <v>341</v>
      </c>
      <c r="B346" s="319"/>
      <c r="C346" s="319"/>
      <c r="D346" s="416"/>
      <c r="E346" s="331"/>
      <c r="F346" s="319"/>
      <c r="G346" s="328"/>
      <c r="H346" s="328"/>
      <c r="I346" s="328"/>
      <c r="J346" s="284" t="s">
        <v>4387</v>
      </c>
      <c r="K346" s="314" t="s">
        <v>6333</v>
      </c>
      <c r="L346" s="312" t="s">
        <v>6053</v>
      </c>
      <c r="M346" s="314" t="s">
        <v>4505</v>
      </c>
      <c r="N346" s="312" t="s">
        <v>4699</v>
      </c>
      <c r="O346" s="18" t="s">
        <v>4503</v>
      </c>
      <c r="P346" s="312" t="s">
        <v>6325</v>
      </c>
      <c r="Q346" s="312" t="s">
        <v>4417</v>
      </c>
      <c r="R346" s="312" t="s">
        <v>4417</v>
      </c>
      <c r="S346" s="312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12" t="s">
        <v>4417</v>
      </c>
      <c r="Y346" s="312" t="s">
        <v>5786</v>
      </c>
      <c r="Z346" s="312" t="s">
        <v>4556</v>
      </c>
      <c r="AA346" s="87">
        <v>0</v>
      </c>
      <c r="AB346" s="227">
        <v>0</v>
      </c>
      <c r="AC346" s="14">
        <v>0</v>
      </c>
      <c r="AD346" s="310" t="s">
        <v>6364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10" t="s">
        <v>6365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7"/>
        <v>15</v>
      </c>
      <c r="AV346" s="23">
        <f t="shared" si="188"/>
        <v>15</v>
      </c>
      <c r="AW346" s="310" t="s">
        <v>5801</v>
      </c>
      <c r="AX346" s="312" t="s">
        <v>6121</v>
      </c>
      <c r="AY346" s="23" t="s">
        <v>6121</v>
      </c>
      <c r="AZ346" s="313">
        <v>16</v>
      </c>
      <c r="BA346" s="313">
        <f t="shared" si="165"/>
        <v>157</v>
      </c>
      <c r="BB346" s="23">
        <v>45</v>
      </c>
      <c r="BC346" s="23">
        <f t="shared" si="170"/>
        <v>45</v>
      </c>
      <c r="BD346" s="23">
        <v>50</v>
      </c>
      <c r="BE346" s="23">
        <v>50</v>
      </c>
      <c r="BF346" s="23">
        <v>0</v>
      </c>
      <c r="BG346" s="19" t="s">
        <v>6326</v>
      </c>
      <c r="BH346" s="313" t="s">
        <v>4462</v>
      </c>
      <c r="BI346" s="313" t="s">
        <v>6196</v>
      </c>
      <c r="BJ346" s="313">
        <v>4</v>
      </c>
      <c r="BK346" s="313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13">
        <v>8.8000000000000007</v>
      </c>
      <c r="DH346" s="313">
        <v>660</v>
      </c>
      <c r="DI346" s="34">
        <v>730</v>
      </c>
      <c r="DJ346" s="313">
        <v>800</v>
      </c>
      <c r="DK346" s="34">
        <v>940</v>
      </c>
      <c r="DL346" s="75">
        <v>200000</v>
      </c>
      <c r="DM346" s="41" t="s">
        <v>12</v>
      </c>
      <c r="DN346" s="310" t="s">
        <v>4557</v>
      </c>
      <c r="DO346" s="301" t="s">
        <v>4562</v>
      </c>
    </row>
    <row r="347" spans="1:119" ht="15.6" customHeight="1">
      <c r="A347" s="309">
        <v>342</v>
      </c>
      <c r="B347" s="317">
        <v>52</v>
      </c>
      <c r="C347" s="317">
        <v>2016</v>
      </c>
      <c r="D347" s="415" t="s">
        <v>4695</v>
      </c>
      <c r="E347" s="329" t="s">
        <v>4837</v>
      </c>
      <c r="F347" s="317">
        <v>4</v>
      </c>
      <c r="G347" s="317" t="s">
        <v>5922</v>
      </c>
      <c r="H347" s="317" t="s">
        <v>5917</v>
      </c>
      <c r="I347" s="317" t="s">
        <v>6246</v>
      </c>
      <c r="J347" s="283" t="s">
        <v>6366</v>
      </c>
      <c r="K347" s="309" t="s">
        <v>6328</v>
      </c>
      <c r="L347" s="311" t="s">
        <v>5786</v>
      </c>
      <c r="M347" s="309" t="s">
        <v>4504</v>
      </c>
      <c r="N347" s="311" t="s">
        <v>4698</v>
      </c>
      <c r="O347" s="17" t="s">
        <v>4503</v>
      </c>
      <c r="P347" s="311" t="s">
        <v>6325</v>
      </c>
      <c r="Q347" s="311" t="s">
        <v>4467</v>
      </c>
      <c r="R347" s="311" t="s">
        <v>4417</v>
      </c>
      <c r="S347" s="311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311" t="s">
        <v>4417</v>
      </c>
      <c r="Y347" s="311" t="s">
        <v>5786</v>
      </c>
      <c r="Z347" s="311" t="s">
        <v>4556</v>
      </c>
      <c r="AA347" s="88">
        <v>0</v>
      </c>
      <c r="AB347" s="231">
        <v>0</v>
      </c>
      <c r="AC347" s="26">
        <v>3822.3</v>
      </c>
      <c r="AD347" s="30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14" t="s">
        <v>6367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7"/>
        <v>0</v>
      </c>
      <c r="AV347" s="21">
        <f t="shared" si="188"/>
        <v>0</v>
      </c>
      <c r="AW347" s="309" t="s">
        <v>5653</v>
      </c>
      <c r="AX347" s="311" t="s">
        <v>6121</v>
      </c>
      <c r="AY347" s="16" t="s">
        <v>6121</v>
      </c>
      <c r="AZ347" s="311">
        <v>20</v>
      </c>
      <c r="BA347" s="311">
        <f t="shared" si="165"/>
        <v>245</v>
      </c>
      <c r="BB347" s="16">
        <v>65</v>
      </c>
      <c r="BC347" s="16">
        <f t="shared" si="170"/>
        <v>65</v>
      </c>
      <c r="BD347" s="16">
        <v>87</v>
      </c>
      <c r="BE347" s="16">
        <v>100</v>
      </c>
      <c r="BF347" s="16">
        <v>0</v>
      </c>
      <c r="BG347" s="22" t="s">
        <v>6325</v>
      </c>
      <c r="BH347" s="311" t="s">
        <v>6196</v>
      </c>
      <c r="BI347" s="311" t="s">
        <v>6196</v>
      </c>
      <c r="BJ347" s="311">
        <v>2</v>
      </c>
      <c r="BK347" s="311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311" t="s">
        <v>5657</v>
      </c>
      <c r="CH347" s="63">
        <v>230</v>
      </c>
      <c r="CI347" s="311">
        <v>339</v>
      </c>
      <c r="CJ347" s="63">
        <v>505</v>
      </c>
      <c r="CK347" s="311">
        <v>714</v>
      </c>
      <c r="CL347" s="79">
        <v>200985</v>
      </c>
      <c r="CM347" s="311" t="s">
        <v>5657</v>
      </c>
      <c r="CN347" s="63">
        <v>230</v>
      </c>
      <c r="CO347" s="311">
        <v>370</v>
      </c>
      <c r="CP347" s="63">
        <v>505</v>
      </c>
      <c r="CQ347" s="311">
        <v>534</v>
      </c>
      <c r="CR347" s="79">
        <v>203765</v>
      </c>
      <c r="CS347" s="311" t="s">
        <v>5657</v>
      </c>
      <c r="CT347" s="63">
        <v>230</v>
      </c>
      <c r="CU347" s="311">
        <v>388</v>
      </c>
      <c r="CV347" s="63">
        <v>505</v>
      </c>
      <c r="CW347" s="311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0">
        <v>218871</v>
      </c>
      <c r="DM347" s="28" t="s">
        <v>6044</v>
      </c>
      <c r="DN347" s="311" t="s">
        <v>4432</v>
      </c>
      <c r="DO347" s="300" t="s">
        <v>4562</v>
      </c>
    </row>
    <row r="348" spans="1:119" ht="15.6" customHeight="1">
      <c r="A348" s="314">
        <v>343</v>
      </c>
      <c r="B348" s="318"/>
      <c r="C348" s="318"/>
      <c r="D348" s="420"/>
      <c r="E348" s="330"/>
      <c r="F348" s="318"/>
      <c r="G348" s="318"/>
      <c r="H348" s="318"/>
      <c r="I348" s="318"/>
      <c r="J348" s="285" t="s">
        <v>4388</v>
      </c>
      <c r="K348" s="314" t="s">
        <v>6328</v>
      </c>
      <c r="L348" s="312" t="s">
        <v>5786</v>
      </c>
      <c r="M348" s="314" t="s">
        <v>4504</v>
      </c>
      <c r="N348" s="312" t="s">
        <v>4698</v>
      </c>
      <c r="O348" s="18" t="s">
        <v>4503</v>
      </c>
      <c r="P348" s="312" t="s">
        <v>6326</v>
      </c>
      <c r="Q348" s="312" t="s">
        <v>4467</v>
      </c>
      <c r="R348" s="312" t="s">
        <v>4417</v>
      </c>
      <c r="S348" s="312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12" t="s">
        <v>4417</v>
      </c>
      <c r="Y348" s="312" t="s">
        <v>5786</v>
      </c>
      <c r="Z348" s="312" t="s">
        <v>4556</v>
      </c>
      <c r="AA348" s="87">
        <v>0</v>
      </c>
      <c r="AB348" s="222">
        <v>0</v>
      </c>
      <c r="AC348" s="24">
        <v>3873.4</v>
      </c>
      <c r="AD348" s="314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14" t="s">
        <v>6367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7"/>
        <v>0</v>
      </c>
      <c r="AV348" s="21">
        <f t="shared" si="188"/>
        <v>0</v>
      </c>
      <c r="AW348" s="314" t="s">
        <v>5653</v>
      </c>
      <c r="AX348" s="312" t="s">
        <v>6121</v>
      </c>
      <c r="AY348" s="21" t="s">
        <v>6121</v>
      </c>
      <c r="AZ348" s="312">
        <v>20</v>
      </c>
      <c r="BA348" s="312">
        <f t="shared" si="165"/>
        <v>245</v>
      </c>
      <c r="BB348" s="21">
        <v>65</v>
      </c>
      <c r="BC348" s="21">
        <f t="shared" si="170"/>
        <v>65</v>
      </c>
      <c r="BD348" s="21">
        <v>87</v>
      </c>
      <c r="BE348" s="21">
        <v>100</v>
      </c>
      <c r="BF348" s="21">
        <v>0</v>
      </c>
      <c r="BG348" s="15" t="s">
        <v>6325</v>
      </c>
      <c r="BH348" s="312" t="s">
        <v>6196</v>
      </c>
      <c r="BI348" s="312" t="s">
        <v>6196</v>
      </c>
      <c r="BJ348" s="312">
        <v>2</v>
      </c>
      <c r="BK348" s="312">
        <v>6</v>
      </c>
      <c r="BL348" s="314">
        <v>120</v>
      </c>
      <c r="BM348" s="312">
        <v>900</v>
      </c>
      <c r="BN348" s="312" t="s">
        <v>6184</v>
      </c>
      <c r="BO348" s="312">
        <v>1</v>
      </c>
      <c r="BP348" s="312">
        <v>180</v>
      </c>
      <c r="BQ348" s="312">
        <v>1678</v>
      </c>
      <c r="BR348" s="312">
        <v>52</v>
      </c>
      <c r="BS348" s="312" t="s">
        <v>4586</v>
      </c>
      <c r="BT348" s="314" t="s">
        <v>5850</v>
      </c>
      <c r="BU348" s="312">
        <v>16</v>
      </c>
      <c r="BV348" s="312">
        <v>2</v>
      </c>
      <c r="BW348" s="312">
        <v>19</v>
      </c>
      <c r="BX348" s="312">
        <v>100</v>
      </c>
      <c r="BY348" s="312">
        <v>75</v>
      </c>
      <c r="BZ348" s="18">
        <v>190</v>
      </c>
      <c r="CA348" s="312" t="s">
        <v>4585</v>
      </c>
      <c r="CB348" s="312" t="s">
        <v>4584</v>
      </c>
      <c r="CC348" s="21">
        <f t="shared" ref="CC348:CC349" si="189">((BM348/200)+1)*PI()*10^2/4</f>
        <v>431.96898986859651</v>
      </c>
      <c r="CD348" s="21">
        <f>6*PI()*12^2/4</f>
        <v>678.58401317539528</v>
      </c>
      <c r="CE348" s="312">
        <v>20</v>
      </c>
      <c r="CF348" s="118">
        <v>1.1599999999999999E-2</v>
      </c>
      <c r="CG348" s="312" t="s">
        <v>5657</v>
      </c>
      <c r="CH348" s="58">
        <v>230</v>
      </c>
      <c r="CI348" s="312">
        <v>339</v>
      </c>
      <c r="CJ348" s="58">
        <v>505</v>
      </c>
      <c r="CK348" s="312">
        <v>714</v>
      </c>
      <c r="CL348" s="67">
        <v>200985</v>
      </c>
      <c r="CM348" s="312" t="s">
        <v>5657</v>
      </c>
      <c r="CN348" s="58">
        <v>230</v>
      </c>
      <c r="CO348" s="312">
        <v>370</v>
      </c>
      <c r="CP348" s="58">
        <v>505</v>
      </c>
      <c r="CQ348" s="312">
        <v>534</v>
      </c>
      <c r="CR348" s="67">
        <v>203765</v>
      </c>
      <c r="CS348" s="312" t="s">
        <v>5657</v>
      </c>
      <c r="CT348" s="58">
        <v>230</v>
      </c>
      <c r="CU348" s="312">
        <v>388</v>
      </c>
      <c r="CV348" s="58">
        <v>505</v>
      </c>
      <c r="CW348" s="312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98">
        <v>550</v>
      </c>
      <c r="DG348" s="312">
        <v>8.8000000000000007</v>
      </c>
      <c r="DH348" s="312">
        <v>640</v>
      </c>
      <c r="DI348" s="312">
        <v>890</v>
      </c>
      <c r="DJ348" s="312">
        <v>800</v>
      </c>
      <c r="DK348" s="312">
        <v>953</v>
      </c>
      <c r="DL348" s="62">
        <v>218871</v>
      </c>
      <c r="DM348" s="29" t="s">
        <v>6046</v>
      </c>
      <c r="DN348" s="312" t="s">
        <v>4432</v>
      </c>
      <c r="DO348" s="301" t="s">
        <v>4562</v>
      </c>
    </row>
    <row r="349" spans="1:119" ht="15.6" customHeight="1">
      <c r="A349" s="314">
        <v>344</v>
      </c>
      <c r="B349" s="318"/>
      <c r="C349" s="318"/>
      <c r="D349" s="420"/>
      <c r="E349" s="330"/>
      <c r="F349" s="318"/>
      <c r="G349" s="318"/>
      <c r="H349" s="318"/>
      <c r="I349" s="318"/>
      <c r="J349" s="285" t="s">
        <v>4389</v>
      </c>
      <c r="K349" s="314" t="s">
        <v>6328</v>
      </c>
      <c r="L349" s="312" t="s">
        <v>5786</v>
      </c>
      <c r="M349" s="314" t="s">
        <v>4504</v>
      </c>
      <c r="N349" s="312" t="s">
        <v>4698</v>
      </c>
      <c r="O349" s="18" t="s">
        <v>4503</v>
      </c>
      <c r="P349" s="312" t="s">
        <v>6326</v>
      </c>
      <c r="Q349" s="312" t="s">
        <v>4467</v>
      </c>
      <c r="R349" s="312" t="s">
        <v>4417</v>
      </c>
      <c r="S349" s="312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12" t="s">
        <v>4417</v>
      </c>
      <c r="Y349" s="312" t="s">
        <v>5786</v>
      </c>
      <c r="Z349" s="312" t="s">
        <v>4556</v>
      </c>
      <c r="AA349" s="87">
        <v>0</v>
      </c>
      <c r="AB349" s="222">
        <v>0</v>
      </c>
      <c r="AC349" s="24">
        <v>3811.9</v>
      </c>
      <c r="AD349" s="314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14" t="s">
        <v>6367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7"/>
        <v>0</v>
      </c>
      <c r="AV349" s="21">
        <f t="shared" si="188"/>
        <v>0</v>
      </c>
      <c r="AW349" s="314" t="s">
        <v>5653</v>
      </c>
      <c r="AX349" s="312" t="s">
        <v>6121</v>
      </c>
      <c r="AY349" s="21" t="s">
        <v>6121</v>
      </c>
      <c r="AZ349" s="312">
        <v>20</v>
      </c>
      <c r="BA349" s="312">
        <f t="shared" si="165"/>
        <v>245</v>
      </c>
      <c r="BB349" s="21">
        <v>65</v>
      </c>
      <c r="BC349" s="21">
        <f t="shared" si="170"/>
        <v>65</v>
      </c>
      <c r="BD349" s="21">
        <v>87</v>
      </c>
      <c r="BE349" s="21">
        <v>100</v>
      </c>
      <c r="BF349" s="21">
        <v>0</v>
      </c>
      <c r="BG349" s="15" t="s">
        <v>6325</v>
      </c>
      <c r="BH349" s="312" t="s">
        <v>6196</v>
      </c>
      <c r="BI349" s="312" t="s">
        <v>6196</v>
      </c>
      <c r="BJ349" s="312">
        <v>2</v>
      </c>
      <c r="BK349" s="312">
        <v>6</v>
      </c>
      <c r="BL349" s="314">
        <v>120</v>
      </c>
      <c r="BM349" s="312">
        <v>900</v>
      </c>
      <c r="BN349" s="312" t="s">
        <v>6184</v>
      </c>
      <c r="BO349" s="312">
        <v>1</v>
      </c>
      <c r="BP349" s="312">
        <v>180</v>
      </c>
      <c r="BQ349" s="312">
        <v>1678</v>
      </c>
      <c r="BR349" s="312">
        <v>52</v>
      </c>
      <c r="BS349" s="312" t="s">
        <v>4586</v>
      </c>
      <c r="BT349" s="314" t="s">
        <v>5850</v>
      </c>
      <c r="BU349" s="312">
        <v>16</v>
      </c>
      <c r="BV349" s="312">
        <v>2</v>
      </c>
      <c r="BW349" s="312">
        <v>19</v>
      </c>
      <c r="BX349" s="312">
        <v>100</v>
      </c>
      <c r="BY349" s="312">
        <v>75</v>
      </c>
      <c r="BZ349" s="18">
        <v>190</v>
      </c>
      <c r="CA349" s="312" t="s">
        <v>4585</v>
      </c>
      <c r="CB349" s="312" t="s">
        <v>4584</v>
      </c>
      <c r="CC349" s="21">
        <f t="shared" si="189"/>
        <v>431.96898986859651</v>
      </c>
      <c r="CD349" s="21">
        <f>6*PI()*12^2/4</f>
        <v>678.58401317539528</v>
      </c>
      <c r="CE349" s="312">
        <v>20</v>
      </c>
      <c r="CF349" s="118">
        <v>1.1599999999999999E-2</v>
      </c>
      <c r="CG349" s="312" t="s">
        <v>5657</v>
      </c>
      <c r="CH349" s="58">
        <v>230</v>
      </c>
      <c r="CI349" s="312">
        <v>339</v>
      </c>
      <c r="CJ349" s="58">
        <v>505</v>
      </c>
      <c r="CK349" s="312">
        <v>714</v>
      </c>
      <c r="CL349" s="67">
        <v>200985</v>
      </c>
      <c r="CM349" s="312" t="s">
        <v>5657</v>
      </c>
      <c r="CN349" s="58">
        <v>230</v>
      </c>
      <c r="CO349" s="312">
        <v>370</v>
      </c>
      <c r="CP349" s="58">
        <v>505</v>
      </c>
      <c r="CQ349" s="312">
        <v>534</v>
      </c>
      <c r="CR349" s="67">
        <v>203765</v>
      </c>
      <c r="CS349" s="312" t="s">
        <v>5657</v>
      </c>
      <c r="CT349" s="58">
        <v>230</v>
      </c>
      <c r="CU349" s="312">
        <v>388</v>
      </c>
      <c r="CV349" s="58">
        <v>505</v>
      </c>
      <c r="CW349" s="312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98">
        <v>550</v>
      </c>
      <c r="DG349" s="312">
        <v>8.8000000000000007</v>
      </c>
      <c r="DH349" s="312">
        <v>640</v>
      </c>
      <c r="DI349" s="312">
        <v>890</v>
      </c>
      <c r="DJ349" s="312">
        <v>800</v>
      </c>
      <c r="DK349" s="312">
        <v>953</v>
      </c>
      <c r="DL349" s="62">
        <v>218871</v>
      </c>
      <c r="DM349" s="29" t="s">
        <v>6046</v>
      </c>
      <c r="DN349" s="314" t="s">
        <v>4432</v>
      </c>
      <c r="DO349" s="301" t="s">
        <v>4562</v>
      </c>
    </row>
    <row r="350" spans="1:119" ht="15.6" customHeight="1" thickBot="1">
      <c r="A350" s="310">
        <v>345</v>
      </c>
      <c r="B350" s="318"/>
      <c r="C350" s="318"/>
      <c r="D350" s="420"/>
      <c r="E350" s="330"/>
      <c r="F350" s="318"/>
      <c r="G350" s="319"/>
      <c r="H350" s="319"/>
      <c r="I350" s="319"/>
      <c r="J350" s="284" t="s">
        <v>4390</v>
      </c>
      <c r="K350" s="310" t="s">
        <v>6333</v>
      </c>
      <c r="L350" s="313" t="s">
        <v>6053</v>
      </c>
      <c r="M350" s="310" t="s">
        <v>4504</v>
      </c>
      <c r="N350" s="313" t="s">
        <v>4698</v>
      </c>
      <c r="O350" s="14" t="s">
        <v>4503</v>
      </c>
      <c r="P350" s="313" t="s">
        <v>6326</v>
      </c>
      <c r="Q350" s="313" t="s">
        <v>4467</v>
      </c>
      <c r="R350" s="313" t="s">
        <v>4417</v>
      </c>
      <c r="S350" s="313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13" t="s">
        <v>4417</v>
      </c>
      <c r="Y350" s="313" t="s">
        <v>5786</v>
      </c>
      <c r="Z350" s="313" t="s">
        <v>4556</v>
      </c>
      <c r="AA350" s="89">
        <v>0</v>
      </c>
      <c r="AB350" s="227">
        <v>0</v>
      </c>
      <c r="AC350" s="25">
        <v>3938.7</v>
      </c>
      <c r="AD350" s="31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14" t="s">
        <v>6367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7"/>
        <v>0</v>
      </c>
      <c r="AV350" s="23">
        <f t="shared" si="188"/>
        <v>0</v>
      </c>
      <c r="AW350" s="310" t="s">
        <v>5653</v>
      </c>
      <c r="AX350" s="313" t="s">
        <v>6121</v>
      </c>
      <c r="AY350" s="23" t="s">
        <v>6121</v>
      </c>
      <c r="AZ350" s="313">
        <v>20</v>
      </c>
      <c r="BA350" s="313">
        <f t="shared" si="165"/>
        <v>245</v>
      </c>
      <c r="BB350" s="23">
        <v>65</v>
      </c>
      <c r="BC350" s="23">
        <f t="shared" si="170"/>
        <v>65</v>
      </c>
      <c r="BD350" s="23">
        <v>87</v>
      </c>
      <c r="BE350" s="23">
        <v>100</v>
      </c>
      <c r="BF350" s="23">
        <v>0</v>
      </c>
      <c r="BG350" s="19" t="s">
        <v>6325</v>
      </c>
      <c r="BH350" s="313" t="s">
        <v>6196</v>
      </c>
      <c r="BI350" s="313" t="s">
        <v>6196</v>
      </c>
      <c r="BJ350" s="313">
        <v>2</v>
      </c>
      <c r="BK350" s="313">
        <v>6</v>
      </c>
      <c r="BL350" s="314">
        <v>120</v>
      </c>
      <c r="BM350" s="312">
        <v>900</v>
      </c>
      <c r="BN350" s="312" t="s">
        <v>6184</v>
      </c>
      <c r="BO350" s="312">
        <v>1</v>
      </c>
      <c r="BP350" s="312">
        <v>180</v>
      </c>
      <c r="BQ350" s="312">
        <v>1678</v>
      </c>
      <c r="BR350" s="312">
        <v>52</v>
      </c>
      <c r="BS350" s="312" t="s">
        <v>4586</v>
      </c>
      <c r="BT350" s="314" t="s">
        <v>5850</v>
      </c>
      <c r="BU350" s="312">
        <v>16</v>
      </c>
      <c r="BV350" s="312">
        <v>2</v>
      </c>
      <c r="BW350" s="312">
        <v>19</v>
      </c>
      <c r="BX350" s="312">
        <v>100</v>
      </c>
      <c r="BY350" s="312">
        <v>75</v>
      </c>
      <c r="BZ350" s="18">
        <v>190</v>
      </c>
      <c r="CA350" s="312" t="s">
        <v>4585</v>
      </c>
      <c r="CB350" s="312" t="s">
        <v>4584</v>
      </c>
      <c r="CC350" s="23">
        <f>((BM350/200)+1)*PI()*10^2/4</f>
        <v>431.96898986859651</v>
      </c>
      <c r="CD350" s="21">
        <f>6*PI()*12^2/4</f>
        <v>678.58401317539528</v>
      </c>
      <c r="CE350" s="312">
        <v>20</v>
      </c>
      <c r="CF350" s="118">
        <v>1.1599999999999999E-2</v>
      </c>
      <c r="CG350" s="313" t="s">
        <v>5657</v>
      </c>
      <c r="CH350" s="85">
        <v>230</v>
      </c>
      <c r="CI350" s="313">
        <v>339</v>
      </c>
      <c r="CJ350" s="85">
        <v>505</v>
      </c>
      <c r="CK350" s="313">
        <v>714</v>
      </c>
      <c r="CL350" s="81">
        <v>200985</v>
      </c>
      <c r="CM350" s="313" t="s">
        <v>5657</v>
      </c>
      <c r="CN350" s="85">
        <v>230</v>
      </c>
      <c r="CO350" s="313">
        <v>370</v>
      </c>
      <c r="CP350" s="85">
        <v>505</v>
      </c>
      <c r="CQ350" s="313">
        <v>534</v>
      </c>
      <c r="CR350" s="81">
        <v>203765</v>
      </c>
      <c r="CS350" s="313" t="s">
        <v>5657</v>
      </c>
      <c r="CT350" s="85">
        <v>230</v>
      </c>
      <c r="CU350" s="313">
        <v>388</v>
      </c>
      <c r="CV350" s="85">
        <v>505</v>
      </c>
      <c r="CW350" s="313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98">
        <v>550</v>
      </c>
      <c r="DG350" s="313">
        <v>8.8000000000000007</v>
      </c>
      <c r="DH350" s="313">
        <v>640</v>
      </c>
      <c r="DI350" s="313">
        <v>890</v>
      </c>
      <c r="DJ350" s="313">
        <v>800</v>
      </c>
      <c r="DK350" s="313">
        <v>953</v>
      </c>
      <c r="DL350" s="82">
        <v>218871</v>
      </c>
      <c r="DM350" s="27" t="s">
        <v>6047</v>
      </c>
      <c r="DN350" s="310" t="s">
        <v>4432</v>
      </c>
      <c r="DO350" s="301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6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88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65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311" t="s">
        <v>4557</v>
      </c>
      <c r="DO351" s="300" t="s">
        <v>4562</v>
      </c>
    </row>
    <row r="352" spans="1:119" ht="15.6" customHeight="1">
      <c r="A352" s="309">
        <v>347</v>
      </c>
      <c r="B352" s="317">
        <v>54</v>
      </c>
      <c r="C352" s="317">
        <v>2017</v>
      </c>
      <c r="D352" s="317" t="s">
        <v>4671</v>
      </c>
      <c r="E352" s="317" t="s">
        <v>4835</v>
      </c>
      <c r="F352" s="317">
        <v>2</v>
      </c>
      <c r="G352" s="317" t="s">
        <v>5931</v>
      </c>
      <c r="H352" s="317" t="s">
        <v>5914</v>
      </c>
      <c r="I352" s="317" t="s">
        <v>6248</v>
      </c>
      <c r="J352" s="285" t="s">
        <v>4690</v>
      </c>
      <c r="K352" s="309" t="s">
        <v>4531</v>
      </c>
      <c r="L352" s="311" t="s">
        <v>6050</v>
      </c>
      <c r="M352" s="309" t="s">
        <v>4505</v>
      </c>
      <c r="N352" s="311" t="s">
        <v>4696</v>
      </c>
      <c r="O352" s="17" t="s">
        <v>4503</v>
      </c>
      <c r="P352" s="311" t="s">
        <v>4467</v>
      </c>
      <c r="Q352" s="311" t="s">
        <v>4467</v>
      </c>
      <c r="R352" s="311" t="s">
        <v>4417</v>
      </c>
      <c r="S352" s="311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311" t="s">
        <v>4417</v>
      </c>
      <c r="Y352" s="311" t="s">
        <v>5786</v>
      </c>
      <c r="Z352" s="311" t="s">
        <v>4555</v>
      </c>
      <c r="AA352" s="17">
        <v>10</v>
      </c>
      <c r="AB352" s="231">
        <v>0</v>
      </c>
      <c r="AC352" s="17">
        <v>0</v>
      </c>
      <c r="AD352" s="309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30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8"/>
        <v>20</v>
      </c>
      <c r="AW352" s="309" t="s">
        <v>5653</v>
      </c>
      <c r="AX352" s="311" t="s">
        <v>4692</v>
      </c>
      <c r="AY352" s="16">
        <f>442/AZ352/0.25</f>
        <v>88.4</v>
      </c>
      <c r="AZ352" s="311">
        <v>20</v>
      </c>
      <c r="BA352" s="311">
        <f t="shared" si="165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11" t="s">
        <v>4462</v>
      </c>
      <c r="BI352" s="311" t="s">
        <v>4462</v>
      </c>
      <c r="BJ352" s="311">
        <v>4</v>
      </c>
      <c r="BK352" s="311">
        <v>8</v>
      </c>
      <c r="BL352" s="314">
        <v>150</v>
      </c>
      <c r="BM352" s="312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309" t="s">
        <v>5850</v>
      </c>
      <c r="BU352" s="311">
        <v>7</v>
      </c>
      <c r="BV352" s="311">
        <v>1</v>
      </c>
      <c r="BW352" s="311">
        <v>19</v>
      </c>
      <c r="BX352" s="311">
        <v>90</v>
      </c>
      <c r="BY352" s="30">
        <v>150</v>
      </c>
      <c r="BZ352" s="17">
        <v>450</v>
      </c>
      <c r="CA352" s="312" t="s">
        <v>4569</v>
      </c>
      <c r="CB352" s="312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12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311">
        <v>10.9</v>
      </c>
      <c r="DH352" s="311">
        <v>900</v>
      </c>
      <c r="DI352" s="311">
        <v>942</v>
      </c>
      <c r="DJ352" s="311">
        <v>1000</v>
      </c>
      <c r="DK352" s="311">
        <v>1048</v>
      </c>
      <c r="DL352" s="74">
        <v>205000</v>
      </c>
      <c r="DM352" s="28" t="s">
        <v>5827</v>
      </c>
      <c r="DN352" s="311" t="s">
        <v>4557</v>
      </c>
      <c r="DO352" s="300" t="s">
        <v>4562</v>
      </c>
    </row>
    <row r="353" spans="1:119" ht="15.6" customHeight="1" thickBot="1">
      <c r="A353" s="310">
        <v>348</v>
      </c>
      <c r="B353" s="319"/>
      <c r="C353" s="319"/>
      <c r="D353" s="319"/>
      <c r="E353" s="319"/>
      <c r="F353" s="319"/>
      <c r="G353" s="319"/>
      <c r="H353" s="319"/>
      <c r="I353" s="319"/>
      <c r="J353" s="284" t="s">
        <v>4693</v>
      </c>
      <c r="K353" s="310" t="s">
        <v>4531</v>
      </c>
      <c r="L353" s="313" t="s">
        <v>6050</v>
      </c>
      <c r="M353" s="310" t="s">
        <v>4505</v>
      </c>
      <c r="N353" s="313" t="s">
        <v>4696</v>
      </c>
      <c r="O353" s="14" t="s">
        <v>4503</v>
      </c>
      <c r="P353" s="313" t="s">
        <v>4467</v>
      </c>
      <c r="Q353" s="313" t="s">
        <v>4467</v>
      </c>
      <c r="R353" s="313" t="s">
        <v>4417</v>
      </c>
      <c r="S353" s="313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13" t="s">
        <v>4417</v>
      </c>
      <c r="Y353" s="313" t="s">
        <v>5786</v>
      </c>
      <c r="Z353" s="313" t="s">
        <v>4555</v>
      </c>
      <c r="AA353" s="14">
        <v>10</v>
      </c>
      <c r="AB353" s="227">
        <v>0</v>
      </c>
      <c r="AC353" s="14">
        <v>0</v>
      </c>
      <c r="AD353" s="310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31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8"/>
        <v>20</v>
      </c>
      <c r="AW353" s="314" t="s">
        <v>5653</v>
      </c>
      <c r="AX353" s="312" t="s">
        <v>4692</v>
      </c>
      <c r="AY353" s="21">
        <f>442/AZ353/0.25</f>
        <v>88.4</v>
      </c>
      <c r="AZ353" s="21">
        <v>20</v>
      </c>
      <c r="BA353" s="38">
        <f t="shared" si="165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12" t="s">
        <v>4462</v>
      </c>
      <c r="BI353" s="312" t="s">
        <v>4462</v>
      </c>
      <c r="BJ353" s="312">
        <v>4</v>
      </c>
      <c r="BK353" s="312">
        <v>8</v>
      </c>
      <c r="BL353" s="314">
        <v>150</v>
      </c>
      <c r="BM353" s="312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310" t="s">
        <v>5850</v>
      </c>
      <c r="BU353" s="313">
        <v>7</v>
      </c>
      <c r="BV353" s="313">
        <v>1</v>
      </c>
      <c r="BW353" s="313">
        <v>19</v>
      </c>
      <c r="BX353" s="313">
        <v>90</v>
      </c>
      <c r="BY353" s="34">
        <v>150</v>
      </c>
      <c r="BZ353" s="14">
        <v>450</v>
      </c>
      <c r="CA353" s="313" t="s">
        <v>4569</v>
      </c>
      <c r="CB353" s="313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13">
        <v>235</v>
      </c>
      <c r="CI353" s="23">
        <v>267.2</v>
      </c>
      <c r="CJ353" s="313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12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13">
        <v>10.9</v>
      </c>
      <c r="DH353" s="313">
        <v>900</v>
      </c>
      <c r="DI353" s="313">
        <v>942</v>
      </c>
      <c r="DJ353" s="313">
        <v>1000</v>
      </c>
      <c r="DK353" s="313">
        <v>1048</v>
      </c>
      <c r="DL353" s="75">
        <v>205000</v>
      </c>
      <c r="DM353" s="27" t="s">
        <v>5827</v>
      </c>
      <c r="DN353" s="310" t="s">
        <v>4557</v>
      </c>
      <c r="DO353" s="302" t="s">
        <v>6315</v>
      </c>
    </row>
    <row r="354" spans="1:119" ht="16.2" thickBot="1">
      <c r="A354" s="314">
        <v>349</v>
      </c>
      <c r="B354" s="298">
        <v>55</v>
      </c>
      <c r="C354" s="298">
        <v>2018</v>
      </c>
      <c r="D354" s="314" t="s">
        <v>5552</v>
      </c>
      <c r="E354" s="314" t="s">
        <v>5633</v>
      </c>
      <c r="F354" s="298">
        <v>1</v>
      </c>
      <c r="G354" s="298" t="s">
        <v>5925</v>
      </c>
      <c r="H354" s="298" t="s">
        <v>5914</v>
      </c>
      <c r="I354" s="298" t="s">
        <v>6249</v>
      </c>
      <c r="J354" s="283" t="s">
        <v>4508</v>
      </c>
      <c r="K354" s="314" t="s">
        <v>4380</v>
      </c>
      <c r="L354" s="312" t="s">
        <v>5786</v>
      </c>
      <c r="M354" s="314" t="s">
        <v>4504</v>
      </c>
      <c r="N354" s="312" t="s">
        <v>4698</v>
      </c>
      <c r="O354" s="18" t="s">
        <v>4502</v>
      </c>
      <c r="P354" s="312" t="s">
        <v>4417</v>
      </c>
      <c r="Q354" s="312" t="s">
        <v>4417</v>
      </c>
      <c r="R354" s="312" t="s">
        <v>4417</v>
      </c>
      <c r="S354" s="312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12" t="s">
        <v>4417</v>
      </c>
      <c r="Y354" s="312" t="s">
        <v>5786</v>
      </c>
      <c r="Z354" s="312" t="s">
        <v>4555</v>
      </c>
      <c r="AA354" s="18">
        <v>6</v>
      </c>
      <c r="AB354" s="222">
        <v>0</v>
      </c>
      <c r="AC354" s="18">
        <v>0</v>
      </c>
      <c r="AD354" s="314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314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65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13">
        <v>235</v>
      </c>
      <c r="CI354" s="21">
        <v>262.39999999999998</v>
      </c>
      <c r="CJ354" s="313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12">
        <v>10.9</v>
      </c>
      <c r="DH354" s="311">
        <v>900</v>
      </c>
      <c r="DI354" s="30">
        <v>990</v>
      </c>
      <c r="DJ354" s="311">
        <v>1000</v>
      </c>
      <c r="DK354" s="30">
        <v>1100</v>
      </c>
      <c r="DL354" s="74">
        <v>200000</v>
      </c>
      <c r="DM354" s="29" t="s">
        <v>5828</v>
      </c>
      <c r="DN354" s="312" t="s">
        <v>4557</v>
      </c>
      <c r="DO354" s="301" t="s">
        <v>4562</v>
      </c>
    </row>
    <row r="355" spans="1:119" ht="15.6" customHeight="1">
      <c r="A355" s="306">
        <v>350</v>
      </c>
      <c r="B355" s="317">
        <v>56</v>
      </c>
      <c r="C355" s="317">
        <v>2018</v>
      </c>
      <c r="D355" s="415" t="s">
        <v>4677</v>
      </c>
      <c r="E355" s="329" t="s">
        <v>6250</v>
      </c>
      <c r="F355" s="317">
        <v>4</v>
      </c>
      <c r="G355" s="317" t="s">
        <v>5929</v>
      </c>
      <c r="H355" s="317" t="s">
        <v>5928</v>
      </c>
      <c r="I355" s="317" t="s">
        <v>6251</v>
      </c>
      <c r="J355" s="283" t="s">
        <v>6252</v>
      </c>
      <c r="K355" s="306" t="s">
        <v>4380</v>
      </c>
      <c r="L355" s="311" t="s">
        <v>5786</v>
      </c>
      <c r="M355" s="309" t="s">
        <v>4505</v>
      </c>
      <c r="N355" s="311" t="s">
        <v>4699</v>
      </c>
      <c r="O355" s="17" t="s">
        <v>4503</v>
      </c>
      <c r="P355" s="311" t="s">
        <v>4417</v>
      </c>
      <c r="Q355" s="311" t="s">
        <v>4417</v>
      </c>
      <c r="R355" s="311" t="s">
        <v>4417</v>
      </c>
      <c r="S355" s="311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311" t="s">
        <v>4417</v>
      </c>
      <c r="Y355" s="311" t="s">
        <v>5786</v>
      </c>
      <c r="Z355" s="311" t="s">
        <v>4555</v>
      </c>
      <c r="AA355" s="17">
        <v>10</v>
      </c>
      <c r="AB355" s="231">
        <v>0</v>
      </c>
      <c r="AC355" s="17">
        <v>924</v>
      </c>
      <c r="AD355" s="311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30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309" t="s">
        <v>6253</v>
      </c>
      <c r="AX355" s="311" t="s">
        <v>6254</v>
      </c>
      <c r="AY355" s="16">
        <f>65/AZ355/0.25</f>
        <v>13</v>
      </c>
      <c r="AZ355" s="311">
        <v>20</v>
      </c>
      <c r="BA355" s="311">
        <f t="shared" si="165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311" t="s">
        <v>6196</v>
      </c>
      <c r="BI355" s="311" t="s">
        <v>6196</v>
      </c>
      <c r="BJ355" s="311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311" t="s">
        <v>4447</v>
      </c>
      <c r="CH355" s="311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311" t="s">
        <v>4447</v>
      </c>
      <c r="CN355" s="311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311" t="s">
        <v>4447</v>
      </c>
      <c r="CT355" s="311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311">
        <v>10.9</v>
      </c>
      <c r="DH355" s="311">
        <v>900</v>
      </c>
      <c r="DI355" s="30">
        <v>990</v>
      </c>
      <c r="DJ355" s="311">
        <v>1000</v>
      </c>
      <c r="DK355" s="30">
        <v>1100</v>
      </c>
      <c r="DL355" s="74">
        <v>200000</v>
      </c>
      <c r="DM355" s="28" t="s">
        <v>6255</v>
      </c>
      <c r="DN355" s="311" t="s">
        <v>4432</v>
      </c>
      <c r="DO355" s="300" t="s">
        <v>4562</v>
      </c>
    </row>
    <row r="356" spans="1:119" ht="15.6" customHeight="1">
      <c r="A356" s="307">
        <v>351</v>
      </c>
      <c r="B356" s="318"/>
      <c r="C356" s="318"/>
      <c r="D356" s="420"/>
      <c r="E356" s="330"/>
      <c r="F356" s="318"/>
      <c r="G356" s="318"/>
      <c r="H356" s="318"/>
      <c r="I356" s="318"/>
      <c r="J356" s="285" t="s">
        <v>6256</v>
      </c>
      <c r="K356" s="307" t="s">
        <v>4380</v>
      </c>
      <c r="L356" s="312" t="s">
        <v>5786</v>
      </c>
      <c r="M356" s="314" t="s">
        <v>4505</v>
      </c>
      <c r="N356" s="312" t="s">
        <v>4699</v>
      </c>
      <c r="O356" s="18" t="s">
        <v>4503</v>
      </c>
      <c r="P356" s="312" t="s">
        <v>4417</v>
      </c>
      <c r="Q356" s="312" t="s">
        <v>4417</v>
      </c>
      <c r="R356" s="312" t="s">
        <v>4417</v>
      </c>
      <c r="S356" s="312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12" t="s">
        <v>4417</v>
      </c>
      <c r="Y356" s="312" t="s">
        <v>5786</v>
      </c>
      <c r="Z356" s="312" t="s">
        <v>4555</v>
      </c>
      <c r="AA356" s="18">
        <v>10</v>
      </c>
      <c r="AB356" s="222">
        <v>0</v>
      </c>
      <c r="AC356" s="18">
        <v>924</v>
      </c>
      <c r="AD356" s="312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14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4" t="s">
        <v>6253</v>
      </c>
      <c r="AX356" s="312" t="s">
        <v>6257</v>
      </c>
      <c r="AY356" s="21">
        <f>75/AZ356/0.25</f>
        <v>12.5</v>
      </c>
      <c r="AZ356" s="312">
        <v>24</v>
      </c>
      <c r="BA356" s="312">
        <f t="shared" si="165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12" t="s">
        <v>6196</v>
      </c>
      <c r="BI356" s="312" t="s">
        <v>6196</v>
      </c>
      <c r="BJ356" s="312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12" t="s">
        <v>4447</v>
      </c>
      <c r="CH356" s="312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12" t="s">
        <v>4447</v>
      </c>
      <c r="CN356" s="312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12" t="s">
        <v>4447</v>
      </c>
      <c r="CT356" s="312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12">
        <v>10.9</v>
      </c>
      <c r="DH356" s="312">
        <v>900</v>
      </c>
      <c r="DI356" s="32">
        <v>990</v>
      </c>
      <c r="DJ356" s="312">
        <v>1000</v>
      </c>
      <c r="DK356" s="32">
        <v>1100</v>
      </c>
      <c r="DL356" s="59">
        <v>200000</v>
      </c>
      <c r="DM356" s="29" t="s">
        <v>6255</v>
      </c>
      <c r="DN356" s="312" t="s">
        <v>4432</v>
      </c>
      <c r="DO356" s="301" t="s">
        <v>4562</v>
      </c>
    </row>
    <row r="357" spans="1:119">
      <c r="A357" s="307">
        <v>352</v>
      </c>
      <c r="B357" s="318"/>
      <c r="C357" s="318"/>
      <c r="D357" s="420"/>
      <c r="E357" s="330"/>
      <c r="F357" s="318"/>
      <c r="G357" s="318"/>
      <c r="H357" s="318"/>
      <c r="I357" s="318"/>
      <c r="J357" s="285" t="s">
        <v>6258</v>
      </c>
      <c r="K357" s="307" t="s">
        <v>4380</v>
      </c>
      <c r="L357" s="312" t="s">
        <v>5786</v>
      </c>
      <c r="M357" s="314" t="s">
        <v>4505</v>
      </c>
      <c r="N357" s="312" t="s">
        <v>4699</v>
      </c>
      <c r="O357" s="18" t="s">
        <v>4503</v>
      </c>
      <c r="P357" s="312" t="s">
        <v>4417</v>
      </c>
      <c r="Q357" s="312" t="s">
        <v>4417</v>
      </c>
      <c r="R357" s="312" t="s">
        <v>4417</v>
      </c>
      <c r="S357" s="312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12" t="s">
        <v>4417</v>
      </c>
      <c r="Y357" s="312" t="s">
        <v>5786</v>
      </c>
      <c r="Z357" s="312" t="s">
        <v>4555</v>
      </c>
      <c r="AA357" s="18">
        <v>10</v>
      </c>
      <c r="AB357" s="222">
        <v>0</v>
      </c>
      <c r="AC357" s="18">
        <v>924</v>
      </c>
      <c r="AD357" s="312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14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4" t="s">
        <v>6253</v>
      </c>
      <c r="AX357" s="312" t="s">
        <v>6254</v>
      </c>
      <c r="AY357" s="21">
        <f t="shared" ref="AY357" si="190">65/AZ357/0.25</f>
        <v>13</v>
      </c>
      <c r="AZ357" s="312">
        <v>20</v>
      </c>
      <c r="BA357" s="312">
        <f t="shared" si="165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12" t="s">
        <v>4462</v>
      </c>
      <c r="BI357" s="312" t="s">
        <v>4462</v>
      </c>
      <c r="BJ357" s="312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12" t="s">
        <v>4447</v>
      </c>
      <c r="CH357" s="312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12" t="s">
        <v>4447</v>
      </c>
      <c r="CN357" s="312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12" t="s">
        <v>4447</v>
      </c>
      <c r="CT357" s="312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7">
        <v>10.9</v>
      </c>
      <c r="DH357" s="307">
        <v>900</v>
      </c>
      <c r="DI357" s="32">
        <v>990</v>
      </c>
      <c r="DJ357" s="307">
        <v>1000</v>
      </c>
      <c r="DK357" s="32">
        <v>1100</v>
      </c>
      <c r="DL357" s="59">
        <v>200000</v>
      </c>
      <c r="DM357" s="29" t="s">
        <v>6255</v>
      </c>
      <c r="DN357" s="314" t="s">
        <v>4432</v>
      </c>
      <c r="DO357" s="301" t="s">
        <v>4562</v>
      </c>
    </row>
    <row r="358" spans="1:119" ht="15.6" customHeight="1" thickBot="1">
      <c r="A358" s="308">
        <v>353</v>
      </c>
      <c r="B358" s="318"/>
      <c r="C358" s="318"/>
      <c r="D358" s="420"/>
      <c r="E358" s="330"/>
      <c r="F358" s="318"/>
      <c r="G358" s="319"/>
      <c r="H358" s="319"/>
      <c r="I358" s="319"/>
      <c r="J358" s="284" t="s">
        <v>6259</v>
      </c>
      <c r="K358" s="308" t="s">
        <v>4380</v>
      </c>
      <c r="L358" s="313" t="s">
        <v>5786</v>
      </c>
      <c r="M358" s="310" t="s">
        <v>4505</v>
      </c>
      <c r="N358" s="313" t="s">
        <v>4699</v>
      </c>
      <c r="O358" s="14" t="s">
        <v>4503</v>
      </c>
      <c r="P358" s="313" t="s">
        <v>4417</v>
      </c>
      <c r="Q358" s="313" t="s">
        <v>4417</v>
      </c>
      <c r="R358" s="313" t="s">
        <v>4417</v>
      </c>
      <c r="S358" s="313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13" t="s">
        <v>4417</v>
      </c>
      <c r="Y358" s="313" t="s">
        <v>5786</v>
      </c>
      <c r="Z358" s="313" t="s">
        <v>4555</v>
      </c>
      <c r="AA358" s="14">
        <v>10</v>
      </c>
      <c r="AB358" s="227">
        <v>0</v>
      </c>
      <c r="AC358" s="14">
        <v>924</v>
      </c>
      <c r="AD358" s="313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1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5" t="s">
        <v>6253</v>
      </c>
      <c r="AX358" s="313" t="s">
        <v>6257</v>
      </c>
      <c r="AY358" s="23">
        <f>75/AZ358/0.25</f>
        <v>12.5</v>
      </c>
      <c r="AZ358" s="313">
        <v>24</v>
      </c>
      <c r="BA358" s="313">
        <f t="shared" si="165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13" t="s">
        <v>4462</v>
      </c>
      <c r="BI358" s="313" t="s">
        <v>4462</v>
      </c>
      <c r="BJ358" s="313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12" t="s">
        <v>4447</v>
      </c>
      <c r="CH358" s="312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12" t="s">
        <v>4447</v>
      </c>
      <c r="CN358" s="312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12" t="s">
        <v>4447</v>
      </c>
      <c r="CT358" s="312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7">
        <v>10.9</v>
      </c>
      <c r="DH358" s="307">
        <v>900</v>
      </c>
      <c r="DI358" s="32">
        <v>990</v>
      </c>
      <c r="DJ358" s="307">
        <v>1000</v>
      </c>
      <c r="DK358" s="32">
        <v>1100</v>
      </c>
      <c r="DL358" s="59">
        <v>200000</v>
      </c>
      <c r="DM358" s="27" t="s">
        <v>6255</v>
      </c>
      <c r="DN358" s="310" t="s">
        <v>4432</v>
      </c>
      <c r="DO358" s="301" t="s">
        <v>4562</v>
      </c>
    </row>
    <row r="359" spans="1:119">
      <c r="A359" s="309">
        <v>354</v>
      </c>
      <c r="B359" s="380">
        <v>57</v>
      </c>
      <c r="C359" s="380">
        <v>2019</v>
      </c>
      <c r="D359" s="424" t="s">
        <v>4682</v>
      </c>
      <c r="E359" s="417" t="s">
        <v>4834</v>
      </c>
      <c r="F359" s="317">
        <v>2</v>
      </c>
      <c r="G359" s="317" t="s">
        <v>5926</v>
      </c>
      <c r="H359" s="317" t="s">
        <v>5917</v>
      </c>
      <c r="I359" s="317" t="s">
        <v>6248</v>
      </c>
      <c r="J359" s="283" t="s">
        <v>6362</v>
      </c>
      <c r="K359" s="309" t="s">
        <v>6328</v>
      </c>
      <c r="L359" s="311" t="s">
        <v>5786</v>
      </c>
      <c r="M359" s="309" t="s">
        <v>4504</v>
      </c>
      <c r="N359" s="311" t="s">
        <v>4698</v>
      </c>
      <c r="O359" s="17" t="s">
        <v>4503</v>
      </c>
      <c r="P359" s="311" t="s">
        <v>6326</v>
      </c>
      <c r="Q359" s="311" t="s">
        <v>4467</v>
      </c>
      <c r="R359" s="311" t="s">
        <v>4417</v>
      </c>
      <c r="S359" s="311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311" t="s">
        <v>4417</v>
      </c>
      <c r="Y359" s="311" t="s">
        <v>5786</v>
      </c>
      <c r="Z359" s="311" t="s">
        <v>4555</v>
      </c>
      <c r="AA359" s="17">
        <v>10</v>
      </c>
      <c r="AB359" s="231">
        <v>0</v>
      </c>
      <c r="AC359" s="17">
        <v>0</v>
      </c>
      <c r="AD359" s="30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309" t="s">
        <v>6368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8"/>
        <v>4</v>
      </c>
      <c r="AW359" s="309" t="s">
        <v>5666</v>
      </c>
      <c r="AX359" s="311" t="s">
        <v>4498</v>
      </c>
      <c r="AY359" s="16">
        <f>380/AZ359/0.25</f>
        <v>76</v>
      </c>
      <c r="AZ359" s="311">
        <v>20</v>
      </c>
      <c r="BA359" s="311">
        <f t="shared" ref="BA359:BA369" si="191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11" t="s">
        <v>6196</v>
      </c>
      <c r="BI359" s="311" t="s">
        <v>6196</v>
      </c>
      <c r="BJ359" s="311">
        <v>2</v>
      </c>
      <c r="BK359" s="311">
        <v>6</v>
      </c>
      <c r="BL359" s="309">
        <v>120</v>
      </c>
      <c r="BM359" s="311">
        <v>1600</v>
      </c>
      <c r="BN359" s="311" t="s">
        <v>6183</v>
      </c>
      <c r="BO359" s="311">
        <v>1</v>
      </c>
      <c r="BP359" s="311">
        <v>300</v>
      </c>
      <c r="BQ359" s="311">
        <v>1620</v>
      </c>
      <c r="BR359" s="311">
        <v>55</v>
      </c>
      <c r="BS359" s="311" t="s">
        <v>4587</v>
      </c>
      <c r="BT359" s="309" t="s">
        <v>5850</v>
      </c>
      <c r="BU359" s="311">
        <v>6</v>
      </c>
      <c r="BV359" s="311">
        <v>1</v>
      </c>
      <c r="BW359" s="311">
        <v>19</v>
      </c>
      <c r="BX359" s="311">
        <v>100</v>
      </c>
      <c r="BY359" s="311">
        <v>200</v>
      </c>
      <c r="BZ359" s="17">
        <v>300</v>
      </c>
      <c r="CA359" s="309" t="s">
        <v>4583</v>
      </c>
      <c r="CB359" s="311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311" t="s">
        <v>5656</v>
      </c>
      <c r="CH359" s="63">
        <v>350</v>
      </c>
      <c r="CI359" s="311">
        <v>485</v>
      </c>
      <c r="CJ359" s="63">
        <v>470</v>
      </c>
      <c r="CK359" s="311">
        <v>552</v>
      </c>
      <c r="CL359" s="64">
        <v>200000</v>
      </c>
      <c r="CM359" s="309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311" t="s">
        <v>5656</v>
      </c>
      <c r="CT359" s="63">
        <v>350</v>
      </c>
      <c r="CU359" s="311">
        <v>367</v>
      </c>
      <c r="CV359" s="63">
        <v>470</v>
      </c>
      <c r="CW359" s="311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97">
        <v>550</v>
      </c>
      <c r="DG359" s="311">
        <v>8.8000000000000007</v>
      </c>
      <c r="DH359" s="311">
        <v>640</v>
      </c>
      <c r="DI359" s="311">
        <v>820</v>
      </c>
      <c r="DJ359" s="311">
        <v>800</v>
      </c>
      <c r="DK359" s="311">
        <v>966</v>
      </c>
      <c r="DL359" s="74">
        <v>200000</v>
      </c>
      <c r="DM359" s="28" t="s">
        <v>6001</v>
      </c>
      <c r="DN359" s="311" t="s">
        <v>4557</v>
      </c>
      <c r="DO359" s="300" t="s">
        <v>4562</v>
      </c>
    </row>
    <row r="360" spans="1:119" ht="16.2" thickBot="1">
      <c r="A360" s="310">
        <v>355</v>
      </c>
      <c r="B360" s="381"/>
      <c r="C360" s="381"/>
      <c r="D360" s="426"/>
      <c r="E360" s="418"/>
      <c r="F360" s="319"/>
      <c r="G360" s="319"/>
      <c r="H360" s="319"/>
      <c r="I360" s="319"/>
      <c r="J360" s="284" t="s">
        <v>6369</v>
      </c>
      <c r="K360" s="310" t="s">
        <v>6333</v>
      </c>
      <c r="L360" s="313" t="s">
        <v>6054</v>
      </c>
      <c r="M360" s="310" t="s">
        <v>4504</v>
      </c>
      <c r="N360" s="313" t="s">
        <v>4698</v>
      </c>
      <c r="O360" s="14" t="s">
        <v>4503</v>
      </c>
      <c r="P360" s="313" t="s">
        <v>6326</v>
      </c>
      <c r="Q360" s="313" t="s">
        <v>4467</v>
      </c>
      <c r="R360" s="313" t="s">
        <v>4417</v>
      </c>
      <c r="S360" s="313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13" t="s">
        <v>4417</v>
      </c>
      <c r="Y360" s="313" t="s">
        <v>5786</v>
      </c>
      <c r="Z360" s="313" t="s">
        <v>4555</v>
      </c>
      <c r="AA360" s="14">
        <v>10</v>
      </c>
      <c r="AB360" s="227">
        <v>0</v>
      </c>
      <c r="AC360" s="14">
        <v>0</v>
      </c>
      <c r="AD360" s="31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10" t="s">
        <v>6368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8"/>
        <v>4</v>
      </c>
      <c r="AW360" s="310" t="s">
        <v>5666</v>
      </c>
      <c r="AX360" s="313" t="s">
        <v>4498</v>
      </c>
      <c r="AY360" s="23">
        <f>380/AZ360/0.25</f>
        <v>76</v>
      </c>
      <c r="AZ360" s="313">
        <v>20</v>
      </c>
      <c r="BA360" s="313">
        <f t="shared" si="191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13" t="s">
        <v>6196</v>
      </c>
      <c r="BI360" s="313" t="s">
        <v>6196</v>
      </c>
      <c r="BJ360" s="313">
        <v>2</v>
      </c>
      <c r="BK360" s="313">
        <v>6</v>
      </c>
      <c r="BL360" s="310">
        <v>120</v>
      </c>
      <c r="BM360" s="313">
        <v>1600</v>
      </c>
      <c r="BN360" s="313" t="s">
        <v>6183</v>
      </c>
      <c r="BO360" s="313">
        <v>1</v>
      </c>
      <c r="BP360" s="313">
        <v>300</v>
      </c>
      <c r="BQ360" s="313">
        <v>1620</v>
      </c>
      <c r="BR360" s="313">
        <v>55</v>
      </c>
      <c r="BS360" s="313" t="s">
        <v>4587</v>
      </c>
      <c r="BT360" s="310" t="s">
        <v>5850</v>
      </c>
      <c r="BU360" s="313">
        <v>6</v>
      </c>
      <c r="BV360" s="313">
        <v>1</v>
      </c>
      <c r="BW360" s="313">
        <v>19</v>
      </c>
      <c r="BX360" s="313">
        <v>100</v>
      </c>
      <c r="BY360" s="313">
        <v>200</v>
      </c>
      <c r="BZ360" s="14">
        <v>300</v>
      </c>
      <c r="CA360" s="310" t="s">
        <v>4583</v>
      </c>
      <c r="CB360" s="313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13" t="s">
        <v>5656</v>
      </c>
      <c r="CH360" s="85">
        <v>350</v>
      </c>
      <c r="CI360" s="313">
        <v>485</v>
      </c>
      <c r="CJ360" s="85">
        <v>470</v>
      </c>
      <c r="CK360" s="313">
        <v>552</v>
      </c>
      <c r="CL360" s="68">
        <v>200000</v>
      </c>
      <c r="CM360" s="310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13" t="s">
        <v>5656</v>
      </c>
      <c r="CT360" s="85">
        <v>350</v>
      </c>
      <c r="CU360" s="313">
        <v>367</v>
      </c>
      <c r="CV360" s="85">
        <v>470</v>
      </c>
      <c r="CW360" s="313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99">
        <v>550</v>
      </c>
      <c r="DG360" s="313">
        <v>8.8000000000000007</v>
      </c>
      <c r="DH360" s="313">
        <v>640</v>
      </c>
      <c r="DI360" s="313">
        <v>820</v>
      </c>
      <c r="DJ360" s="313">
        <v>800</v>
      </c>
      <c r="DK360" s="313">
        <v>966</v>
      </c>
      <c r="DL360" s="75">
        <v>200000</v>
      </c>
      <c r="DM360" s="27" t="s">
        <v>6001</v>
      </c>
      <c r="DN360" s="310" t="s">
        <v>4557</v>
      </c>
      <c r="DO360" s="302" t="s">
        <v>6004</v>
      </c>
    </row>
    <row r="361" spans="1:119" ht="15.6" customHeight="1">
      <c r="A361" s="309">
        <v>356</v>
      </c>
      <c r="B361" s="317">
        <v>58</v>
      </c>
      <c r="C361" s="317">
        <v>2019</v>
      </c>
      <c r="D361" s="317" t="s">
        <v>5640</v>
      </c>
      <c r="E361" s="317" t="s">
        <v>4867</v>
      </c>
      <c r="F361" s="317">
        <v>3</v>
      </c>
      <c r="G361" s="317" t="s">
        <v>5927</v>
      </c>
      <c r="H361" s="317" t="s">
        <v>5896</v>
      </c>
      <c r="I361" s="317" t="s">
        <v>6260</v>
      </c>
      <c r="J361" s="283" t="s">
        <v>4797</v>
      </c>
      <c r="K361" s="309" t="s">
        <v>4380</v>
      </c>
      <c r="L361" s="311" t="s">
        <v>5786</v>
      </c>
      <c r="M361" s="309" t="s">
        <v>4505</v>
      </c>
      <c r="N361" s="311" t="s">
        <v>4699</v>
      </c>
      <c r="O361" s="17" t="s">
        <v>4503</v>
      </c>
      <c r="P361" s="311" t="s">
        <v>4417</v>
      </c>
      <c r="Q361" s="311" t="s">
        <v>4417</v>
      </c>
      <c r="R361" s="311" t="s">
        <v>4417</v>
      </c>
      <c r="S361" s="311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311" t="s">
        <v>4417</v>
      </c>
      <c r="Y361" s="311" t="s">
        <v>5786</v>
      </c>
      <c r="Z361" s="311" t="s">
        <v>4555</v>
      </c>
      <c r="AA361" s="17">
        <v>6</v>
      </c>
      <c r="AB361" s="231">
        <v>0</v>
      </c>
      <c r="AC361" s="17">
        <v>0</v>
      </c>
      <c r="AD361" s="30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9" t="s">
        <v>5801</v>
      </c>
      <c r="AX361" s="311" t="s">
        <v>4495</v>
      </c>
      <c r="AY361" s="16">
        <f>0.175*BA361*DJ361/1000</f>
        <v>21.98</v>
      </c>
      <c r="AZ361" s="311">
        <v>16</v>
      </c>
      <c r="BA361" s="311">
        <f t="shared" si="191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11" t="s">
        <v>6196</v>
      </c>
      <c r="BI361" s="311" t="s">
        <v>6196</v>
      </c>
      <c r="BJ361" s="311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309" t="s">
        <v>5655</v>
      </c>
      <c r="CH361" s="311">
        <v>235</v>
      </c>
      <c r="CI361" s="16">
        <v>256</v>
      </c>
      <c r="CJ361" s="311">
        <v>630</v>
      </c>
      <c r="CK361" s="16">
        <v>641</v>
      </c>
      <c r="CL361" s="80">
        <v>201100</v>
      </c>
      <c r="CM361" s="309" t="s">
        <v>5655</v>
      </c>
      <c r="CN361" s="311">
        <v>235</v>
      </c>
      <c r="CO361" s="16">
        <v>256</v>
      </c>
      <c r="CP361" s="311">
        <v>630</v>
      </c>
      <c r="CQ361" s="16">
        <v>641</v>
      </c>
      <c r="CR361" s="80">
        <v>201100</v>
      </c>
      <c r="CS361" s="309" t="s">
        <v>5655</v>
      </c>
      <c r="CT361" s="311">
        <v>235</v>
      </c>
      <c r="CU361" s="16">
        <v>335</v>
      </c>
      <c r="CV361" s="311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311" t="s">
        <v>5663</v>
      </c>
      <c r="DH361" s="311">
        <v>640</v>
      </c>
      <c r="DI361" s="16">
        <v>636.9</v>
      </c>
      <c r="DJ361" s="311">
        <v>800</v>
      </c>
      <c r="DK361" s="16">
        <v>796</v>
      </c>
      <c r="DL361" s="64">
        <v>200000</v>
      </c>
      <c r="DM361" s="28" t="s">
        <v>5829</v>
      </c>
      <c r="DN361" s="311" t="s">
        <v>4432</v>
      </c>
      <c r="DO361" s="300" t="s">
        <v>4562</v>
      </c>
    </row>
    <row r="362" spans="1:119">
      <c r="A362" s="314">
        <v>357</v>
      </c>
      <c r="B362" s="318"/>
      <c r="C362" s="318"/>
      <c r="D362" s="318"/>
      <c r="E362" s="318"/>
      <c r="F362" s="318"/>
      <c r="G362" s="318"/>
      <c r="H362" s="318"/>
      <c r="I362" s="318"/>
      <c r="J362" s="285" t="s">
        <v>4815</v>
      </c>
      <c r="K362" s="314" t="s">
        <v>4380</v>
      </c>
      <c r="L362" s="312" t="s">
        <v>5786</v>
      </c>
      <c r="M362" s="314" t="s">
        <v>4505</v>
      </c>
      <c r="N362" s="312" t="s">
        <v>4699</v>
      </c>
      <c r="O362" s="18" t="s">
        <v>4503</v>
      </c>
      <c r="P362" s="312" t="s">
        <v>4417</v>
      </c>
      <c r="Q362" s="312" t="s">
        <v>4417</v>
      </c>
      <c r="R362" s="312" t="s">
        <v>4417</v>
      </c>
      <c r="S362" s="312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12" t="s">
        <v>4417</v>
      </c>
      <c r="Y362" s="312" t="s">
        <v>5786</v>
      </c>
      <c r="Z362" s="312" t="s">
        <v>4555</v>
      </c>
      <c r="AA362" s="18">
        <v>6</v>
      </c>
      <c r="AB362" s="222">
        <v>0</v>
      </c>
      <c r="AC362" s="18">
        <v>0</v>
      </c>
      <c r="AD362" s="312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14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14" t="s">
        <v>5653</v>
      </c>
      <c r="AX362" s="312" t="s">
        <v>4817</v>
      </c>
      <c r="AY362" s="21">
        <f>190/AZ362/0.25</f>
        <v>47.5</v>
      </c>
      <c r="AZ362" s="312">
        <v>16</v>
      </c>
      <c r="BA362" s="312">
        <f t="shared" si="191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12" t="s">
        <v>6196</v>
      </c>
      <c r="BI362" s="312" t="s">
        <v>6196</v>
      </c>
      <c r="BJ362" s="312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314" t="s">
        <v>5655</v>
      </c>
      <c r="CH362" s="312">
        <v>235</v>
      </c>
      <c r="CI362" s="21">
        <v>507</v>
      </c>
      <c r="CJ362" s="312">
        <v>630</v>
      </c>
      <c r="CK362" s="21">
        <v>730</v>
      </c>
      <c r="CL362" s="62">
        <v>199010</v>
      </c>
      <c r="CM362" s="314" t="s">
        <v>5655</v>
      </c>
      <c r="CN362" s="312">
        <v>235</v>
      </c>
      <c r="CO362" s="21">
        <v>256</v>
      </c>
      <c r="CP362" s="312">
        <v>630</v>
      </c>
      <c r="CQ362" s="21">
        <v>641</v>
      </c>
      <c r="CR362" s="62">
        <v>201100</v>
      </c>
      <c r="CS362" s="314" t="s">
        <v>5655</v>
      </c>
      <c r="CT362" s="312">
        <v>235</v>
      </c>
      <c r="CU362" s="21">
        <v>289</v>
      </c>
      <c r="CV362" s="312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12" t="s">
        <v>5664</v>
      </c>
      <c r="DH362" s="312">
        <v>515</v>
      </c>
      <c r="DI362" s="21">
        <v>637</v>
      </c>
      <c r="DJ362" s="312">
        <v>800</v>
      </c>
      <c r="DK362" s="21">
        <v>735</v>
      </c>
      <c r="DL362" s="65">
        <v>180000</v>
      </c>
      <c r="DM362" s="29" t="s">
        <v>5826</v>
      </c>
      <c r="DN362" s="312" t="s">
        <v>4432</v>
      </c>
      <c r="DO362" s="301" t="s">
        <v>4562</v>
      </c>
    </row>
    <row r="363" spans="1:119" ht="16.2" thickBot="1">
      <c r="A363" s="310">
        <v>358</v>
      </c>
      <c r="B363" s="319"/>
      <c r="C363" s="319"/>
      <c r="D363" s="319"/>
      <c r="E363" s="319"/>
      <c r="F363" s="319"/>
      <c r="G363" s="319"/>
      <c r="H363" s="319"/>
      <c r="I363" s="319"/>
      <c r="J363" s="284" t="s">
        <v>4816</v>
      </c>
      <c r="K363" s="310" t="s">
        <v>4380</v>
      </c>
      <c r="L363" s="313" t="s">
        <v>5786</v>
      </c>
      <c r="M363" s="310" t="s">
        <v>4505</v>
      </c>
      <c r="N363" s="313" t="s">
        <v>4699</v>
      </c>
      <c r="O363" s="14" t="s">
        <v>4503</v>
      </c>
      <c r="P363" s="313" t="s">
        <v>4417</v>
      </c>
      <c r="Q363" s="313" t="s">
        <v>4417</v>
      </c>
      <c r="R363" s="313" t="s">
        <v>4417</v>
      </c>
      <c r="S363" s="313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13" t="s">
        <v>4417</v>
      </c>
      <c r="Y363" s="313" t="s">
        <v>5786</v>
      </c>
      <c r="Z363" s="313" t="s">
        <v>4555</v>
      </c>
      <c r="AA363" s="14">
        <v>6</v>
      </c>
      <c r="AB363" s="227">
        <v>0</v>
      </c>
      <c r="AC363" s="14">
        <v>0</v>
      </c>
      <c r="AD363" s="313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1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10" t="s">
        <v>5653</v>
      </c>
      <c r="AX363" s="313" t="s">
        <v>4817</v>
      </c>
      <c r="AY363" s="23">
        <f>190/AZ363/0.25</f>
        <v>47.5</v>
      </c>
      <c r="AZ363" s="313">
        <v>16</v>
      </c>
      <c r="BA363" s="313">
        <f t="shared" si="191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13" t="s">
        <v>6196</v>
      </c>
      <c r="BI363" s="313" t="s">
        <v>6196</v>
      </c>
      <c r="BJ363" s="313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310" t="s">
        <v>5655</v>
      </c>
      <c r="CH363" s="313">
        <v>235</v>
      </c>
      <c r="CI363" s="23">
        <v>334</v>
      </c>
      <c r="CJ363" s="313">
        <v>630</v>
      </c>
      <c r="CK363" s="23">
        <v>640</v>
      </c>
      <c r="CL363" s="82">
        <v>200035</v>
      </c>
      <c r="CM363" s="310" t="s">
        <v>5655</v>
      </c>
      <c r="CN363" s="313">
        <v>235</v>
      </c>
      <c r="CO363" s="23">
        <v>256</v>
      </c>
      <c r="CP363" s="313">
        <v>630</v>
      </c>
      <c r="CQ363" s="23">
        <v>641</v>
      </c>
      <c r="CR363" s="82">
        <v>201100</v>
      </c>
      <c r="CS363" s="310" t="s">
        <v>5655</v>
      </c>
      <c r="CT363" s="313">
        <v>235</v>
      </c>
      <c r="CU363" s="23">
        <v>276</v>
      </c>
      <c r="CV363" s="313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13" t="s">
        <v>5664</v>
      </c>
      <c r="DH363" s="313">
        <v>515</v>
      </c>
      <c r="DI363" s="23">
        <v>637</v>
      </c>
      <c r="DJ363" s="313">
        <v>800</v>
      </c>
      <c r="DK363" s="23">
        <v>735</v>
      </c>
      <c r="DL363" s="68">
        <v>180000</v>
      </c>
      <c r="DM363" s="27" t="s">
        <v>4818</v>
      </c>
      <c r="DN363" s="310" t="s">
        <v>4432</v>
      </c>
      <c r="DO363" s="302" t="s">
        <v>4562</v>
      </c>
    </row>
    <row r="364" spans="1:119">
      <c r="A364" s="309">
        <v>359</v>
      </c>
      <c r="B364" s="317">
        <v>59</v>
      </c>
      <c r="C364" s="317">
        <v>2020</v>
      </c>
      <c r="D364" s="317" t="s">
        <v>4671</v>
      </c>
      <c r="E364" s="317" t="s">
        <v>5670</v>
      </c>
      <c r="F364" s="317">
        <v>6</v>
      </c>
      <c r="G364" s="317" t="s">
        <v>5925</v>
      </c>
      <c r="H364" s="317" t="s">
        <v>5914</v>
      </c>
      <c r="I364" s="317" t="s">
        <v>6261</v>
      </c>
      <c r="J364" s="283" t="s">
        <v>5634</v>
      </c>
      <c r="K364" s="309" t="s">
        <v>4531</v>
      </c>
      <c r="L364" s="311" t="s">
        <v>6055</v>
      </c>
      <c r="M364" s="309" t="s">
        <v>4505</v>
      </c>
      <c r="N364" s="311" t="s">
        <v>4699</v>
      </c>
      <c r="O364" s="17" t="s">
        <v>4503</v>
      </c>
      <c r="P364" s="311" t="s">
        <v>4417</v>
      </c>
      <c r="Q364" s="311" t="s">
        <v>4467</v>
      </c>
      <c r="R364" s="311" t="s">
        <v>4417</v>
      </c>
      <c r="S364" s="311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311" t="s">
        <v>4417</v>
      </c>
      <c r="Y364" s="311" t="s">
        <v>5786</v>
      </c>
      <c r="Z364" s="311" t="s">
        <v>4555</v>
      </c>
      <c r="AA364" s="86">
        <v>6</v>
      </c>
      <c r="AB364" s="231">
        <v>0</v>
      </c>
      <c r="AC364" s="86">
        <v>1387</v>
      </c>
      <c r="AD364" s="311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30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11" t="s">
        <v>5647</v>
      </c>
      <c r="AX364" s="311" t="s">
        <v>4647</v>
      </c>
      <c r="AY364" s="311">
        <v>70</v>
      </c>
      <c r="AZ364" s="311">
        <v>16</v>
      </c>
      <c r="BA364" s="311">
        <f t="shared" si="191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11" t="s">
        <v>6196</v>
      </c>
      <c r="BI364" s="311" t="s">
        <v>6196</v>
      </c>
      <c r="BJ364" s="311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309" t="s">
        <v>6345</v>
      </c>
      <c r="CH364" s="311">
        <v>345</v>
      </c>
      <c r="CI364" s="16">
        <v>477.1</v>
      </c>
      <c r="CJ364" s="311">
        <v>490</v>
      </c>
      <c r="CK364" s="16">
        <v>609.20000000000005</v>
      </c>
      <c r="CL364" s="79">
        <v>208750</v>
      </c>
      <c r="CM364" s="309" t="s">
        <v>6345</v>
      </c>
      <c r="CN364" s="311">
        <v>345</v>
      </c>
      <c r="CO364" s="16">
        <v>412.5</v>
      </c>
      <c r="CP364" s="311">
        <v>490</v>
      </c>
      <c r="CQ364" s="16">
        <v>592.54999999999995</v>
      </c>
      <c r="CR364" s="80">
        <v>202125</v>
      </c>
      <c r="CS364" s="309" t="s">
        <v>6345</v>
      </c>
      <c r="CT364" s="311">
        <v>345</v>
      </c>
      <c r="CU364" s="16">
        <v>399.2</v>
      </c>
      <c r="CV364" s="311">
        <v>490</v>
      </c>
      <c r="CW364" s="16">
        <v>562.79999999999995</v>
      </c>
      <c r="CX364" s="79">
        <v>197290</v>
      </c>
      <c r="CY364" s="309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311">
        <v>8.8000000000000007</v>
      </c>
      <c r="DH364" s="311">
        <v>640</v>
      </c>
      <c r="DI364" s="30">
        <v>730</v>
      </c>
      <c r="DJ364" s="311">
        <v>800</v>
      </c>
      <c r="DK364" s="30">
        <v>940</v>
      </c>
      <c r="DL364" s="64">
        <v>200000</v>
      </c>
      <c r="DM364" s="28" t="s">
        <v>6022</v>
      </c>
      <c r="DN364" s="311" t="s">
        <v>4432</v>
      </c>
      <c r="DO364" s="300" t="s">
        <v>4562</v>
      </c>
    </row>
    <row r="365" spans="1:119">
      <c r="A365" s="314">
        <v>360</v>
      </c>
      <c r="B365" s="318"/>
      <c r="C365" s="318"/>
      <c r="D365" s="318"/>
      <c r="E365" s="318"/>
      <c r="F365" s="318"/>
      <c r="G365" s="318"/>
      <c r="H365" s="318"/>
      <c r="I365" s="318"/>
      <c r="J365" s="285" t="s">
        <v>5635</v>
      </c>
      <c r="K365" s="314" t="s">
        <v>4531</v>
      </c>
      <c r="L365" s="312" t="s">
        <v>6055</v>
      </c>
      <c r="M365" s="314" t="s">
        <v>4505</v>
      </c>
      <c r="N365" s="312" t="s">
        <v>4699</v>
      </c>
      <c r="O365" s="18" t="s">
        <v>4503</v>
      </c>
      <c r="P365" s="312" t="s">
        <v>4417</v>
      </c>
      <c r="Q365" s="312" t="s">
        <v>4467</v>
      </c>
      <c r="R365" s="312" t="s">
        <v>4417</v>
      </c>
      <c r="S365" s="312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12" t="s">
        <v>4417</v>
      </c>
      <c r="Y365" s="312" t="s">
        <v>5786</v>
      </c>
      <c r="Z365" s="312" t="s">
        <v>4555</v>
      </c>
      <c r="AA365" s="71">
        <v>6</v>
      </c>
      <c r="AB365" s="222">
        <v>0</v>
      </c>
      <c r="AC365" s="71">
        <v>1387</v>
      </c>
      <c r="AD365" s="312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14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2" t="s">
        <v>5647</v>
      </c>
      <c r="AX365" s="312" t="s">
        <v>4647</v>
      </c>
      <c r="AY365" s="312">
        <v>70</v>
      </c>
      <c r="AZ365" s="312">
        <v>16</v>
      </c>
      <c r="BA365" s="312">
        <f t="shared" si="191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12" t="s">
        <v>6196</v>
      </c>
      <c r="BI365" s="312" t="s">
        <v>6196</v>
      </c>
      <c r="BJ365" s="312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314" t="s">
        <v>4743</v>
      </c>
      <c r="CH365" s="312">
        <v>345</v>
      </c>
      <c r="CI365" s="21">
        <v>477.1</v>
      </c>
      <c r="CJ365" s="312">
        <v>490</v>
      </c>
      <c r="CK365" s="21">
        <v>609.20000000000005</v>
      </c>
      <c r="CL365" s="67">
        <v>208750</v>
      </c>
      <c r="CM365" s="314" t="s">
        <v>4743</v>
      </c>
      <c r="CN365" s="312">
        <v>345</v>
      </c>
      <c r="CO365" s="21">
        <v>412.5</v>
      </c>
      <c r="CP365" s="312">
        <v>490</v>
      </c>
      <c r="CQ365" s="21">
        <v>592.54999999999995</v>
      </c>
      <c r="CR365" s="62">
        <v>202125</v>
      </c>
      <c r="CS365" s="314" t="s">
        <v>4743</v>
      </c>
      <c r="CT365" s="312">
        <v>345</v>
      </c>
      <c r="CU365" s="21">
        <v>399.2</v>
      </c>
      <c r="CV365" s="312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12">
        <v>8.8000000000000007</v>
      </c>
      <c r="DH365" s="312">
        <v>640</v>
      </c>
      <c r="DI365" s="32">
        <v>730</v>
      </c>
      <c r="DJ365" s="312">
        <v>800</v>
      </c>
      <c r="DK365" s="32">
        <v>940</v>
      </c>
      <c r="DL365" s="65">
        <v>200000</v>
      </c>
      <c r="DM365" s="29" t="s">
        <v>5644</v>
      </c>
      <c r="DN365" s="312" t="s">
        <v>4432</v>
      </c>
      <c r="DO365" s="301" t="s">
        <v>4562</v>
      </c>
    </row>
    <row r="366" spans="1:119">
      <c r="A366" s="314">
        <v>361</v>
      </c>
      <c r="B366" s="318"/>
      <c r="C366" s="318"/>
      <c r="D366" s="318"/>
      <c r="E366" s="318"/>
      <c r="F366" s="318"/>
      <c r="G366" s="318"/>
      <c r="H366" s="318"/>
      <c r="I366" s="318"/>
      <c r="J366" s="285" t="s">
        <v>5636</v>
      </c>
      <c r="K366" s="314" t="s">
        <v>4531</v>
      </c>
      <c r="L366" s="312" t="s">
        <v>6055</v>
      </c>
      <c r="M366" s="314" t="s">
        <v>4505</v>
      </c>
      <c r="N366" s="312" t="s">
        <v>4699</v>
      </c>
      <c r="O366" s="18" t="s">
        <v>4503</v>
      </c>
      <c r="P366" s="312" t="s">
        <v>4417</v>
      </c>
      <c r="Q366" s="312" t="s">
        <v>4467</v>
      </c>
      <c r="R366" s="312" t="s">
        <v>4417</v>
      </c>
      <c r="S366" s="312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12" t="s">
        <v>4417</v>
      </c>
      <c r="Y366" s="312" t="s">
        <v>5786</v>
      </c>
      <c r="Z366" s="312" t="s">
        <v>4555</v>
      </c>
      <c r="AA366" s="71">
        <v>6</v>
      </c>
      <c r="AB366" s="222">
        <v>0</v>
      </c>
      <c r="AC366" s="71">
        <v>1387</v>
      </c>
      <c r="AD366" s="312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14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12" t="s">
        <v>5647</v>
      </c>
      <c r="AX366" s="312" t="s">
        <v>4647</v>
      </c>
      <c r="AY366" s="312">
        <v>70</v>
      </c>
      <c r="AZ366" s="312">
        <v>16</v>
      </c>
      <c r="BA366" s="312">
        <f t="shared" si="191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12" t="s">
        <v>6196</v>
      </c>
      <c r="BI366" s="312" t="s">
        <v>6196</v>
      </c>
      <c r="BJ366" s="312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314" t="s">
        <v>4743</v>
      </c>
      <c r="CH366" s="312">
        <v>345</v>
      </c>
      <c r="CI366" s="21">
        <v>477.1</v>
      </c>
      <c r="CJ366" s="312">
        <v>490</v>
      </c>
      <c r="CK366" s="21">
        <v>609.20000000000005</v>
      </c>
      <c r="CL366" s="67">
        <v>208750</v>
      </c>
      <c r="CM366" s="314" t="s">
        <v>4743</v>
      </c>
      <c r="CN366" s="312">
        <v>345</v>
      </c>
      <c r="CO366" s="21">
        <v>412.5</v>
      </c>
      <c r="CP366" s="312">
        <v>490</v>
      </c>
      <c r="CQ366" s="21">
        <v>592.54999999999995</v>
      </c>
      <c r="CR366" s="62">
        <v>202125</v>
      </c>
      <c r="CS366" s="314" t="s">
        <v>4743</v>
      </c>
      <c r="CT366" s="312">
        <v>345</v>
      </c>
      <c r="CU366" s="21">
        <v>399.2</v>
      </c>
      <c r="CV366" s="312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12">
        <v>8.8000000000000007</v>
      </c>
      <c r="DH366" s="312">
        <v>640</v>
      </c>
      <c r="DI366" s="32">
        <v>730</v>
      </c>
      <c r="DJ366" s="312">
        <v>800</v>
      </c>
      <c r="DK366" s="32">
        <v>940</v>
      </c>
      <c r="DL366" s="65">
        <v>200000</v>
      </c>
      <c r="DM366" s="29" t="s">
        <v>6022</v>
      </c>
      <c r="DN366" s="312" t="s">
        <v>4432</v>
      </c>
      <c r="DO366" s="301" t="s">
        <v>6005</v>
      </c>
    </row>
    <row r="367" spans="1:119">
      <c r="A367" s="314">
        <v>362</v>
      </c>
      <c r="B367" s="318"/>
      <c r="C367" s="318"/>
      <c r="D367" s="318"/>
      <c r="E367" s="318"/>
      <c r="F367" s="318"/>
      <c r="G367" s="318"/>
      <c r="H367" s="318"/>
      <c r="I367" s="318"/>
      <c r="J367" s="285" t="s">
        <v>5637</v>
      </c>
      <c r="K367" s="314" t="s">
        <v>4531</v>
      </c>
      <c r="L367" s="312" t="s">
        <v>6055</v>
      </c>
      <c r="M367" s="314" t="s">
        <v>4505</v>
      </c>
      <c r="N367" s="312" t="s">
        <v>4699</v>
      </c>
      <c r="O367" s="18" t="s">
        <v>4503</v>
      </c>
      <c r="P367" s="312" t="s">
        <v>4417</v>
      </c>
      <c r="Q367" s="312" t="s">
        <v>4467</v>
      </c>
      <c r="R367" s="312" t="s">
        <v>4417</v>
      </c>
      <c r="S367" s="312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12" t="s">
        <v>4417</v>
      </c>
      <c r="Y367" s="312" t="s">
        <v>5786</v>
      </c>
      <c r="Z367" s="312" t="s">
        <v>4555</v>
      </c>
      <c r="AA367" s="71">
        <v>6</v>
      </c>
      <c r="AB367" s="222">
        <v>0</v>
      </c>
      <c r="AC367" s="71">
        <v>1387</v>
      </c>
      <c r="AD367" s="312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14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12" t="s">
        <v>5647</v>
      </c>
      <c r="AX367" s="312" t="s">
        <v>4647</v>
      </c>
      <c r="AY367" s="312">
        <v>70</v>
      </c>
      <c r="AZ367" s="312">
        <v>16</v>
      </c>
      <c r="BA367" s="312">
        <f t="shared" si="191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12" t="s">
        <v>6196</v>
      </c>
      <c r="BI367" s="312" t="s">
        <v>6196</v>
      </c>
      <c r="BJ367" s="312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314" t="s">
        <v>4743</v>
      </c>
      <c r="CH367" s="312">
        <v>345</v>
      </c>
      <c r="CI367" s="21">
        <v>477.1</v>
      </c>
      <c r="CJ367" s="312">
        <v>490</v>
      </c>
      <c r="CK367" s="21">
        <v>609.20000000000005</v>
      </c>
      <c r="CL367" s="67">
        <v>208750</v>
      </c>
      <c r="CM367" s="314" t="s">
        <v>4743</v>
      </c>
      <c r="CN367" s="312">
        <v>345</v>
      </c>
      <c r="CO367" s="21">
        <v>412.5</v>
      </c>
      <c r="CP367" s="312">
        <v>490</v>
      </c>
      <c r="CQ367" s="21">
        <v>592.54999999999995</v>
      </c>
      <c r="CR367" s="62">
        <v>202125</v>
      </c>
      <c r="CS367" s="314" t="s">
        <v>4743</v>
      </c>
      <c r="CT367" s="312">
        <v>345</v>
      </c>
      <c r="CU367" s="21">
        <v>399.2</v>
      </c>
      <c r="CV367" s="312">
        <v>490</v>
      </c>
      <c r="CW367" s="21">
        <v>562.79999999999995</v>
      </c>
      <c r="CX367" s="67">
        <v>197290</v>
      </c>
      <c r="CY367" s="314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12">
        <v>8.8000000000000007</v>
      </c>
      <c r="DH367" s="312">
        <v>640</v>
      </c>
      <c r="DI367" s="32">
        <v>730</v>
      </c>
      <c r="DJ367" s="312">
        <v>800</v>
      </c>
      <c r="DK367" s="32">
        <v>940</v>
      </c>
      <c r="DL367" s="65">
        <v>200000</v>
      </c>
      <c r="DM367" s="29" t="s">
        <v>5643</v>
      </c>
      <c r="DN367" s="312" t="s">
        <v>4432</v>
      </c>
      <c r="DO367" s="301" t="s">
        <v>6005</v>
      </c>
    </row>
    <row r="368" spans="1:119">
      <c r="A368" s="314">
        <v>363</v>
      </c>
      <c r="B368" s="318"/>
      <c r="C368" s="318"/>
      <c r="D368" s="318"/>
      <c r="E368" s="318"/>
      <c r="F368" s="318"/>
      <c r="G368" s="318"/>
      <c r="H368" s="318"/>
      <c r="I368" s="318"/>
      <c r="J368" s="285" t="s">
        <v>5638</v>
      </c>
      <c r="K368" s="314" t="s">
        <v>4531</v>
      </c>
      <c r="L368" s="312" t="s">
        <v>6055</v>
      </c>
      <c r="M368" s="314" t="s">
        <v>4505</v>
      </c>
      <c r="N368" s="312" t="s">
        <v>4699</v>
      </c>
      <c r="O368" s="18" t="s">
        <v>4503</v>
      </c>
      <c r="P368" s="312" t="s">
        <v>4417</v>
      </c>
      <c r="Q368" s="312" t="s">
        <v>4467</v>
      </c>
      <c r="R368" s="312" t="s">
        <v>4417</v>
      </c>
      <c r="S368" s="312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12" t="s">
        <v>4417</v>
      </c>
      <c r="Y368" s="312" t="s">
        <v>5786</v>
      </c>
      <c r="Z368" s="312" t="s">
        <v>4555</v>
      </c>
      <c r="AA368" s="71">
        <v>6</v>
      </c>
      <c r="AB368" s="222">
        <v>0</v>
      </c>
      <c r="AC368" s="71">
        <v>1387</v>
      </c>
      <c r="AD368" s="312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14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12" t="s">
        <v>5665</v>
      </c>
      <c r="AX368" s="312" t="s">
        <v>4647</v>
      </c>
      <c r="AY368" s="312">
        <v>70</v>
      </c>
      <c r="AZ368" s="312">
        <v>16</v>
      </c>
      <c r="BA368" s="312">
        <f t="shared" si="191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12" t="s">
        <v>6196</v>
      </c>
      <c r="BI368" s="312" t="s">
        <v>6196</v>
      </c>
      <c r="BJ368" s="312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314" t="s">
        <v>4743</v>
      </c>
      <c r="CH368" s="312">
        <v>345</v>
      </c>
      <c r="CI368" s="21">
        <v>477.1</v>
      </c>
      <c r="CJ368" s="312">
        <v>490</v>
      </c>
      <c r="CK368" s="21">
        <v>609.20000000000005</v>
      </c>
      <c r="CL368" s="67">
        <v>208750</v>
      </c>
      <c r="CM368" s="314" t="s">
        <v>4743</v>
      </c>
      <c r="CN368" s="312">
        <v>345</v>
      </c>
      <c r="CO368" s="21">
        <v>412.5</v>
      </c>
      <c r="CP368" s="312">
        <v>490</v>
      </c>
      <c r="CQ368" s="21">
        <v>592.54999999999995</v>
      </c>
      <c r="CR368" s="62">
        <v>202125</v>
      </c>
      <c r="CS368" s="314" t="s">
        <v>4743</v>
      </c>
      <c r="CT368" s="312">
        <v>345</v>
      </c>
      <c r="CU368" s="21">
        <v>399.2</v>
      </c>
      <c r="CV368" s="312">
        <v>490</v>
      </c>
      <c r="CW368" s="21">
        <v>562.79999999999995</v>
      </c>
      <c r="CX368" s="67">
        <v>197290</v>
      </c>
      <c r="CY368" s="314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12">
        <v>8.8000000000000007</v>
      </c>
      <c r="DH368" s="312">
        <v>640</v>
      </c>
      <c r="DI368" s="32">
        <v>730</v>
      </c>
      <c r="DJ368" s="312">
        <v>800</v>
      </c>
      <c r="DK368" s="32">
        <v>940</v>
      </c>
      <c r="DL368" s="65">
        <v>200000</v>
      </c>
      <c r="DM368" s="29" t="s">
        <v>5643</v>
      </c>
      <c r="DN368" s="312" t="s">
        <v>4432</v>
      </c>
      <c r="DO368" s="301" t="s">
        <v>6005</v>
      </c>
    </row>
    <row r="369" spans="1:119" ht="16.2" thickBot="1">
      <c r="A369" s="310">
        <v>364</v>
      </c>
      <c r="B369" s="319"/>
      <c r="C369" s="319"/>
      <c r="D369" s="319"/>
      <c r="E369" s="319"/>
      <c r="F369" s="319"/>
      <c r="G369" s="319"/>
      <c r="H369" s="319"/>
      <c r="I369" s="319"/>
      <c r="J369" s="284" t="s">
        <v>5639</v>
      </c>
      <c r="K369" s="310" t="s">
        <v>4531</v>
      </c>
      <c r="L369" s="313" t="s">
        <v>6055</v>
      </c>
      <c r="M369" s="310" t="s">
        <v>4505</v>
      </c>
      <c r="N369" s="313" t="s">
        <v>4699</v>
      </c>
      <c r="O369" s="14" t="s">
        <v>4503</v>
      </c>
      <c r="P369" s="313" t="s">
        <v>4417</v>
      </c>
      <c r="Q369" s="313" t="s">
        <v>4467</v>
      </c>
      <c r="R369" s="313" t="s">
        <v>4417</v>
      </c>
      <c r="S369" s="313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13" t="s">
        <v>4417</v>
      </c>
      <c r="Y369" s="313" t="s">
        <v>5786</v>
      </c>
      <c r="Z369" s="313" t="s">
        <v>4555</v>
      </c>
      <c r="AA369" s="116">
        <v>6</v>
      </c>
      <c r="AB369" s="227">
        <v>0</v>
      </c>
      <c r="AC369" s="116">
        <v>1387</v>
      </c>
      <c r="AD369" s="313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1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13" t="s">
        <v>5647</v>
      </c>
      <c r="AX369" s="313" t="s">
        <v>4647</v>
      </c>
      <c r="AY369" s="313">
        <v>70</v>
      </c>
      <c r="AZ369" s="313">
        <v>16</v>
      </c>
      <c r="BA369" s="313">
        <f t="shared" si="191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13" t="s">
        <v>6196</v>
      </c>
      <c r="BI369" s="313" t="s">
        <v>6196</v>
      </c>
      <c r="BJ369" s="313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310" t="s">
        <v>4743</v>
      </c>
      <c r="CH369" s="313">
        <v>345</v>
      </c>
      <c r="CI369" s="23">
        <v>477.1</v>
      </c>
      <c r="CJ369" s="313">
        <v>490</v>
      </c>
      <c r="CK369" s="23">
        <v>609.20000000000005</v>
      </c>
      <c r="CL369" s="81">
        <v>208750</v>
      </c>
      <c r="CM369" s="310" t="s">
        <v>5645</v>
      </c>
      <c r="CN369" s="313">
        <v>235</v>
      </c>
      <c r="CO369" s="23">
        <v>261.89999999999998</v>
      </c>
      <c r="CP369" s="313">
        <v>370</v>
      </c>
      <c r="CQ369" s="23">
        <v>401.35</v>
      </c>
      <c r="CR369" s="82">
        <v>194730</v>
      </c>
      <c r="CS369" s="310" t="s">
        <v>4743</v>
      </c>
      <c r="CT369" s="313">
        <v>345</v>
      </c>
      <c r="CU369" s="23">
        <v>408.5</v>
      </c>
      <c r="CV369" s="313">
        <v>490</v>
      </c>
      <c r="CW369" s="23">
        <v>534.5</v>
      </c>
      <c r="CX369" s="81">
        <v>198260</v>
      </c>
      <c r="CY369" s="310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13">
        <v>8.8000000000000007</v>
      </c>
      <c r="DH369" s="313">
        <v>640</v>
      </c>
      <c r="DI369" s="34">
        <v>730</v>
      </c>
      <c r="DJ369" s="313">
        <v>800</v>
      </c>
      <c r="DK369" s="34">
        <v>940</v>
      </c>
      <c r="DL369" s="75">
        <v>200000</v>
      </c>
      <c r="DM369" s="27" t="s">
        <v>5642</v>
      </c>
      <c r="DN369" s="310" t="s">
        <v>4432</v>
      </c>
      <c r="DO369" s="302" t="s">
        <v>6005</v>
      </c>
    </row>
  </sheetData>
  <sheetProtection algorithmName="SHA-512" hashValue="JnIpRKIGb+ZSoDH76+BEK9KL+/iW2wHrtm3x3O6v2wBfm+opT+UZkyYUj2I4Tz5SmUgz1a/u4N59d17SvfEYew==" saltValue="aBWhrgsszWHKdEXzfTMPHw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</mergeCells>
  <conditionalFormatting sqref="AW180:AY181 AW183:AY183 AW185:AY185 AW187:AY187">
    <cfRule type="uniqueValues" dxfId="124" priority="125"/>
  </conditionalFormatting>
  <conditionalFormatting sqref="AW194:AW195">
    <cfRule type="uniqueValues" dxfId="123" priority="124"/>
  </conditionalFormatting>
  <conditionalFormatting sqref="Y6:Y165 S160:W165 Y169 S169:W169 Y359:Y369 L359:L369 S359:W369 L278:L354 S278:W354 Y172:Y181 S172:W181 L180:L181 L184 S183:W273 Y183:Y354 L186:L273">
    <cfRule type="cellIs" dxfId="122" priority="123" operator="equal">
      <formula>"NA"</formula>
    </cfRule>
  </conditionalFormatting>
  <conditionalFormatting sqref="S6:W159">
    <cfRule type="cellIs" dxfId="121" priority="122" operator="equal">
      <formula>"NA"</formula>
    </cfRule>
  </conditionalFormatting>
  <conditionalFormatting sqref="S274:W277">
    <cfRule type="cellIs" dxfId="120" priority="121" operator="equal">
      <formula>"NA"</formula>
    </cfRule>
  </conditionalFormatting>
  <conditionalFormatting sqref="Y166:Y167">
    <cfRule type="cellIs" dxfId="119" priority="120" operator="equal">
      <formula>"NA"</formula>
    </cfRule>
  </conditionalFormatting>
  <conditionalFormatting sqref="S166:W167">
    <cfRule type="cellIs" dxfId="118" priority="119" operator="equal">
      <formula>"NA"</formula>
    </cfRule>
  </conditionalFormatting>
  <conditionalFormatting sqref="Y168">
    <cfRule type="cellIs" dxfId="117" priority="118" operator="equal">
      <formula>"NA"</formula>
    </cfRule>
  </conditionalFormatting>
  <conditionalFormatting sqref="S168:W168">
    <cfRule type="cellIs" dxfId="116" priority="117" operator="equal">
      <formula>"NA"</formula>
    </cfRule>
  </conditionalFormatting>
  <conditionalFormatting sqref="L160:L165 L169 L172:L179 L183 L185">
    <cfRule type="cellIs" dxfId="115" priority="116" operator="equal">
      <formula>"NA"</formula>
    </cfRule>
  </conditionalFormatting>
  <conditionalFormatting sqref="L6:L159">
    <cfRule type="cellIs" dxfId="114" priority="115" operator="equal">
      <formula>"NA"</formula>
    </cfRule>
  </conditionalFormatting>
  <conditionalFormatting sqref="L274:L277">
    <cfRule type="cellIs" dxfId="113" priority="114" operator="equal">
      <formula>"NA"</formula>
    </cfRule>
  </conditionalFormatting>
  <conditionalFormatting sqref="L166:L167">
    <cfRule type="cellIs" dxfId="112" priority="113" operator="equal">
      <formula>"NA"</formula>
    </cfRule>
  </conditionalFormatting>
  <conditionalFormatting sqref="L168">
    <cfRule type="cellIs" dxfId="111" priority="112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76 DG4:DO169 B173:BN179 DG172:DO179 CG181:CX181 DG183:DM183 CG183:CX183 CG185:CX185 DG185:DM185 A189:A369 J182:BN182 B180:D180 J188:DE188 J186:DM187 J184:DM184 J185:BK185 J183:BK183 J181:BK181 J180:DO180 H180 DO183:DO187 DG181:DO181 B189:DE307 DF188:DO354 J81:BN169 J77:AR80 AW77:BN80">
    <cfRule type="cellIs" dxfId="110" priority="111" operator="equal">
      <formula>"NA"</formula>
    </cfRule>
  </conditionalFormatting>
  <conditionalFormatting sqref="CB161:CB165 CD161:CD165">
    <cfRule type="cellIs" dxfId="109" priority="110" operator="equal">
      <formula>"NA"</formula>
    </cfRule>
  </conditionalFormatting>
  <conditionalFormatting sqref="CC4:CC160 CC166:CC169 CC359:CC369 CC172:CC179 CC313:CC354">
    <cfRule type="cellIs" dxfId="108" priority="109" operator="equal">
      <formula>"NA"</formula>
    </cfRule>
  </conditionalFormatting>
  <conditionalFormatting sqref="CC161:CC165">
    <cfRule type="cellIs" dxfId="107" priority="108" operator="equal">
      <formula>"NA"</formula>
    </cfRule>
  </conditionalFormatting>
  <conditionalFormatting sqref="BO4:BQ169 BO359:BQ369 BO172:BQ179 BO313:BQ354">
    <cfRule type="cellIs" dxfId="106" priority="107" operator="equal">
      <formula>"NA"</formula>
    </cfRule>
  </conditionalFormatting>
  <conditionalFormatting sqref="BV4:BV169 BV359:BV369 BV172:BV179 BV313:BV354">
    <cfRule type="cellIs" dxfId="105" priority="106" operator="equal">
      <formula>"NA"</formula>
    </cfRule>
  </conditionalFormatting>
  <conditionalFormatting sqref="DF4:DF5">
    <cfRule type="cellIs" dxfId="104" priority="105" operator="equal">
      <formula>"NA"</formula>
    </cfRule>
  </conditionalFormatting>
  <conditionalFormatting sqref="DF6:DF169 DF359:DF369 DF172:DF179">
    <cfRule type="cellIs" dxfId="103" priority="104" operator="equal">
      <formula>"NA"</formula>
    </cfRule>
  </conditionalFormatting>
  <conditionalFormatting sqref="I4:I5">
    <cfRule type="cellIs" dxfId="102" priority="103" operator="equal">
      <formula>"NA"</formula>
    </cfRule>
  </conditionalFormatting>
  <conditionalFormatting sqref="I6:I169 I359:I369">
    <cfRule type="cellIs" dxfId="101" priority="102" operator="equal">
      <formula>"NA"</formula>
    </cfRule>
  </conditionalFormatting>
  <conditionalFormatting sqref="B355:H358">
    <cfRule type="cellIs" dxfId="100" priority="101" operator="equal">
      <formula>"NA"</formula>
    </cfRule>
  </conditionalFormatting>
  <conditionalFormatting sqref="I355:I358">
    <cfRule type="cellIs" dxfId="99" priority="100" operator="equal">
      <formula>"NA"</formula>
    </cfRule>
  </conditionalFormatting>
  <conditionalFormatting sqref="M355:O358">
    <cfRule type="cellIs" dxfId="98" priority="99" operator="equal">
      <formula>"NA"</formula>
    </cfRule>
  </conditionalFormatting>
  <conditionalFormatting sqref="L355:L356">
    <cfRule type="cellIs" dxfId="97" priority="98" operator="equal">
      <formula>"NA"</formula>
    </cfRule>
  </conditionalFormatting>
  <conditionalFormatting sqref="L355:L356">
    <cfRule type="cellIs" dxfId="96" priority="97" operator="equal">
      <formula>"NA"</formula>
    </cfRule>
  </conditionalFormatting>
  <conditionalFormatting sqref="L357">
    <cfRule type="cellIs" dxfId="95" priority="96" operator="equal">
      <formula>"NA"</formula>
    </cfRule>
  </conditionalFormatting>
  <conditionalFormatting sqref="L357">
    <cfRule type="cellIs" dxfId="94" priority="95" operator="equal">
      <formula>"NA"</formula>
    </cfRule>
  </conditionalFormatting>
  <conditionalFormatting sqref="L358">
    <cfRule type="cellIs" dxfId="93" priority="94" operator="equal">
      <formula>"NA"</formula>
    </cfRule>
  </conditionalFormatting>
  <conditionalFormatting sqref="L358">
    <cfRule type="cellIs" dxfId="92" priority="93" operator="equal">
      <formula>"NA"</formula>
    </cfRule>
  </conditionalFormatting>
  <conditionalFormatting sqref="S355:W358 Y355:Y358">
    <cfRule type="cellIs" dxfId="91" priority="92" operator="equal">
      <formula>"NA"</formula>
    </cfRule>
  </conditionalFormatting>
  <conditionalFormatting sqref="P355:Y358">
    <cfRule type="cellIs" dxfId="90" priority="91" operator="equal">
      <formula>"NA"</formula>
    </cfRule>
  </conditionalFormatting>
  <conditionalFormatting sqref="AD355:AI358">
    <cfRule type="cellIs" dxfId="89" priority="90" operator="equal">
      <formula>"NA"</formula>
    </cfRule>
  </conditionalFormatting>
  <conditionalFormatting sqref="BH356:BK358">
    <cfRule type="cellIs" dxfId="88" priority="89" operator="equal">
      <formula>"NA"</formula>
    </cfRule>
  </conditionalFormatting>
  <conditionalFormatting sqref="BH355:BK355">
    <cfRule type="cellIs" dxfId="87" priority="88" operator="equal">
      <formula>"NA"</formula>
    </cfRule>
  </conditionalFormatting>
  <conditionalFormatting sqref="BW355:CB358 BR355:BU358 CD355:CF358 BL355:BN358">
    <cfRule type="cellIs" dxfId="86" priority="87" operator="equal">
      <formula>"NA"</formula>
    </cfRule>
  </conditionalFormatting>
  <conditionalFormatting sqref="CC355:CC358">
    <cfRule type="cellIs" dxfId="85" priority="86" operator="equal">
      <formula>"NA"</formula>
    </cfRule>
  </conditionalFormatting>
  <conditionalFormatting sqref="BO355:BQ358">
    <cfRule type="cellIs" dxfId="84" priority="85" operator="equal">
      <formula>"NA"</formula>
    </cfRule>
  </conditionalFormatting>
  <conditionalFormatting sqref="BV355:BV358">
    <cfRule type="cellIs" dxfId="83" priority="84" operator="equal">
      <formula>"NA"</formula>
    </cfRule>
  </conditionalFormatting>
  <conditionalFormatting sqref="BG365:BK366">
    <cfRule type="cellIs" dxfId="82" priority="83" operator="equal">
      <formula>"NA"</formula>
    </cfRule>
  </conditionalFormatting>
  <conditionalFormatting sqref="BG364:BK364">
    <cfRule type="cellIs" dxfId="81" priority="82" operator="equal">
      <formula>"NA"</formula>
    </cfRule>
  </conditionalFormatting>
  <conditionalFormatting sqref="CG355:CL358">
    <cfRule type="cellIs" dxfId="80" priority="81" operator="equal">
      <formula>"NA"</formula>
    </cfRule>
  </conditionalFormatting>
  <conditionalFormatting sqref="CM355:CR358">
    <cfRule type="cellIs" dxfId="79" priority="80" operator="equal">
      <formula>"NA"</formula>
    </cfRule>
  </conditionalFormatting>
  <conditionalFormatting sqref="CS355:CX358">
    <cfRule type="cellIs" dxfId="78" priority="79" operator="equal">
      <formula>"NA"</formula>
    </cfRule>
  </conditionalFormatting>
  <conditionalFormatting sqref="CY355:DE358">
    <cfRule type="cellIs" dxfId="77" priority="78" operator="equal">
      <formula>"NA"</formula>
    </cfRule>
  </conditionalFormatting>
  <conditionalFormatting sqref="DF355:DF358">
    <cfRule type="cellIs" dxfId="76" priority="77" operator="equal">
      <formula>"NA"</formula>
    </cfRule>
  </conditionalFormatting>
  <conditionalFormatting sqref="DG355:DL356">
    <cfRule type="cellIs" dxfId="75" priority="76" operator="equal">
      <formula>"NA"</formula>
    </cfRule>
  </conditionalFormatting>
  <conditionalFormatting sqref="DM355:DO358">
    <cfRule type="cellIs" dxfId="74" priority="75" operator="equal">
      <formula>"NA"</formula>
    </cfRule>
  </conditionalFormatting>
  <conditionalFormatting sqref="AX356:AY358 AX355">
    <cfRule type="cellIs" dxfId="73" priority="74" operator="equal">
      <formula>"NA"</formula>
    </cfRule>
  </conditionalFormatting>
  <conditionalFormatting sqref="AY355">
    <cfRule type="cellIs" dxfId="72" priority="73" operator="equal">
      <formula>"NA"</formula>
    </cfRule>
  </conditionalFormatting>
  <conditionalFormatting sqref="CS172:CT172 CV172 CX172">
    <cfRule type="cellIs" dxfId="71" priority="51" operator="equal">
      <formula>"NA"</formula>
    </cfRule>
  </conditionalFormatting>
  <conditionalFormatting sqref="CS170:CT171">
    <cfRule type="cellIs" dxfId="70" priority="50" operator="equal">
      <formula>"NA"</formula>
    </cfRule>
  </conditionalFormatting>
  <conditionalFormatting sqref="CX170:CX171">
    <cfRule type="cellIs" dxfId="69" priority="49" operator="equal">
      <formula>"NA"</formula>
    </cfRule>
  </conditionalFormatting>
  <conditionalFormatting sqref="K170:AI171">
    <cfRule type="cellIs" dxfId="68" priority="69" operator="equal">
      <formula>"NA"</formula>
    </cfRule>
  </conditionalFormatting>
  <conditionalFormatting sqref="Y170:Y171">
    <cfRule type="cellIs" dxfId="67" priority="72" operator="equal">
      <formula>"NA"</formula>
    </cfRule>
  </conditionalFormatting>
  <conditionalFormatting sqref="S170:W171">
    <cfRule type="cellIs" dxfId="66" priority="71" operator="equal">
      <formula>"NA"</formula>
    </cfRule>
  </conditionalFormatting>
  <conditionalFormatting sqref="L170:L171">
    <cfRule type="cellIs" dxfId="65" priority="70" operator="equal">
      <formula>"NA"</formula>
    </cfRule>
  </conditionalFormatting>
  <conditionalFormatting sqref="A166:A169 A172:A188">
    <cfRule type="cellIs" dxfId="64" priority="68" operator="equal">
      <formula>"NA"</formula>
    </cfRule>
  </conditionalFormatting>
  <conditionalFormatting sqref="A170:A171">
    <cfRule type="cellIs" dxfId="63" priority="67" operator="equal">
      <formula>"NA"</formula>
    </cfRule>
  </conditionalFormatting>
  <conditionalFormatting sqref="BW170:CB171 BR170:BU171 CD170:CF171 AJ170:BN171">
    <cfRule type="cellIs" dxfId="62" priority="66" operator="equal">
      <formula>"NA"</formula>
    </cfRule>
  </conditionalFormatting>
  <conditionalFormatting sqref="CC170:CC171">
    <cfRule type="cellIs" dxfId="61" priority="65" operator="equal">
      <formula>"NA"</formula>
    </cfRule>
  </conditionalFormatting>
  <conditionalFormatting sqref="BO170:BQ171">
    <cfRule type="cellIs" dxfId="60" priority="64" operator="equal">
      <formula>"NA"</formula>
    </cfRule>
  </conditionalFormatting>
  <conditionalFormatting sqref="BV170:BV171">
    <cfRule type="cellIs" dxfId="59" priority="63" operator="equal">
      <formula>"NA"</formula>
    </cfRule>
  </conditionalFormatting>
  <conditionalFormatting sqref="CG170:CH171">
    <cfRule type="cellIs" dxfId="58" priority="62" operator="equal">
      <formula>"NA"</formula>
    </cfRule>
  </conditionalFormatting>
  <conditionalFormatting sqref="CW170:CW172">
    <cfRule type="cellIs" dxfId="57" priority="46" operator="equal">
      <formula>"NA"</formula>
    </cfRule>
  </conditionalFormatting>
  <conditionalFormatting sqref="DM170:DO171">
    <cfRule type="cellIs" dxfId="56" priority="42" operator="equal">
      <formula>"NA"</formula>
    </cfRule>
  </conditionalFormatting>
  <conditionalFormatting sqref="CL170:CL171">
    <cfRule type="cellIs" dxfId="55" priority="61" operator="equal">
      <formula>"NA"</formula>
    </cfRule>
  </conditionalFormatting>
  <conditionalFormatting sqref="CJ170:CJ171">
    <cfRule type="cellIs" dxfId="54" priority="60" operator="equal">
      <formula>"NA"</formula>
    </cfRule>
  </conditionalFormatting>
  <conditionalFormatting sqref="CI170:CI172">
    <cfRule type="cellIs" dxfId="53" priority="59" operator="equal">
      <formula>"NA"</formula>
    </cfRule>
  </conditionalFormatting>
  <conditionalFormatting sqref="CK170:CK172">
    <cfRule type="cellIs" dxfId="52" priority="58" operator="equal">
      <formula>"NA"</formula>
    </cfRule>
  </conditionalFormatting>
  <conditionalFormatting sqref="CM172:CN172 CP172 CR172">
    <cfRule type="cellIs" dxfId="51" priority="57" operator="equal">
      <formula>"NA"</formula>
    </cfRule>
  </conditionalFormatting>
  <conditionalFormatting sqref="CM170:CN171">
    <cfRule type="cellIs" dxfId="50" priority="56" operator="equal">
      <formula>"NA"</formula>
    </cfRule>
  </conditionalFormatting>
  <conditionalFormatting sqref="CR170:CR171">
    <cfRule type="cellIs" dxfId="49" priority="55" operator="equal">
      <formula>"NA"</formula>
    </cfRule>
  </conditionalFormatting>
  <conditionalFormatting sqref="CP170:CP171">
    <cfRule type="cellIs" dxfId="48" priority="54" operator="equal">
      <formula>"NA"</formula>
    </cfRule>
  </conditionalFormatting>
  <conditionalFormatting sqref="CO170:CO172">
    <cfRule type="cellIs" dxfId="47" priority="53" operator="equal">
      <formula>"NA"</formula>
    </cfRule>
  </conditionalFormatting>
  <conditionalFormatting sqref="CQ170:CQ172">
    <cfRule type="cellIs" dxfId="46" priority="52" operator="equal">
      <formula>"NA"</formula>
    </cfRule>
  </conditionalFormatting>
  <conditionalFormatting sqref="CV170:CV171">
    <cfRule type="cellIs" dxfId="45" priority="48" operator="equal">
      <formula>"NA"</formula>
    </cfRule>
  </conditionalFormatting>
  <conditionalFormatting sqref="CU170:CU172">
    <cfRule type="cellIs" dxfId="44" priority="47" operator="equal">
      <formula>"NA"</formula>
    </cfRule>
  </conditionalFormatting>
  <conditionalFormatting sqref="DG170:DJ171 CY170:DE171">
    <cfRule type="cellIs" dxfId="43" priority="45" operator="equal">
      <formula>"NA"</formula>
    </cfRule>
  </conditionalFormatting>
  <conditionalFormatting sqref="DF170:DF171">
    <cfRule type="cellIs" dxfId="42" priority="44" operator="equal">
      <formula>"NA"</formula>
    </cfRule>
  </conditionalFormatting>
  <conditionalFormatting sqref="DK170:DL171">
    <cfRule type="cellIs" dxfId="41" priority="43" operator="equal">
      <formula>"NA"</formula>
    </cfRule>
  </conditionalFormatting>
  <conditionalFormatting sqref="CD308:CF312 BR308:BU312 BW308:CB312 BL308:BN312">
    <cfRule type="cellIs" dxfId="40" priority="41" operator="equal">
      <formula>"NA"</formula>
    </cfRule>
  </conditionalFormatting>
  <conditionalFormatting sqref="CC308:CC312">
    <cfRule type="cellIs" dxfId="39" priority="40" operator="equal">
      <formula>"NA"</formula>
    </cfRule>
  </conditionalFormatting>
  <conditionalFormatting sqref="BO308:BQ312">
    <cfRule type="cellIs" dxfId="38" priority="39" operator="equal">
      <formula>"NA"</formula>
    </cfRule>
  </conditionalFormatting>
  <conditionalFormatting sqref="BV308:BV312">
    <cfRule type="cellIs" dxfId="37" priority="38" operator="equal">
      <formula>"NA"</formula>
    </cfRule>
  </conditionalFormatting>
  <conditionalFormatting sqref="T4:W5">
    <cfRule type="cellIs" dxfId="36" priority="37" operator="equal">
      <formula>"NA"</formula>
    </cfRule>
  </conditionalFormatting>
  <conditionalFormatting sqref="CY183:DE183">
    <cfRule type="cellIs" dxfId="35" priority="16" operator="equal">
      <formula>"NA"</formula>
    </cfRule>
  </conditionalFormatting>
  <conditionalFormatting sqref="BR181:BS181 BL181:BN181">
    <cfRule type="cellIs" dxfId="34" priority="36" operator="equal">
      <formula>"NA"</formula>
    </cfRule>
  </conditionalFormatting>
  <conditionalFormatting sqref="BO181:BQ181">
    <cfRule type="cellIs" dxfId="33" priority="35" operator="equal">
      <formula>"NA"</formula>
    </cfRule>
  </conditionalFormatting>
  <conditionalFormatting sqref="BR183:BS183 BL183:BN183">
    <cfRule type="cellIs" dxfId="32" priority="34" operator="equal">
      <formula>"NA"</formula>
    </cfRule>
  </conditionalFormatting>
  <conditionalFormatting sqref="BO183:BQ183">
    <cfRule type="cellIs" dxfId="31" priority="33" operator="equal">
      <formula>"NA"</formula>
    </cfRule>
  </conditionalFormatting>
  <conditionalFormatting sqref="BR185:BS185 BL185:BN185">
    <cfRule type="cellIs" dxfId="30" priority="32" operator="equal">
      <formula>"NA"</formula>
    </cfRule>
  </conditionalFormatting>
  <conditionalFormatting sqref="BO185:BQ185">
    <cfRule type="cellIs" dxfId="29" priority="31" operator="equal">
      <formula>"NA"</formula>
    </cfRule>
  </conditionalFormatting>
  <conditionalFormatting sqref="BT181:BU181 BW181:BZ181">
    <cfRule type="cellIs" dxfId="28" priority="30" operator="equal">
      <formula>"NA"</formula>
    </cfRule>
  </conditionalFormatting>
  <conditionalFormatting sqref="BV181">
    <cfRule type="cellIs" dxfId="27" priority="29" operator="equal">
      <formula>"NA"</formula>
    </cfRule>
  </conditionalFormatting>
  <conditionalFormatting sqref="BT183:BU183 BW183:BZ183">
    <cfRule type="cellIs" dxfId="26" priority="28" operator="equal">
      <formula>"NA"</formula>
    </cfRule>
  </conditionalFormatting>
  <conditionalFormatting sqref="BV183">
    <cfRule type="cellIs" dxfId="25" priority="27" operator="equal">
      <formula>"NA"</formula>
    </cfRule>
  </conditionalFormatting>
  <conditionalFormatting sqref="BT185:BU185 BW185:BZ185">
    <cfRule type="cellIs" dxfId="24" priority="26" operator="equal">
      <formula>"NA"</formula>
    </cfRule>
  </conditionalFormatting>
  <conditionalFormatting sqref="BV185">
    <cfRule type="cellIs" dxfId="23" priority="25" operator="equal">
      <formula>"NA"</formula>
    </cfRule>
  </conditionalFormatting>
  <conditionalFormatting sqref="CA181:CB181 CD181:CF181">
    <cfRule type="cellIs" dxfId="22" priority="24" operator="equal">
      <formula>"NA"</formula>
    </cfRule>
  </conditionalFormatting>
  <conditionalFormatting sqref="CC181">
    <cfRule type="cellIs" dxfId="21" priority="23" operator="equal">
      <formula>"NA"</formula>
    </cfRule>
  </conditionalFormatting>
  <conditionalFormatting sqref="CA183:CB183 CD183:CF183">
    <cfRule type="cellIs" dxfId="20" priority="22" operator="equal">
      <formula>"NA"</formula>
    </cfRule>
  </conditionalFormatting>
  <conditionalFormatting sqref="CC183">
    <cfRule type="cellIs" dxfId="19" priority="21" operator="equal">
      <formula>"NA"</formula>
    </cfRule>
  </conditionalFormatting>
  <conditionalFormatting sqref="CA185:CB185 CD185:CF185">
    <cfRule type="cellIs" dxfId="18" priority="20" operator="equal">
      <formula>"NA"</formula>
    </cfRule>
  </conditionalFormatting>
  <conditionalFormatting sqref="CC185">
    <cfRule type="cellIs" dxfId="17" priority="19" operator="equal">
      <formula>"NA"</formula>
    </cfRule>
  </conditionalFormatting>
  <conditionalFormatting sqref="CY181:DE181">
    <cfRule type="cellIs" dxfId="16" priority="18" operator="equal">
      <formula>"NA"</formula>
    </cfRule>
  </conditionalFormatting>
  <conditionalFormatting sqref="DF181">
    <cfRule type="cellIs" dxfId="15" priority="17" operator="equal">
      <formula>"NA"</formula>
    </cfRule>
  </conditionalFormatting>
  <conditionalFormatting sqref="DF183">
    <cfRule type="cellIs" dxfId="14" priority="15" operator="equal">
      <formula>"NA"</formula>
    </cfRule>
  </conditionalFormatting>
  <conditionalFormatting sqref="CY185:DE185">
    <cfRule type="cellIs" dxfId="13" priority="14" operator="equal">
      <formula>"NA"</formula>
    </cfRule>
  </conditionalFormatting>
  <conditionalFormatting sqref="DF185">
    <cfRule type="cellIs" dxfId="12" priority="13" operator="equal">
      <formula>"NA"</formula>
    </cfRule>
  </conditionalFormatting>
  <conditionalFormatting sqref="Y182 S182:W182">
    <cfRule type="cellIs" dxfId="11" priority="12" operator="equal">
      <formula>"NA"</formula>
    </cfRule>
  </conditionalFormatting>
  <conditionalFormatting sqref="L182">
    <cfRule type="cellIs" dxfId="10" priority="11" operator="equal">
      <formula>"NA"</formula>
    </cfRule>
  </conditionalFormatting>
  <conditionalFormatting sqref="DG182:DO182 CD182:DE182 BW182:CB182 BR182:BU182 DN183:DN187">
    <cfRule type="cellIs" dxfId="9" priority="10" operator="equal">
      <formula>"NA"</formula>
    </cfRule>
  </conditionalFormatting>
  <conditionalFormatting sqref="CC182">
    <cfRule type="cellIs" dxfId="8" priority="9" operator="equal">
      <formula>"NA"</formula>
    </cfRule>
  </conditionalFormatting>
  <conditionalFormatting sqref="BO182:BQ182">
    <cfRule type="cellIs" dxfId="7" priority="8" operator="equal">
      <formula>"NA"</formula>
    </cfRule>
  </conditionalFormatting>
  <conditionalFormatting sqref="BV182">
    <cfRule type="cellIs" dxfId="6" priority="7" operator="equal">
      <formula>"NA"</formula>
    </cfRule>
  </conditionalFormatting>
  <conditionalFormatting sqref="DF182">
    <cfRule type="cellIs" dxfId="5" priority="6" operator="equal">
      <formula>"NA"</formula>
    </cfRule>
  </conditionalFormatting>
  <conditionalFormatting sqref="I180">
    <cfRule type="cellIs" dxfId="4" priority="5" operator="equal">
      <formula>"NA"</formula>
    </cfRule>
  </conditionalFormatting>
  <conditionalFormatting sqref="G180">
    <cfRule type="cellIs" dxfId="3" priority="4" operator="equal">
      <formula>"NA"</formula>
    </cfRule>
  </conditionalFormatting>
  <conditionalFormatting sqref="F180">
    <cfRule type="cellIs" dxfId="2" priority="3" operator="equal">
      <formula>"NA"</formula>
    </cfRule>
  </conditionalFormatting>
  <conditionalFormatting sqref="E180">
    <cfRule type="cellIs" dxfId="1" priority="2" operator="equal">
      <formula>"NA"</formula>
    </cfRule>
  </conditionalFormatting>
  <conditionalFormatting sqref="AS77:AV80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2021-04-11T22:07:38Z</dcterms:modified>
</cp:coreProperties>
</file>