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"/>
    </mc:Choice>
  </mc:AlternateContent>
  <xr:revisionPtr revIDLastSave="0" documentId="13_ncr:1_{5011B3F3-55C9-4CEF-8722-E8E09C81DABF}" xr6:coauthVersionLast="47" xr6:coauthVersionMax="47" xr10:uidLastSave="{00000000-0000-0000-0000-000000000000}"/>
  <bookViews>
    <workbookView xWindow="-120" yWindow="-120" windowWidth="29040" windowHeight="15840" xr2:uid="{666D1931-6E68-448B-BA4D-3AB694A6C01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2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V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Z3" i="1"/>
  <c r="Y3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M32" i="1"/>
  <c r="E3" i="1"/>
  <c r="E6" i="1"/>
  <c r="F6" i="1" s="1"/>
  <c r="J6" i="1" s="1"/>
  <c r="E9" i="1"/>
  <c r="E12" i="1"/>
  <c r="F12" i="1" s="1"/>
  <c r="H12" i="1" s="1"/>
  <c r="E15" i="1"/>
  <c r="F15" i="1" s="1"/>
  <c r="H15" i="1" s="1"/>
  <c r="E18" i="1"/>
  <c r="F18" i="1" s="1"/>
  <c r="H18" i="1" s="1"/>
  <c r="E21" i="1"/>
  <c r="F21" i="1" s="1"/>
  <c r="H21" i="1" s="1"/>
  <c r="E24" i="1"/>
  <c r="F24" i="1" s="1"/>
  <c r="H24" i="1" s="1"/>
  <c r="E27" i="1"/>
  <c r="F27" i="1" s="1"/>
  <c r="H27" i="1" s="1"/>
  <c r="J19" i="1" l="1"/>
  <c r="J21" i="1"/>
  <c r="J23" i="1"/>
  <c r="J22" i="1"/>
  <c r="J24" i="1"/>
  <c r="J26" i="1"/>
  <c r="J8" i="1"/>
  <c r="J25" i="1"/>
  <c r="J12" i="1"/>
  <c r="J29" i="1"/>
  <c r="J27" i="1"/>
  <c r="J13" i="1"/>
  <c r="J28" i="1"/>
  <c r="J14" i="1"/>
  <c r="J15" i="1"/>
  <c r="J17" i="1"/>
  <c r="J7" i="1"/>
  <c r="J16" i="1"/>
  <c r="J18" i="1"/>
  <c r="J20" i="1"/>
  <c r="H6" i="1"/>
  <c r="G27" i="1"/>
  <c r="G24" i="1"/>
  <c r="G21" i="1"/>
  <c r="G18" i="1"/>
  <c r="G15" i="1"/>
  <c r="G12" i="1"/>
  <c r="F3" i="1"/>
  <c r="H3" i="1" s="1"/>
  <c r="G9" i="1"/>
  <c r="G3" i="1"/>
  <c r="G6" i="1"/>
  <c r="F9" i="1"/>
  <c r="I15" i="1" l="1"/>
  <c r="K15" i="1"/>
  <c r="L15" i="1" s="1"/>
  <c r="K16" i="1"/>
  <c r="K17" i="1"/>
  <c r="I27" i="1"/>
  <c r="K29" i="1"/>
  <c r="L29" i="1" s="1"/>
  <c r="K28" i="1"/>
  <c r="L28" i="1" s="1"/>
  <c r="K27" i="1"/>
  <c r="L27" i="1" s="1"/>
  <c r="I3" i="1"/>
  <c r="K5" i="1"/>
  <c r="K4" i="1"/>
  <c r="K3" i="1"/>
  <c r="I9" i="1"/>
  <c r="K10" i="1"/>
  <c r="K11" i="1"/>
  <c r="K9" i="1"/>
  <c r="I18" i="1"/>
  <c r="K19" i="1"/>
  <c r="L19" i="1" s="1"/>
  <c r="K20" i="1"/>
  <c r="L20" i="1" s="1"/>
  <c r="K18" i="1"/>
  <c r="I24" i="1"/>
  <c r="K24" i="1"/>
  <c r="L24" i="1" s="1"/>
  <c r="K26" i="1"/>
  <c r="L26" i="1" s="1"/>
  <c r="K25" i="1"/>
  <c r="L25" i="1" s="1"/>
  <c r="L18" i="1"/>
  <c r="I12" i="1"/>
  <c r="K14" i="1"/>
  <c r="L14" i="1" s="1"/>
  <c r="K13" i="1"/>
  <c r="L13" i="1" s="1"/>
  <c r="K12" i="1"/>
  <c r="L12" i="1" s="1"/>
  <c r="L16" i="1"/>
  <c r="I6" i="1"/>
  <c r="K7" i="1"/>
  <c r="L7" i="1" s="1"/>
  <c r="K8" i="1"/>
  <c r="L8" i="1" s="1"/>
  <c r="K6" i="1"/>
  <c r="L6" i="1" s="1"/>
  <c r="I21" i="1"/>
  <c r="K22" i="1"/>
  <c r="L22" i="1" s="1"/>
  <c r="K23" i="1"/>
  <c r="L23" i="1" s="1"/>
  <c r="K21" i="1"/>
  <c r="L21" i="1" s="1"/>
  <c r="J10" i="1"/>
  <c r="J9" i="1"/>
  <c r="J11" i="1"/>
  <c r="L17" i="1"/>
  <c r="J4" i="1"/>
  <c r="J5" i="1"/>
  <c r="H9" i="1"/>
  <c r="J3" i="1"/>
  <c r="O12" i="1" l="1"/>
  <c r="N12" i="1"/>
  <c r="Q12" i="1" s="1"/>
  <c r="N16" i="1"/>
  <c r="Q16" i="1" s="1"/>
  <c r="O16" i="1"/>
  <c r="N27" i="1"/>
  <c r="Q27" i="1" s="1"/>
  <c r="O27" i="1"/>
  <c r="O26" i="1"/>
  <c r="N26" i="1"/>
  <c r="Q26" i="1" s="1"/>
  <c r="N29" i="1"/>
  <c r="Q29" i="1" s="1"/>
  <c r="O29" i="1"/>
  <c r="N7" i="1"/>
  <c r="Q7" i="1" s="1"/>
  <c r="O7" i="1"/>
  <c r="O17" i="1"/>
  <c r="N17" i="1"/>
  <c r="Q17" i="1" s="1"/>
  <c r="N18" i="1"/>
  <c r="Q18" i="1" s="1"/>
  <c r="O18" i="1"/>
  <c r="N23" i="1"/>
  <c r="Q23" i="1" s="1"/>
  <c r="O23" i="1"/>
  <c r="O25" i="1"/>
  <c r="N25" i="1"/>
  <c r="Q25" i="1" s="1"/>
  <c r="N22" i="1"/>
  <c r="Q22" i="1" s="1"/>
  <c r="O22" i="1"/>
  <c r="O13" i="1"/>
  <c r="N13" i="1"/>
  <c r="Q13" i="1" s="1"/>
  <c r="N28" i="1"/>
  <c r="Q28" i="1" s="1"/>
  <c r="O28" i="1"/>
  <c r="N20" i="1"/>
  <c r="Q20" i="1" s="1"/>
  <c r="O20" i="1"/>
  <c r="N14" i="1"/>
  <c r="Q14" i="1" s="1"/>
  <c r="O14" i="1"/>
  <c r="O24" i="1"/>
  <c r="N24" i="1"/>
  <c r="Q24" i="1" s="1"/>
  <c r="N6" i="1"/>
  <c r="Q6" i="1" s="1"/>
  <c r="O6" i="1"/>
  <c r="N15" i="1"/>
  <c r="Q15" i="1" s="1"/>
  <c r="O15" i="1"/>
  <c r="O21" i="1"/>
  <c r="N21" i="1"/>
  <c r="Q21" i="1" s="1"/>
  <c r="O19" i="1"/>
  <c r="N19" i="1"/>
  <c r="Q19" i="1" s="1"/>
  <c r="O8" i="1"/>
  <c r="N8" i="1"/>
  <c r="Q8" i="1" s="1"/>
  <c r="L11" i="1"/>
  <c r="L9" i="1"/>
  <c r="L10" i="1"/>
  <c r="L3" i="1"/>
  <c r="L4" i="1"/>
  <c r="L5" i="1"/>
  <c r="R7" i="1" l="1"/>
  <c r="O10" i="1"/>
  <c r="N10" i="1"/>
  <c r="Q10" i="1" s="1"/>
  <c r="R27" i="1"/>
  <c r="N5" i="1"/>
  <c r="Q5" i="1" s="1"/>
  <c r="O5" i="1"/>
  <c r="N4" i="1"/>
  <c r="Q4" i="1" s="1"/>
  <c r="O4" i="1"/>
  <c r="R17" i="1"/>
  <c r="R26" i="1"/>
  <c r="R14" i="1"/>
  <c r="N9" i="1"/>
  <c r="Q9" i="1" s="1"/>
  <c r="O9" i="1"/>
  <c r="R8" i="1"/>
  <c r="R29" i="1"/>
  <c r="R16" i="1"/>
  <c r="R24" i="1"/>
  <c r="O3" i="1"/>
  <c r="N3" i="1"/>
  <c r="Q3" i="1" s="1"/>
  <c r="R20" i="1"/>
  <c r="R28" i="1"/>
  <c r="R19" i="1"/>
  <c r="R21" i="1"/>
  <c r="R22" i="1"/>
  <c r="R12" i="1"/>
  <c r="R18" i="1"/>
  <c r="O11" i="1"/>
  <c r="N11" i="1"/>
  <c r="Q11" i="1" s="1"/>
  <c r="R13" i="1"/>
  <c r="R25" i="1"/>
  <c r="R15" i="1"/>
  <c r="R6" i="1"/>
  <c r="R23" i="1"/>
  <c r="R9" i="1" l="1"/>
  <c r="R4" i="1"/>
  <c r="R3" i="1"/>
  <c r="R10" i="1"/>
  <c r="R5" i="1"/>
  <c r="R11" i="1"/>
</calcChain>
</file>

<file path=xl/sharedStrings.xml><?xml version="1.0" encoding="utf-8"?>
<sst xmlns="http://schemas.openxmlformats.org/spreadsheetml/2006/main" count="41" uniqueCount="40">
  <si>
    <t>Poussée (kN)</t>
  </si>
  <si>
    <t>Isp (s)</t>
  </si>
  <si>
    <t>Pc (bar)</t>
  </si>
  <si>
    <t>ṁ total (kg/s)</t>
  </si>
  <si>
    <t>ṁ N₂O (kg/s)</t>
  </si>
  <si>
    <t>ṁ Éthanol (kg/s)</t>
  </si>
  <si>
    <t>P N₂O (kW)</t>
  </si>
  <si>
    <t>P Éthanol (kW)</t>
  </si>
  <si>
    <t>Fluide</t>
  </si>
  <si>
    <t>Densité (kg/m³)</t>
  </si>
  <si>
    <t>N₂O (liq.)</t>
  </si>
  <si>
    <t>Éthanol</t>
  </si>
  <si>
    <t>g_0 (m/s²)</t>
  </si>
  <si>
    <t>V̇ N₂O (L/s)</t>
  </si>
  <si>
    <t>V̇ Éthanol (L/s)</t>
  </si>
  <si>
    <t>rendement pompes</t>
  </si>
  <si>
    <t>ratio O/F</t>
  </si>
  <si>
    <t>2:1</t>
  </si>
  <si>
    <t>Pression Réservoir (bar)</t>
  </si>
  <si>
    <t>P total (kW)</t>
  </si>
  <si>
    <t>rendement turbine (GG)</t>
  </si>
  <si>
    <t>rendement moteur élec</t>
  </si>
  <si>
    <t>P requise cycle élec (en kW)</t>
  </si>
  <si>
    <t>P requise cycle GG (en kW)</t>
  </si>
  <si>
    <t>densité d'énergie des batteries (Wh/kg)</t>
  </si>
  <si>
    <t>Énergie à fournir (kWh)</t>
  </si>
  <si>
    <t>temps de fonctionnement des moteurs (en h)</t>
  </si>
  <si>
    <r>
      <t xml:space="preserve">Masse des batteries 
pour </t>
    </r>
    <r>
      <rPr>
        <b/>
        <sz val="11"/>
        <color theme="1"/>
        <rFont val="Calibri"/>
        <family val="2"/>
      </rPr>
      <t>ϵ = 200 Wh/kg</t>
    </r>
    <r>
      <rPr>
        <b/>
        <sz val="11"/>
        <color theme="1"/>
        <rFont val="Calibri"/>
        <family val="2"/>
        <scheme val="minor"/>
      </rPr>
      <t xml:space="preserve"> (en kg)</t>
    </r>
  </si>
  <si>
    <t>Masse des batteries 
pour ϵ = 250 Wh/kg (en kg)</t>
  </si>
  <si>
    <t>Masse des batteries
pour ϵ = 300 Wh/kg (en kg)</t>
  </si>
  <si>
    <t>Masse des batteries
pour ϵ = 350 Wh/kg (en kg)</t>
  </si>
  <si>
    <t>Masse des batteries
pour ϵ = 400 Wh/kg (en kg)</t>
  </si>
  <si>
    <t>Masse des batteries
pour ϵ = 450 Wh/kg (en kg)</t>
  </si>
  <si>
    <t>Masse des batteries
pour ϵ = 500 Wh/kg (en kg)</t>
  </si>
  <si>
    <t>Masse des batteries
pour ϵ = 550 Wh/kg (en kg)</t>
  </si>
  <si>
    <t>Masse des batteries
pour ϵ = 600 Wh/kg (en kg)</t>
  </si>
  <si>
    <t>Li-ion</t>
  </si>
  <si>
    <t>Li-S</t>
  </si>
  <si>
    <t>Li-air</t>
  </si>
  <si>
    <t>Type de batterie associé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</si>
</sst>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indexed="64"/>
      </left>
      <right style="medium">
        <color rgb="FFFF0000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 style="medium">
        <color rgb="FFFF0000"/>
      </right>
      <top style="medium">
        <color indexed="64"/>
      </top>
      <bottom style="medium">
        <color rgb="FFFF0000"/>
      </bottom>
      <diagonal/>
    </border>
    <border>
      <left style="medium">
        <color rgb="FFFF0000"/>
      </left>
      <right style="medium">
        <color indexed="64"/>
      </right>
      <top style="medium">
        <color rgb="FFFF0000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rgb="FFFF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FF0000"/>
      </bottom>
      <diagonal/>
    </border>
    <border>
      <left style="medium">
        <color indexed="64"/>
      </left>
      <right/>
      <top style="medium">
        <color rgb="FFFF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1" xfId="0" applyBorder="1" applyAlignment="1">
      <alignment horizontal="justify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49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1" fillId="11" borderId="21" xfId="0" applyFont="1" applyFill="1" applyBorder="1" applyAlignment="1">
      <alignment horizontal="center"/>
    </xf>
    <xf numFmtId="0" fontId="1" fillId="11" borderId="22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 vertical="center" wrapText="1"/>
    </xf>
    <xf numFmtId="0" fontId="1" fillId="11" borderId="2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0" borderId="2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11" borderId="29" xfId="0" applyFont="1" applyFill="1" applyBorder="1" applyAlignment="1">
      <alignment horizontal="center"/>
    </xf>
    <xf numFmtId="0" fontId="1" fillId="11" borderId="2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7AA2-29D6-4035-8F23-C7822805EF86}">
  <dimension ref="B1:Z40"/>
  <sheetViews>
    <sheetView tabSelected="1" topLeftCell="A13" workbookViewId="0">
      <selection activeCell="O32" sqref="O32:O34"/>
    </sheetView>
  </sheetViews>
  <sheetFormatPr baseColWidth="10" defaultRowHeight="15" x14ac:dyDescent="0.25"/>
  <cols>
    <col min="2" max="2" width="9.28515625" bestFit="1" customWidth="1"/>
    <col min="3" max="3" width="8.28515625" bestFit="1" customWidth="1"/>
    <col min="4" max="4" width="9.85546875" bestFit="1" customWidth="1"/>
    <col min="5" max="11" width="11.5703125" bestFit="1" customWidth="1"/>
    <col min="12" max="12" width="12" bestFit="1" customWidth="1"/>
    <col min="13" max="13" width="17.85546875" customWidth="1"/>
    <col min="14" max="15" width="12" bestFit="1" customWidth="1"/>
    <col min="16" max="16" width="10" bestFit="1" customWidth="1"/>
    <col min="17" max="19" width="12" bestFit="1" customWidth="1"/>
    <col min="20" max="20" width="12" customWidth="1"/>
    <col min="21" max="21" width="11.42578125" customWidth="1"/>
  </cols>
  <sheetData>
    <row r="1" spans="2:26" ht="15.75" thickBot="1" x14ac:dyDescent="0.3"/>
    <row r="2" spans="2:26" ht="75.75" thickBot="1" x14ac:dyDescent="0.3"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13</v>
      </c>
      <c r="I2" s="16" t="s">
        <v>14</v>
      </c>
      <c r="J2" s="16" t="s">
        <v>6</v>
      </c>
      <c r="K2" s="16" t="s">
        <v>7</v>
      </c>
      <c r="L2" s="17" t="s">
        <v>19</v>
      </c>
      <c r="N2" s="16" t="s">
        <v>22</v>
      </c>
      <c r="O2" s="16" t="s">
        <v>23</v>
      </c>
      <c r="Q2" s="16" t="s">
        <v>25</v>
      </c>
      <c r="R2" s="16" t="s">
        <v>27</v>
      </c>
      <c r="S2" s="16" t="s">
        <v>28</v>
      </c>
      <c r="T2" s="16" t="s">
        <v>29</v>
      </c>
      <c r="U2" s="89" t="s">
        <v>30</v>
      </c>
      <c r="V2" s="89" t="s">
        <v>31</v>
      </c>
      <c r="W2" s="89" t="s">
        <v>32</v>
      </c>
      <c r="X2" s="89" t="s">
        <v>33</v>
      </c>
      <c r="Y2" s="16" t="s">
        <v>34</v>
      </c>
      <c r="Z2" s="16" t="s">
        <v>35</v>
      </c>
    </row>
    <row r="3" spans="2:26" ht="15.75" thickBot="1" x14ac:dyDescent="0.3">
      <c r="B3" s="61">
        <v>50</v>
      </c>
      <c r="C3" s="61">
        <v>270</v>
      </c>
      <c r="D3" s="2">
        <v>20</v>
      </c>
      <c r="E3" s="61">
        <f>B3/(C3*$F$32)*1000</f>
        <v>18.883633573665342</v>
      </c>
      <c r="F3" s="61">
        <f>(2/(2+1))*E3</f>
        <v>12.589089049110228</v>
      </c>
      <c r="G3" s="61">
        <f>(1/(2+1))*E3</f>
        <v>6.2945445245551142</v>
      </c>
      <c r="H3" s="61">
        <f>F3/$C$32*1000</f>
        <v>16.785452065480303</v>
      </c>
      <c r="I3" s="61">
        <f>G3/$C$32*1000</f>
        <v>8.3927260327401516</v>
      </c>
      <c r="J3" s="2">
        <f>(((D3*10^5-$D$32*10^5)*$F$3)/($C$32*$G$32))/10^3</f>
        <v>25.823772408431235</v>
      </c>
      <c r="K3" s="2">
        <f>(((D3*10^5-$D$33*10^5)*$G$3)/($C$33*$G$32))/10^3</f>
        <v>22.064615665431752</v>
      </c>
      <c r="L3" s="22">
        <f>J3+K3</f>
        <v>47.888388073862984</v>
      </c>
      <c r="N3" s="22">
        <f>L3/$J$32</f>
        <v>53.209320082069979</v>
      </c>
      <c r="O3" s="22">
        <f>L3/$K$32</f>
        <v>95.776776147725968</v>
      </c>
      <c r="Q3" s="22">
        <f>N3*$M$32</f>
        <v>8.8682200136783287</v>
      </c>
      <c r="R3" s="22">
        <f>Q3*10^3/$N$32</f>
        <v>44.34110006839164</v>
      </c>
      <c r="S3" s="22">
        <f>Q3*10^3/$N$33</f>
        <v>35.472880054713315</v>
      </c>
      <c r="T3" s="88">
        <f>Q3*10^3/$N$34</f>
        <v>29.560733378927761</v>
      </c>
      <c r="U3" s="22">
        <f>Q3*10^3/$N$35</f>
        <v>25.337771467652367</v>
      </c>
      <c r="V3" s="96">
        <f>Q3*10^3/$N$36</f>
        <v>22.17055003419582</v>
      </c>
      <c r="W3" s="96">
        <f>Q3*10^3/$N$37</f>
        <v>19.707155585951842</v>
      </c>
      <c r="X3" s="96">
        <f>Q3*10^3/$N$38</f>
        <v>17.736440027356657</v>
      </c>
      <c r="Y3" s="96">
        <f>Q3*10^3/$N$39</f>
        <v>16.124036388506052</v>
      </c>
      <c r="Z3" s="96">
        <f>Q3*10^3/$N$40</f>
        <v>14.780366689463881</v>
      </c>
    </row>
    <row r="4" spans="2:26" ht="15.75" thickBot="1" x14ac:dyDescent="0.3">
      <c r="B4" s="62"/>
      <c r="C4" s="62"/>
      <c r="D4" s="2">
        <v>40</v>
      </c>
      <c r="E4" s="62"/>
      <c r="F4" s="62"/>
      <c r="G4" s="62"/>
      <c r="H4" s="62"/>
      <c r="I4" s="62"/>
      <c r="J4" s="2">
        <f>(((D4*10^5-$D$32*10^5)*$F$3)/($C$32*$G$32))/10^3</f>
        <v>77.471317225293717</v>
      </c>
      <c r="K4" s="2">
        <f>(((D4*10^5-$D$33*10^5)*$G$3)/($C$33*$G$32))/10^3</f>
        <v>46.580855293689261</v>
      </c>
      <c r="L4" s="22">
        <f t="shared" ref="L4:L29" si="0">J4+K4</f>
        <v>124.05217251898299</v>
      </c>
      <c r="N4" s="22">
        <f t="shared" ref="N4:N29" si="1">L4/$J$32</f>
        <v>137.83574724331442</v>
      </c>
      <c r="O4" s="22">
        <f t="shared" ref="O4:O29" si="2">L4/$K$32</f>
        <v>248.10434503796597</v>
      </c>
      <c r="Q4" s="22">
        <f>N4*$M$32</f>
        <v>22.972624540552403</v>
      </c>
      <c r="R4" s="22">
        <f>Q4*10^3/$N$32</f>
        <v>114.86312270276201</v>
      </c>
      <c r="S4" s="22">
        <f>Q4*10^3/$N$33</f>
        <v>91.89049816220961</v>
      </c>
      <c r="T4" s="22">
        <f>Q4*10^3/$N$34</f>
        <v>76.57541513517468</v>
      </c>
      <c r="U4" s="22">
        <f t="shared" ref="U4:U29" si="3">Q4*10^3/$N$35</f>
        <v>65.636070115864001</v>
      </c>
      <c r="V4" s="96">
        <f t="shared" ref="V4:V29" si="4">Q4*10^3/$N$36</f>
        <v>57.431561351381006</v>
      </c>
      <c r="W4" s="96">
        <f t="shared" ref="W4:W28" si="5">Q4*10^3/$N$37</f>
        <v>51.050276756783113</v>
      </c>
      <c r="X4" s="96">
        <f t="shared" ref="X4:X29" si="6">Q4*10^3/$N$38</f>
        <v>45.945249081104805</v>
      </c>
      <c r="Y4" s="96">
        <f t="shared" ref="Y4:Y29" si="7">Q4*10^3/$N$39</f>
        <v>41.768408255549822</v>
      </c>
      <c r="Z4" s="96">
        <f t="shared" ref="Z4:Z29" si="8">Q4*10^3/$N$40</f>
        <v>38.28770756758734</v>
      </c>
    </row>
    <row r="5" spans="2:26" ht="15.75" thickBot="1" x14ac:dyDescent="0.3">
      <c r="B5" s="62"/>
      <c r="C5" s="62"/>
      <c r="D5" s="3">
        <v>60</v>
      </c>
      <c r="E5" s="62"/>
      <c r="F5" s="62"/>
      <c r="G5" s="62"/>
      <c r="H5" s="62"/>
      <c r="I5" s="62"/>
      <c r="J5" s="3">
        <f>(((D5*10^5-$D$32*10^5)*$F$3)/($C$32*$G$32))/10^3</f>
        <v>129.11886204215617</v>
      </c>
      <c r="K5" s="3">
        <f>(((D5*10^5-$D$33*10^5)*$G$3)/($C$33*$G$32))/10^3</f>
        <v>71.097094921946763</v>
      </c>
      <c r="L5" s="39">
        <f t="shared" si="0"/>
        <v>200.21595696410293</v>
      </c>
      <c r="N5" s="39">
        <f t="shared" si="1"/>
        <v>222.46217440455879</v>
      </c>
      <c r="O5" s="39">
        <f t="shared" si="2"/>
        <v>400.43191392820586</v>
      </c>
      <c r="Q5" s="39">
        <f>N5*$M$32</f>
        <v>37.077029067426466</v>
      </c>
      <c r="R5" s="39">
        <f>Q5*10^3/$N$32</f>
        <v>185.38514533713234</v>
      </c>
      <c r="S5" s="39">
        <f>Q5*10^3/$N$33</f>
        <v>148.30811626970586</v>
      </c>
      <c r="T5" s="39">
        <f>Q5*10^3/$N$34</f>
        <v>123.59009689142157</v>
      </c>
      <c r="U5" s="39">
        <f t="shared" si="3"/>
        <v>105.93436876407563</v>
      </c>
      <c r="V5" s="105">
        <f t="shared" si="4"/>
        <v>92.692572668566172</v>
      </c>
      <c r="W5" s="105">
        <f t="shared" si="5"/>
        <v>82.393397927614373</v>
      </c>
      <c r="X5" s="105">
        <f t="shared" si="6"/>
        <v>74.154058134852932</v>
      </c>
      <c r="Y5" s="105">
        <f t="shared" si="7"/>
        <v>67.412780122593574</v>
      </c>
      <c r="Z5" s="105">
        <f t="shared" si="8"/>
        <v>61.795048445710783</v>
      </c>
    </row>
    <row r="6" spans="2:26" ht="15.75" thickBot="1" x14ac:dyDescent="0.3">
      <c r="B6" s="76">
        <v>50</v>
      </c>
      <c r="C6" s="58">
        <v>285</v>
      </c>
      <c r="D6" s="41">
        <v>20</v>
      </c>
      <c r="E6" s="58">
        <f t="shared" ref="E6" si="9">B6/(C6*$F$32)*1000</f>
        <v>17.889758122419796</v>
      </c>
      <c r="F6" s="58">
        <f t="shared" ref="F6" si="10">(2/(2+1))*E6</f>
        <v>11.926505414946529</v>
      </c>
      <c r="G6" s="58">
        <f t="shared" ref="G6" si="11">(1/(2+1))*E6</f>
        <v>5.9632527074732646</v>
      </c>
      <c r="H6" s="58">
        <f>F6/$C$32*1000</f>
        <v>15.902007219928706</v>
      </c>
      <c r="I6" s="58">
        <f>G6/$C$32*1000</f>
        <v>7.9510036099643528</v>
      </c>
      <c r="J6" s="41">
        <f>(((D6*10^5-$D$32*10^5)*$F$6)/($C$32*$G$32))/10^3</f>
        <v>24.464626492198011</v>
      </c>
      <c r="K6" s="41">
        <f>(((D6*10^5-$D$33*10^5)*$G$6)/($C$33*$G$32))/10^3</f>
        <v>20.903320104093233</v>
      </c>
      <c r="L6" s="42">
        <f t="shared" si="0"/>
        <v>45.367946596291247</v>
      </c>
      <c r="N6" s="46">
        <f t="shared" si="1"/>
        <v>50.408829551434721</v>
      </c>
      <c r="O6" s="42">
        <f t="shared" si="2"/>
        <v>90.735893192582495</v>
      </c>
      <c r="Q6" s="46">
        <f>N6*$M$32</f>
        <v>8.4014715919057856</v>
      </c>
      <c r="R6" s="42">
        <f>Q6*10^3/$N$32</f>
        <v>42.007357959528925</v>
      </c>
      <c r="S6" s="42">
        <f>Q6*10^3/$N$33</f>
        <v>33.605886367623143</v>
      </c>
      <c r="T6" s="90">
        <f>Q6*10^3/$N$34</f>
        <v>28.004905306352619</v>
      </c>
      <c r="U6" s="107">
        <f t="shared" si="3"/>
        <v>24.004204548302244</v>
      </c>
      <c r="V6" s="108">
        <f t="shared" si="4"/>
        <v>21.003678979764462</v>
      </c>
      <c r="W6" s="108">
        <f t="shared" si="5"/>
        <v>18.669936870901743</v>
      </c>
      <c r="X6" s="108">
        <f t="shared" si="6"/>
        <v>16.802943183811571</v>
      </c>
      <c r="Y6" s="108">
        <f t="shared" si="7"/>
        <v>15.275402894374155</v>
      </c>
      <c r="Z6" s="109">
        <f t="shared" si="8"/>
        <v>14.002452653176309</v>
      </c>
    </row>
    <row r="7" spans="2:26" ht="15.75" thickBot="1" x14ac:dyDescent="0.3">
      <c r="B7" s="77"/>
      <c r="C7" s="59"/>
      <c r="D7" s="4">
        <v>40</v>
      </c>
      <c r="E7" s="59"/>
      <c r="F7" s="59"/>
      <c r="G7" s="59"/>
      <c r="H7" s="59"/>
      <c r="I7" s="59"/>
      <c r="J7" s="4">
        <f>(((D7*10^5-$D$32*10^5)*$F$6)/($C$32*$G$32))/10^3</f>
        <v>73.393879476594023</v>
      </c>
      <c r="K7" s="4">
        <f>(((D7*10^5-$D$33*10^5)*$G$6)/($C$33*$G$32))/10^3</f>
        <v>44.129231330863497</v>
      </c>
      <c r="L7" s="43">
        <f t="shared" si="0"/>
        <v>117.52311080745753</v>
      </c>
      <c r="N7" s="47">
        <f t="shared" si="1"/>
        <v>130.58123423050836</v>
      </c>
      <c r="O7" s="43">
        <f t="shared" si="2"/>
        <v>235.04622161491505</v>
      </c>
      <c r="Q7" s="47">
        <f>N7*$M$32</f>
        <v>21.76353903841806</v>
      </c>
      <c r="R7" s="43">
        <f>Q7*10^3/$N$32</f>
        <v>108.8176951920903</v>
      </c>
      <c r="S7" s="43">
        <f>Q7*10^3/$N$33</f>
        <v>87.054156153672238</v>
      </c>
      <c r="T7" s="91">
        <f>Q7*10^3/$N$34</f>
        <v>72.545130128060208</v>
      </c>
      <c r="U7" s="86">
        <f t="shared" si="3"/>
        <v>62.181540109765891</v>
      </c>
      <c r="V7" s="97">
        <f t="shared" si="4"/>
        <v>54.408847596045149</v>
      </c>
      <c r="W7" s="97">
        <f t="shared" si="5"/>
        <v>48.36342008537347</v>
      </c>
      <c r="X7" s="97">
        <f t="shared" si="6"/>
        <v>43.527078076836119</v>
      </c>
      <c r="Y7" s="97">
        <f t="shared" si="7"/>
        <v>39.570070978941928</v>
      </c>
      <c r="Z7" s="110">
        <f t="shared" si="8"/>
        <v>36.272565064030104</v>
      </c>
    </row>
    <row r="8" spans="2:26" ht="15.75" thickBot="1" x14ac:dyDescent="0.3">
      <c r="B8" s="78"/>
      <c r="C8" s="60"/>
      <c r="D8" s="44">
        <v>60</v>
      </c>
      <c r="E8" s="60"/>
      <c r="F8" s="60"/>
      <c r="G8" s="60"/>
      <c r="H8" s="60"/>
      <c r="I8" s="60"/>
      <c r="J8" s="44">
        <f>(((D8*10^5-$D$32*10^5)*$F$6)/($C$32*$G$32))/10^3</f>
        <v>122.32313246099005</v>
      </c>
      <c r="K8" s="44">
        <f>(((D8*10^5-$D$33*10^5)*$G$6)/($C$33*$G$32))/10^3</f>
        <v>67.355142557633755</v>
      </c>
      <c r="L8" s="45">
        <f t="shared" si="0"/>
        <v>189.67827501862382</v>
      </c>
      <c r="N8" s="48">
        <f t="shared" si="1"/>
        <v>210.75363890958201</v>
      </c>
      <c r="O8" s="45">
        <f t="shared" si="2"/>
        <v>379.35655003724764</v>
      </c>
      <c r="Q8" s="48">
        <f>N8*$M$32</f>
        <v>35.12560648493033</v>
      </c>
      <c r="R8" s="45">
        <f>Q8*10^3/$N$32</f>
        <v>175.62803242465165</v>
      </c>
      <c r="S8" s="45">
        <f>Q8*10^3/$N$33</f>
        <v>140.50242593972132</v>
      </c>
      <c r="T8" s="92">
        <f>Q8*10^3/$N$34</f>
        <v>117.08535494976776</v>
      </c>
      <c r="U8" s="111">
        <f t="shared" si="3"/>
        <v>100.35887567122951</v>
      </c>
      <c r="V8" s="112">
        <f t="shared" si="4"/>
        <v>87.814016212325825</v>
      </c>
      <c r="W8" s="112">
        <f t="shared" si="5"/>
        <v>78.056903299845175</v>
      </c>
      <c r="X8" s="112">
        <f t="shared" si="6"/>
        <v>70.25121296986066</v>
      </c>
      <c r="Y8" s="112">
        <f t="shared" si="7"/>
        <v>63.864739063509688</v>
      </c>
      <c r="Z8" s="113">
        <f t="shared" si="8"/>
        <v>58.542677474883881</v>
      </c>
    </row>
    <row r="9" spans="2:26" ht="15.75" thickBot="1" x14ac:dyDescent="0.3">
      <c r="B9" s="56">
        <v>50</v>
      </c>
      <c r="C9" s="56">
        <v>300</v>
      </c>
      <c r="D9" s="6">
        <v>20</v>
      </c>
      <c r="E9" s="56">
        <f t="shared" ref="E9" si="12">B9/(C9*$F$32)*1000</f>
        <v>16.995270216298806</v>
      </c>
      <c r="F9" s="56">
        <f t="shared" ref="F9" si="13">(2/(2+1))*E9</f>
        <v>11.330180144199204</v>
      </c>
      <c r="G9" s="56">
        <f t="shared" ref="G9" si="14">(1/(2+1))*E9</f>
        <v>5.665090072099602</v>
      </c>
      <c r="H9" s="56">
        <f>F9/$C$32*1000</f>
        <v>15.106906858932271</v>
      </c>
      <c r="I9" s="56">
        <f>G9/$C$32*1000</f>
        <v>7.5534534294661357</v>
      </c>
      <c r="J9" s="6">
        <f>(((D9*10^5-$D$32*10^5)*$F$9)/($C$32*$G$32))/10^3</f>
        <v>23.241395167588109</v>
      </c>
      <c r="K9" s="6">
        <f>(((D9*10^5-$D$33*10^5)*$G$9)/($C$33*$G$32))/10^3</f>
        <v>19.858154098888576</v>
      </c>
      <c r="L9" s="40">
        <f t="shared" si="0"/>
        <v>43.099549266476686</v>
      </c>
      <c r="N9" s="40">
        <f t="shared" si="1"/>
        <v>47.888388073862984</v>
      </c>
      <c r="O9" s="40">
        <f t="shared" si="2"/>
        <v>86.199098532953371</v>
      </c>
      <c r="Q9" s="40">
        <f>N9*$M$32</f>
        <v>7.9813980123104971</v>
      </c>
      <c r="R9" s="40">
        <f>Q9*10^3/$N$32</f>
        <v>39.906990061552484</v>
      </c>
      <c r="S9" s="40">
        <f>Q9*10^3/$N$33</f>
        <v>31.925592049241992</v>
      </c>
      <c r="T9" s="40">
        <f>Q9*10^3/$N$34</f>
        <v>26.604660041034993</v>
      </c>
      <c r="U9" s="40">
        <f t="shared" si="3"/>
        <v>22.803994320887135</v>
      </c>
      <c r="V9" s="106">
        <f t="shared" si="4"/>
        <v>19.953495030776242</v>
      </c>
      <c r="W9" s="106">
        <f t="shared" si="5"/>
        <v>17.736440027356661</v>
      </c>
      <c r="X9" s="106">
        <f t="shared" si="6"/>
        <v>15.962796024620996</v>
      </c>
      <c r="Y9" s="106">
        <f t="shared" si="7"/>
        <v>14.511632749655449</v>
      </c>
      <c r="Z9" s="106">
        <f t="shared" si="8"/>
        <v>13.302330020517497</v>
      </c>
    </row>
    <row r="10" spans="2:26" ht="15.75" thickBot="1" x14ac:dyDescent="0.3">
      <c r="B10" s="56"/>
      <c r="C10" s="56"/>
      <c r="D10" s="5">
        <v>40</v>
      </c>
      <c r="E10" s="56"/>
      <c r="F10" s="56"/>
      <c r="G10" s="56"/>
      <c r="H10" s="56"/>
      <c r="I10" s="56"/>
      <c r="J10" s="5">
        <f>(((D10*10^5-$D$32*10^5)*$F$9)/($C$32*$G$32))/10^3</f>
        <v>69.724185502764328</v>
      </c>
      <c r="K10" s="5">
        <f>(((D10*10^5-$D$33*10^5)*$G$9)/($C$33*$G$32))/10^3</f>
        <v>41.922769764320321</v>
      </c>
      <c r="L10" s="23">
        <f t="shared" si="0"/>
        <v>111.64695526708465</v>
      </c>
      <c r="N10" s="23">
        <f t="shared" si="1"/>
        <v>124.05217251898294</v>
      </c>
      <c r="O10" s="23">
        <f t="shared" si="2"/>
        <v>223.2939105341693</v>
      </c>
      <c r="Q10" s="23">
        <f>N10*$M$32</f>
        <v>20.675362086497156</v>
      </c>
      <c r="R10" s="23">
        <f>Q10*10^3/$N$32</f>
        <v>103.37681043248578</v>
      </c>
      <c r="S10" s="23">
        <f>Q10*10^3/$N$33</f>
        <v>82.701448345988624</v>
      </c>
      <c r="T10" s="23">
        <f>Q10*10^3/$N$34</f>
        <v>68.917873621657193</v>
      </c>
      <c r="U10" s="23">
        <f t="shared" si="3"/>
        <v>59.072463104277588</v>
      </c>
      <c r="V10" s="98">
        <f t="shared" si="4"/>
        <v>51.688405216242892</v>
      </c>
      <c r="W10" s="98">
        <f t="shared" si="5"/>
        <v>45.945249081104791</v>
      </c>
      <c r="X10" s="98">
        <f t="shared" si="6"/>
        <v>41.350724172994312</v>
      </c>
      <c r="Y10" s="98">
        <f t="shared" si="7"/>
        <v>37.591567429994832</v>
      </c>
      <c r="Z10" s="98">
        <f t="shared" si="8"/>
        <v>34.458936810828597</v>
      </c>
    </row>
    <row r="11" spans="2:26" ht="15.75" thickBot="1" x14ac:dyDescent="0.3">
      <c r="B11" s="57"/>
      <c r="C11" s="57"/>
      <c r="D11" s="5">
        <v>60</v>
      </c>
      <c r="E11" s="57"/>
      <c r="F11" s="57"/>
      <c r="G11" s="57"/>
      <c r="H11" s="57"/>
      <c r="I11" s="57"/>
      <c r="J11" s="5">
        <f>(((D11*10^5-$D$32*10^5)*$F$9)/($C$32*$G$32))/10^3</f>
        <v>116.20697583794055</v>
      </c>
      <c r="K11" s="5">
        <f>(((D11*10^5-$D$33*10^5)*$G$9)/($C$33*$G$32))/10^3</f>
        <v>63.987385429752074</v>
      </c>
      <c r="L11" s="23">
        <f t="shared" si="0"/>
        <v>180.19436126769261</v>
      </c>
      <c r="N11" s="23">
        <f t="shared" si="1"/>
        <v>200.2159569641029</v>
      </c>
      <c r="O11" s="23">
        <f t="shared" si="2"/>
        <v>360.38872253538523</v>
      </c>
      <c r="Q11" s="23">
        <f>N11*$M$32</f>
        <v>33.369326160683812</v>
      </c>
      <c r="R11" s="23">
        <f>Q11*10^3/$N$32</f>
        <v>166.84663080341906</v>
      </c>
      <c r="S11" s="23">
        <f>Q11*10^3/$N$33</f>
        <v>133.47730464273525</v>
      </c>
      <c r="T11" s="23">
        <f>Q11*10^3/$N$34</f>
        <v>111.23108720227938</v>
      </c>
      <c r="U11" s="23">
        <f t="shared" si="3"/>
        <v>95.340931887668035</v>
      </c>
      <c r="V11" s="98">
        <f t="shared" si="4"/>
        <v>83.42331540170953</v>
      </c>
      <c r="W11" s="98">
        <f t="shared" si="5"/>
        <v>74.154058134852917</v>
      </c>
      <c r="X11" s="98">
        <f t="shared" si="6"/>
        <v>66.738652321367624</v>
      </c>
      <c r="Y11" s="98">
        <f t="shared" si="7"/>
        <v>60.671502110334202</v>
      </c>
      <c r="Z11" s="98">
        <f t="shared" si="8"/>
        <v>55.615543601139692</v>
      </c>
    </row>
    <row r="12" spans="2:26" ht="15.75" thickBot="1" x14ac:dyDescent="0.3">
      <c r="B12" s="54">
        <v>100</v>
      </c>
      <c r="C12" s="54">
        <v>270</v>
      </c>
      <c r="D12" s="7">
        <v>20</v>
      </c>
      <c r="E12" s="54">
        <f t="shared" ref="E12" si="15">B12/(C12*$F$32)*1000</f>
        <v>37.767267147330685</v>
      </c>
      <c r="F12" s="54">
        <f t="shared" ref="F12" si="16">(2/(2+1))*E12</f>
        <v>25.178178098220457</v>
      </c>
      <c r="G12" s="54">
        <f t="shared" ref="G12" si="17">(1/(2+1))*E12</f>
        <v>12.589089049110228</v>
      </c>
      <c r="H12" s="54">
        <f>F12/$C$32*1000</f>
        <v>33.570904130960606</v>
      </c>
      <c r="I12" s="54">
        <f>G12/$C$32*1000</f>
        <v>16.785452065480303</v>
      </c>
      <c r="J12" s="7">
        <f>(((D12*10^5-$D$32*10^5)*$F$12)/($C$32*$G$32))/10^3</f>
        <v>51.647544816862471</v>
      </c>
      <c r="K12" s="7">
        <f>(((D12*10^5-$D$33*10^5)*$G$12)/($C$33*$G$32))/10^3</f>
        <v>44.129231330863504</v>
      </c>
      <c r="L12" s="24">
        <f t="shared" si="0"/>
        <v>95.776776147725968</v>
      </c>
      <c r="N12" s="24">
        <f t="shared" si="1"/>
        <v>106.41864016413996</v>
      </c>
      <c r="O12" s="24">
        <f t="shared" si="2"/>
        <v>191.55355229545194</v>
      </c>
      <c r="Q12" s="24">
        <f>N12*$M$32</f>
        <v>17.736440027356657</v>
      </c>
      <c r="R12" s="24">
        <f>Q12*10^3/$N$32</f>
        <v>88.68220013678328</v>
      </c>
      <c r="S12" s="24">
        <f>Q12*10^3/$N$33</f>
        <v>70.945760109426629</v>
      </c>
      <c r="T12" s="24">
        <f>Q12*10^3/$N$34</f>
        <v>59.121466757855522</v>
      </c>
      <c r="U12" s="24">
        <f t="shared" si="3"/>
        <v>50.675542935304733</v>
      </c>
      <c r="V12" s="100">
        <f t="shared" si="4"/>
        <v>44.34110006839164</v>
      </c>
      <c r="W12" s="100">
        <f t="shared" si="5"/>
        <v>39.414311171903684</v>
      </c>
      <c r="X12" s="100">
        <f t="shared" si="6"/>
        <v>35.472880054713315</v>
      </c>
      <c r="Y12" s="100">
        <f t="shared" si="7"/>
        <v>32.248072777012105</v>
      </c>
      <c r="Z12" s="100">
        <f t="shared" si="8"/>
        <v>29.560733378927761</v>
      </c>
    </row>
    <row r="13" spans="2:26" ht="15.75" thickBot="1" x14ac:dyDescent="0.3">
      <c r="B13" s="55"/>
      <c r="C13" s="55"/>
      <c r="D13" s="7">
        <v>40</v>
      </c>
      <c r="E13" s="55"/>
      <c r="F13" s="55"/>
      <c r="G13" s="55"/>
      <c r="H13" s="55"/>
      <c r="I13" s="55"/>
      <c r="J13" s="7">
        <f>(((D13*10^5-$D$32*10^5)*$F$12)/($C$32*$G$32))/10^3</f>
        <v>154.94263445058743</v>
      </c>
      <c r="K13" s="7">
        <f>(((D13*10^5-$D$33*10^5)*$G$12)/($C$33*$G$32))/10^3</f>
        <v>93.161710587378522</v>
      </c>
      <c r="L13" s="24">
        <f t="shared" si="0"/>
        <v>248.10434503796597</v>
      </c>
      <c r="N13" s="24">
        <f t="shared" si="1"/>
        <v>275.67149448662883</v>
      </c>
      <c r="O13" s="24">
        <f t="shared" si="2"/>
        <v>496.20869007593194</v>
      </c>
      <c r="Q13" s="24">
        <f>N13*$M$32</f>
        <v>45.945249081104805</v>
      </c>
      <c r="R13" s="24">
        <f>Q13*10^3/$N$32</f>
        <v>229.72624540552403</v>
      </c>
      <c r="S13" s="24">
        <f>Q13*10^3/$N$33</f>
        <v>183.78099632441922</v>
      </c>
      <c r="T13" s="24">
        <f>Q13*10^3/$N$34</f>
        <v>153.15083027034936</v>
      </c>
      <c r="U13" s="24">
        <f t="shared" si="3"/>
        <v>131.272140231728</v>
      </c>
      <c r="V13" s="100">
        <f t="shared" si="4"/>
        <v>114.86312270276201</v>
      </c>
      <c r="W13" s="100">
        <f t="shared" si="5"/>
        <v>102.10055351356623</v>
      </c>
      <c r="X13" s="100">
        <f t="shared" si="6"/>
        <v>91.89049816220961</v>
      </c>
      <c r="Y13" s="100">
        <f t="shared" si="7"/>
        <v>83.536816511099644</v>
      </c>
      <c r="Z13" s="100">
        <f t="shared" si="8"/>
        <v>76.57541513517468</v>
      </c>
    </row>
    <row r="14" spans="2:26" ht="15.75" thickBot="1" x14ac:dyDescent="0.3">
      <c r="B14" s="55"/>
      <c r="C14" s="55"/>
      <c r="D14" s="8">
        <v>60</v>
      </c>
      <c r="E14" s="55"/>
      <c r="F14" s="55"/>
      <c r="G14" s="55"/>
      <c r="H14" s="55"/>
      <c r="I14" s="55"/>
      <c r="J14" s="8">
        <f>(((D14*10^5-$D$32*10^5)*$F$12)/($C$32*$G$32))/10^3</f>
        <v>258.23772408431233</v>
      </c>
      <c r="K14" s="8">
        <f>(((D14*10^5-$D$33*10^5)*$G$12)/($C$33*$G$32))/10^3</f>
        <v>142.19418984389353</v>
      </c>
      <c r="L14" s="32">
        <f t="shared" si="0"/>
        <v>400.43191392820586</v>
      </c>
      <c r="N14" s="32">
        <f t="shared" si="1"/>
        <v>444.92434880911759</v>
      </c>
      <c r="O14" s="32">
        <f t="shared" si="2"/>
        <v>800.86382785641172</v>
      </c>
      <c r="Q14" s="32">
        <f>N14*$M$32</f>
        <v>74.154058134852932</v>
      </c>
      <c r="R14" s="32">
        <f>Q14*10^3/$N$32</f>
        <v>370.77029067426469</v>
      </c>
      <c r="S14" s="32">
        <f>Q14*10^3/$N$33</f>
        <v>296.61623253941173</v>
      </c>
      <c r="T14" s="32">
        <f>Q14*10^3/$N$34</f>
        <v>247.18019378284313</v>
      </c>
      <c r="U14" s="32">
        <f t="shared" si="3"/>
        <v>211.86873752815126</v>
      </c>
      <c r="V14" s="114">
        <f t="shared" si="4"/>
        <v>185.38514533713234</v>
      </c>
      <c r="W14" s="114">
        <f t="shared" si="5"/>
        <v>164.78679585522875</v>
      </c>
      <c r="X14" s="114">
        <f t="shared" si="6"/>
        <v>148.30811626970586</v>
      </c>
      <c r="Y14" s="114">
        <f t="shared" si="7"/>
        <v>134.82556024518715</v>
      </c>
      <c r="Z14" s="114">
        <f t="shared" si="8"/>
        <v>123.59009689142157</v>
      </c>
    </row>
    <row r="15" spans="2:26" ht="15.75" thickBot="1" x14ac:dyDescent="0.3">
      <c r="B15" s="79">
        <v>100</v>
      </c>
      <c r="C15" s="73">
        <v>285</v>
      </c>
      <c r="D15" s="34">
        <v>20</v>
      </c>
      <c r="E15" s="73">
        <f t="shared" ref="E15" si="18">B15/(C15*$F$32)*1000</f>
        <v>35.779516244839591</v>
      </c>
      <c r="F15" s="73">
        <f t="shared" ref="F15" si="19">(2/(2+1))*E15</f>
        <v>23.853010829893059</v>
      </c>
      <c r="G15" s="73">
        <f t="shared" ref="G15" si="20">(1/(2+1))*E15</f>
        <v>11.926505414946529</v>
      </c>
      <c r="H15" s="73">
        <f>F15/$C$32*1000</f>
        <v>31.804014439857411</v>
      </c>
      <c r="I15" s="73">
        <f>G15/$C$32*1000</f>
        <v>15.902007219928706</v>
      </c>
      <c r="J15" s="34">
        <f>(((D15*10^5-$D$32*10^5)*$F$15)/($C$32*$G$32))/10^3</f>
        <v>48.929252984396022</v>
      </c>
      <c r="K15" s="34">
        <f>(((D15*10^5-$D$33*10^5)*$G$15)/($C$33*$G$32))/10^3</f>
        <v>41.806640208186465</v>
      </c>
      <c r="L15" s="35">
        <f t="shared" si="0"/>
        <v>90.735893192582495</v>
      </c>
      <c r="N15" s="49">
        <f t="shared" si="1"/>
        <v>100.81765910286944</v>
      </c>
      <c r="O15" s="35">
        <f t="shared" si="2"/>
        <v>181.47178638516499</v>
      </c>
      <c r="Q15" s="49">
        <f>N15*$M$32</f>
        <v>16.802943183811571</v>
      </c>
      <c r="R15" s="35">
        <f>Q15*10^3/$N$32</f>
        <v>84.014715919057849</v>
      </c>
      <c r="S15" s="35">
        <f>Q15*10^3/$N$33</f>
        <v>67.211772735246285</v>
      </c>
      <c r="T15" s="93">
        <f>Q15*10^3/$N$34</f>
        <v>56.009810612705238</v>
      </c>
      <c r="U15" s="116">
        <f t="shared" si="3"/>
        <v>48.008409096604488</v>
      </c>
      <c r="V15" s="117">
        <f t="shared" si="4"/>
        <v>42.007357959528925</v>
      </c>
      <c r="W15" s="117">
        <f t="shared" si="5"/>
        <v>37.339873741803487</v>
      </c>
      <c r="X15" s="117">
        <f t="shared" si="6"/>
        <v>33.605886367623143</v>
      </c>
      <c r="Y15" s="117">
        <f t="shared" si="7"/>
        <v>30.55080578874831</v>
      </c>
      <c r="Z15" s="118">
        <f t="shared" si="8"/>
        <v>28.004905306352619</v>
      </c>
    </row>
    <row r="16" spans="2:26" ht="15.75" thickBot="1" x14ac:dyDescent="0.3">
      <c r="B16" s="80"/>
      <c r="C16" s="74"/>
      <c r="D16" s="9">
        <v>40</v>
      </c>
      <c r="E16" s="74"/>
      <c r="F16" s="74"/>
      <c r="G16" s="74"/>
      <c r="H16" s="74"/>
      <c r="I16" s="74"/>
      <c r="J16" s="9">
        <f>(((D16*10^5-$D$32*10^5)*$F$15)/($C$32*$G$32))/10^3</f>
        <v>146.78775895318805</v>
      </c>
      <c r="K16" s="9">
        <f>(((D16*10^5-$D$33*10^5)*$G$15)/($C$33*$G$32))/10^3</f>
        <v>88.258462661726995</v>
      </c>
      <c r="L16" s="36">
        <f t="shared" si="0"/>
        <v>235.04622161491505</v>
      </c>
      <c r="N16" s="50">
        <f t="shared" si="1"/>
        <v>261.16246846101672</v>
      </c>
      <c r="O16" s="36">
        <f t="shared" si="2"/>
        <v>470.09244322983011</v>
      </c>
      <c r="Q16" s="50">
        <f>N16*$M$32</f>
        <v>43.527078076836119</v>
      </c>
      <c r="R16" s="36">
        <f>Q16*10^3/$N$32</f>
        <v>217.6353903841806</v>
      </c>
      <c r="S16" s="36">
        <f>Q16*10^3/$N$33</f>
        <v>174.10831230734448</v>
      </c>
      <c r="T16" s="94">
        <f>Q16*10^3/$N$34</f>
        <v>145.09026025612042</v>
      </c>
      <c r="U16" s="87">
        <f t="shared" si="3"/>
        <v>124.36308021953178</v>
      </c>
      <c r="V16" s="99">
        <f t="shared" si="4"/>
        <v>108.8176951920903</v>
      </c>
      <c r="W16" s="99">
        <f t="shared" si="5"/>
        <v>96.726840170746939</v>
      </c>
      <c r="X16" s="99">
        <f t="shared" si="6"/>
        <v>87.054156153672238</v>
      </c>
      <c r="Y16" s="99">
        <f t="shared" si="7"/>
        <v>79.140141957883856</v>
      </c>
      <c r="Z16" s="119">
        <f t="shared" si="8"/>
        <v>72.545130128060208</v>
      </c>
    </row>
    <row r="17" spans="2:26" ht="15.75" thickBot="1" x14ac:dyDescent="0.3">
      <c r="B17" s="81"/>
      <c r="C17" s="75"/>
      <c r="D17" s="37">
        <v>60</v>
      </c>
      <c r="E17" s="75"/>
      <c r="F17" s="75"/>
      <c r="G17" s="75"/>
      <c r="H17" s="75"/>
      <c r="I17" s="75"/>
      <c r="J17" s="37">
        <f>(((D17*10^5-$D$32*10^5)*$F$15)/($C$32*$G$32))/10^3</f>
        <v>244.64626492198011</v>
      </c>
      <c r="K17" s="37">
        <f>(((D17*10^5-$D$33*10^5)*$G$15)/($C$33*$G$32))/10^3</f>
        <v>134.71028511526751</v>
      </c>
      <c r="L17" s="38">
        <f t="shared" si="0"/>
        <v>379.35655003724764</v>
      </c>
      <c r="N17" s="51">
        <f t="shared" si="1"/>
        <v>421.50727781916402</v>
      </c>
      <c r="O17" s="38">
        <f t="shared" si="2"/>
        <v>758.71310007449529</v>
      </c>
      <c r="Q17" s="51">
        <f>N17*$M$32</f>
        <v>70.25121296986066</v>
      </c>
      <c r="R17" s="38">
        <f>Q17*10^3/$N$32</f>
        <v>351.2560648493033</v>
      </c>
      <c r="S17" s="38">
        <f>Q17*10^3/$N$33</f>
        <v>281.00485187944264</v>
      </c>
      <c r="T17" s="95">
        <f>Q17*10^3/$N$34</f>
        <v>234.17070989953552</v>
      </c>
      <c r="U17" s="120">
        <f t="shared" si="3"/>
        <v>200.71775134245902</v>
      </c>
      <c r="V17" s="121">
        <f t="shared" si="4"/>
        <v>175.62803242465165</v>
      </c>
      <c r="W17" s="121">
        <f t="shared" si="5"/>
        <v>156.11380659969035</v>
      </c>
      <c r="X17" s="121">
        <f t="shared" si="6"/>
        <v>140.50242593972132</v>
      </c>
      <c r="Y17" s="121">
        <f t="shared" si="7"/>
        <v>127.72947812701938</v>
      </c>
      <c r="Z17" s="122">
        <f t="shared" si="8"/>
        <v>117.08535494976776</v>
      </c>
    </row>
    <row r="18" spans="2:26" ht="15.75" thickBot="1" x14ac:dyDescent="0.3">
      <c r="B18" s="72">
        <v>100</v>
      </c>
      <c r="C18" s="72">
        <v>300</v>
      </c>
      <c r="D18" s="12">
        <v>20</v>
      </c>
      <c r="E18" s="72">
        <f t="shared" ref="E18" si="21">B18/(C18*$F$32)*1000</f>
        <v>33.990540432597612</v>
      </c>
      <c r="F18" s="72">
        <f t="shared" ref="F18" si="22">(2/(2+1))*E18</f>
        <v>22.660360288398408</v>
      </c>
      <c r="G18" s="72">
        <f t="shared" ref="G18" si="23">(1/(2+1))*E18</f>
        <v>11.330180144199204</v>
      </c>
      <c r="H18" s="72">
        <f>F18/$C$32*1000</f>
        <v>30.213813717864543</v>
      </c>
      <c r="I18" s="72">
        <f>G18/$C$32*1000</f>
        <v>15.106906858932271</v>
      </c>
      <c r="J18" s="12">
        <f>(((D18*10^5-$D$32*10^5)*$F$18)/($C$32*$G$32))/10^3</f>
        <v>46.482790335176219</v>
      </c>
      <c r="K18" s="12">
        <f>(((D18*10^5-$D$33*10^5)*$G$18)/($C$33*$G$32))/10^3</f>
        <v>39.716308197777153</v>
      </c>
      <c r="L18" s="33">
        <f t="shared" si="0"/>
        <v>86.199098532953371</v>
      </c>
      <c r="N18" s="33">
        <f t="shared" si="1"/>
        <v>95.776776147725968</v>
      </c>
      <c r="O18" s="33">
        <f t="shared" si="2"/>
        <v>172.39819706590674</v>
      </c>
      <c r="Q18" s="33">
        <f>N18*$M$32</f>
        <v>15.962796024620994</v>
      </c>
      <c r="R18" s="33">
        <f>Q18*10^3/$N$32</f>
        <v>79.813980123104969</v>
      </c>
      <c r="S18" s="33">
        <f>Q18*10^3/$N$33</f>
        <v>63.851184098483984</v>
      </c>
      <c r="T18" s="33">
        <f>Q18*10^3/$N$34</f>
        <v>53.209320082069986</v>
      </c>
      <c r="U18" s="33">
        <f t="shared" si="3"/>
        <v>45.60798864177427</v>
      </c>
      <c r="V18" s="115">
        <f t="shared" si="4"/>
        <v>39.906990061552484</v>
      </c>
      <c r="W18" s="115">
        <f t="shared" si="5"/>
        <v>35.472880054713322</v>
      </c>
      <c r="X18" s="115">
        <f t="shared" si="6"/>
        <v>31.925592049241992</v>
      </c>
      <c r="Y18" s="115">
        <f t="shared" si="7"/>
        <v>29.023265499310899</v>
      </c>
      <c r="Z18" s="115">
        <f t="shared" si="8"/>
        <v>26.604660041034993</v>
      </c>
    </row>
    <row r="19" spans="2:26" ht="15.75" thickBot="1" x14ac:dyDescent="0.3">
      <c r="B19" s="72"/>
      <c r="C19" s="72"/>
      <c r="D19" s="10">
        <v>40</v>
      </c>
      <c r="E19" s="72"/>
      <c r="F19" s="72"/>
      <c r="G19" s="72"/>
      <c r="H19" s="72"/>
      <c r="I19" s="72"/>
      <c r="J19" s="10">
        <f>(((D19*10^5-$D$32*10^5)*$F$18)/($C$32*$G$32))/10^3</f>
        <v>139.44837100552866</v>
      </c>
      <c r="K19" s="10">
        <f>(((D19*10^5-$D$33*10^5)*$G$18)/($C$33*$G$32))/10^3</f>
        <v>83.845539528640643</v>
      </c>
      <c r="L19" s="25">
        <f t="shared" si="0"/>
        <v>223.2939105341693</v>
      </c>
      <c r="N19" s="25">
        <f t="shared" si="1"/>
        <v>248.10434503796589</v>
      </c>
      <c r="O19" s="25">
        <f t="shared" si="2"/>
        <v>446.5878210683386</v>
      </c>
      <c r="Q19" s="25">
        <f>N19*$M$32</f>
        <v>41.350724172994312</v>
      </c>
      <c r="R19" s="25">
        <f>Q19*10^3/$N$32</f>
        <v>206.75362086497157</v>
      </c>
      <c r="S19" s="25">
        <f>Q19*10^3/$N$33</f>
        <v>165.40289669197725</v>
      </c>
      <c r="T19" s="25">
        <f>Q19*10^3/$N$34</f>
        <v>137.83574724331439</v>
      </c>
      <c r="U19" s="25">
        <f t="shared" si="3"/>
        <v>118.14492620855518</v>
      </c>
      <c r="V19" s="101">
        <f t="shared" si="4"/>
        <v>103.37681043248578</v>
      </c>
      <c r="W19" s="101">
        <f t="shared" si="5"/>
        <v>91.890498162209582</v>
      </c>
      <c r="X19" s="101">
        <f t="shared" si="6"/>
        <v>82.701448345988624</v>
      </c>
      <c r="Y19" s="101">
        <f t="shared" si="7"/>
        <v>75.183134859989664</v>
      </c>
      <c r="Z19" s="101">
        <f t="shared" si="8"/>
        <v>68.917873621657193</v>
      </c>
    </row>
    <row r="20" spans="2:26" ht="15.75" thickBot="1" x14ac:dyDescent="0.3">
      <c r="B20" s="72"/>
      <c r="C20" s="72"/>
      <c r="D20" s="11">
        <v>60</v>
      </c>
      <c r="E20" s="72"/>
      <c r="F20" s="72"/>
      <c r="G20" s="72"/>
      <c r="H20" s="72"/>
      <c r="I20" s="72"/>
      <c r="J20" s="11">
        <f>(((D20*10^5-$D$32*10^5)*$F$18)/($C$32*$G$32))/10^3</f>
        <v>232.41395167588109</v>
      </c>
      <c r="K20" s="11">
        <f>(((D20*10^5-$D$33*10^5)*$G$18)/($C$33*$G$32))/10^3</f>
        <v>127.97477085950415</v>
      </c>
      <c r="L20" s="31">
        <f t="shared" si="0"/>
        <v>360.38872253538523</v>
      </c>
      <c r="N20" s="52">
        <f t="shared" si="1"/>
        <v>400.4319139282058</v>
      </c>
      <c r="O20" s="52">
        <f t="shared" si="2"/>
        <v>720.77744507077045</v>
      </c>
      <c r="Q20" s="52">
        <f>N20*$M$32</f>
        <v>66.738652321367624</v>
      </c>
      <c r="R20" s="52">
        <f>Q20*10^3/$N$32</f>
        <v>333.69326160683812</v>
      </c>
      <c r="S20" s="52">
        <f>Q20*10^3/$N$33</f>
        <v>266.9546092854705</v>
      </c>
      <c r="T20" s="52">
        <f>Q20*10^3/$N$34</f>
        <v>222.46217440455877</v>
      </c>
      <c r="U20" s="52">
        <f t="shared" si="3"/>
        <v>190.68186377533607</v>
      </c>
      <c r="V20" s="123">
        <f t="shared" si="4"/>
        <v>166.84663080341906</v>
      </c>
      <c r="W20" s="123">
        <f t="shared" si="5"/>
        <v>148.30811626970583</v>
      </c>
      <c r="X20" s="123">
        <f t="shared" si="6"/>
        <v>133.47730464273525</v>
      </c>
      <c r="Y20" s="123">
        <f t="shared" si="7"/>
        <v>121.3430042206684</v>
      </c>
      <c r="Z20" s="126">
        <f t="shared" si="8"/>
        <v>111.23108720227938</v>
      </c>
    </row>
    <row r="21" spans="2:26" ht="16.5" thickTop="1" thickBot="1" x14ac:dyDescent="0.3">
      <c r="B21" s="69">
        <v>200</v>
      </c>
      <c r="C21" s="69">
        <v>270</v>
      </c>
      <c r="D21" s="29">
        <v>20</v>
      </c>
      <c r="E21" s="69">
        <f t="shared" ref="E21" si="24">B21/(C21*$F$32)*1000</f>
        <v>75.53453429466137</v>
      </c>
      <c r="F21" s="69">
        <f t="shared" ref="F21" si="25">(2/(2+1))*E21</f>
        <v>50.356356196440913</v>
      </c>
      <c r="G21" s="69">
        <f t="shared" ref="G21" si="26">(1/(2+1))*E21</f>
        <v>25.178178098220457</v>
      </c>
      <c r="H21" s="69">
        <f>F21/$C$32*1000</f>
        <v>67.141808261921213</v>
      </c>
      <c r="I21" s="69">
        <f>G21/$C$32*1000</f>
        <v>33.570904130960606</v>
      </c>
      <c r="J21" s="29">
        <f>(((D21*10^5-$D$32*10^5)*$F$21)/($C$32*$G$32))/10^3</f>
        <v>103.29508963372494</v>
      </c>
      <c r="K21" s="29">
        <f>(((D21*10^5-$D$33*10^5)*$G$21)/($C$33*$G$32))/10^3</f>
        <v>88.258462661727009</v>
      </c>
      <c r="L21" s="30">
        <f t="shared" si="0"/>
        <v>191.55355229545194</v>
      </c>
      <c r="N21" s="53">
        <f t="shared" si="1"/>
        <v>212.83728032827992</v>
      </c>
      <c r="O21" s="53">
        <f t="shared" si="2"/>
        <v>383.10710459090387</v>
      </c>
      <c r="Q21" s="53">
        <f>N21*$M$32</f>
        <v>35.472880054713315</v>
      </c>
      <c r="R21" s="53">
        <f>Q21*10^3/$N$32</f>
        <v>177.36440027356656</v>
      </c>
      <c r="S21" s="53">
        <f>Q21*10^3/$N$33</f>
        <v>141.89152021885326</v>
      </c>
      <c r="T21" s="53">
        <f>Q21*10^3/$N$34</f>
        <v>118.24293351571104</v>
      </c>
      <c r="U21" s="53">
        <f t="shared" si="3"/>
        <v>101.35108587060947</v>
      </c>
      <c r="V21" s="124">
        <f t="shared" si="4"/>
        <v>88.68220013678328</v>
      </c>
      <c r="W21" s="124">
        <f t="shared" si="5"/>
        <v>78.828622343807368</v>
      </c>
      <c r="X21" s="124">
        <f t="shared" si="6"/>
        <v>70.945760109426629</v>
      </c>
      <c r="Y21" s="124">
        <f t="shared" si="7"/>
        <v>64.49614555402421</v>
      </c>
      <c r="Z21" s="125">
        <f t="shared" si="8"/>
        <v>59.121466757855522</v>
      </c>
    </row>
    <row r="22" spans="2:26" ht="15.75" thickBot="1" x14ac:dyDescent="0.3">
      <c r="B22" s="70"/>
      <c r="C22" s="70"/>
      <c r="D22" s="13">
        <v>40</v>
      </c>
      <c r="E22" s="70"/>
      <c r="F22" s="70"/>
      <c r="G22" s="70"/>
      <c r="H22" s="70"/>
      <c r="I22" s="70"/>
      <c r="J22" s="13">
        <f>(((D22*10^5-$D$32*10^5)*$F$21)/($C$32*$G$32))/10^3</f>
        <v>309.88526890117487</v>
      </c>
      <c r="K22" s="13">
        <f>(((D22*10^5-$D$33*10^5)*$G$21)/($C$33*$G$32))/10^3</f>
        <v>186.32342117475704</v>
      </c>
      <c r="L22" s="26">
        <f t="shared" si="0"/>
        <v>496.20869007593194</v>
      </c>
      <c r="N22" s="26">
        <f t="shared" si="1"/>
        <v>551.34298897325766</v>
      </c>
      <c r="O22" s="26">
        <f t="shared" si="2"/>
        <v>992.41738015186388</v>
      </c>
      <c r="Q22" s="26">
        <f>N22*$M$32</f>
        <v>91.89049816220961</v>
      </c>
      <c r="R22" s="26">
        <f>Q22*10^3/$N$32</f>
        <v>459.45249081104805</v>
      </c>
      <c r="S22" s="26">
        <f>Q22*10^3/$N$33</f>
        <v>367.56199264883844</v>
      </c>
      <c r="T22" s="26">
        <f>Q22*10^3/$N$34</f>
        <v>306.30166054069872</v>
      </c>
      <c r="U22" s="26">
        <f t="shared" si="3"/>
        <v>262.544280463456</v>
      </c>
      <c r="V22" s="102">
        <f t="shared" si="4"/>
        <v>229.72624540552403</v>
      </c>
      <c r="W22" s="102">
        <f t="shared" si="5"/>
        <v>204.20110702713245</v>
      </c>
      <c r="X22" s="102">
        <f t="shared" si="6"/>
        <v>183.78099632441922</v>
      </c>
      <c r="Y22" s="102">
        <f t="shared" si="7"/>
        <v>167.07363302219929</v>
      </c>
      <c r="Z22" s="102">
        <f t="shared" si="8"/>
        <v>153.15083027034936</v>
      </c>
    </row>
    <row r="23" spans="2:26" ht="15.75" thickBot="1" x14ac:dyDescent="0.3">
      <c r="B23" s="71"/>
      <c r="C23" s="71"/>
      <c r="D23" s="13">
        <v>60</v>
      </c>
      <c r="E23" s="71"/>
      <c r="F23" s="71"/>
      <c r="G23" s="71"/>
      <c r="H23" s="71"/>
      <c r="I23" s="71"/>
      <c r="J23" s="13">
        <f>(((D23*10^5-$D$32*10^5)*$F$21)/($C$32*$G$32))/10^3</f>
        <v>516.47544816862467</v>
      </c>
      <c r="K23" s="13">
        <f>(((D23*10^5-$D$33*10^5)*$G$21)/($C$33*$G$32))/10^3</f>
        <v>284.38837968778705</v>
      </c>
      <c r="L23" s="26">
        <f t="shared" si="0"/>
        <v>800.86382785641172</v>
      </c>
      <c r="N23" s="26">
        <f t="shared" si="1"/>
        <v>889.84869761823518</v>
      </c>
      <c r="O23" s="26">
        <f t="shared" si="2"/>
        <v>1601.7276557128234</v>
      </c>
      <c r="Q23" s="26">
        <f>N23*$M$32</f>
        <v>148.30811626970586</v>
      </c>
      <c r="R23" s="26">
        <f>Q23*10^3/$N$32</f>
        <v>741.54058134852937</v>
      </c>
      <c r="S23" s="26">
        <f>Q23*10^3/$N$33</f>
        <v>593.23246507882345</v>
      </c>
      <c r="T23" s="26">
        <f>Q23*10^3/$N$34</f>
        <v>494.36038756568627</v>
      </c>
      <c r="U23" s="26">
        <f t="shared" si="3"/>
        <v>423.73747505630251</v>
      </c>
      <c r="V23" s="102">
        <f t="shared" si="4"/>
        <v>370.77029067426469</v>
      </c>
      <c r="W23" s="102">
        <f t="shared" si="5"/>
        <v>329.57359171045749</v>
      </c>
      <c r="X23" s="102">
        <f t="shared" si="6"/>
        <v>296.61623253941173</v>
      </c>
      <c r="Y23" s="102">
        <f t="shared" si="7"/>
        <v>269.6511204903743</v>
      </c>
      <c r="Z23" s="102">
        <f t="shared" si="8"/>
        <v>247.18019378284313</v>
      </c>
    </row>
    <row r="24" spans="2:26" ht="15.75" thickBot="1" x14ac:dyDescent="0.3">
      <c r="B24" s="66">
        <v>200</v>
      </c>
      <c r="C24" s="66">
        <v>285</v>
      </c>
      <c r="D24" s="14">
        <v>20</v>
      </c>
      <c r="E24" s="66">
        <f t="shared" ref="E24" si="27">B24/(C24*$F$32)*1000</f>
        <v>71.559032489679183</v>
      </c>
      <c r="F24" s="66">
        <f t="shared" ref="F24" si="28">(2/(2+1))*E24</f>
        <v>47.706021659786117</v>
      </c>
      <c r="G24" s="66">
        <f t="shared" ref="G24" si="29">(1/(2+1))*E24</f>
        <v>23.853010829893059</v>
      </c>
      <c r="H24" s="66">
        <f>F24/$C$32*1000</f>
        <v>63.608028879714823</v>
      </c>
      <c r="I24" s="66">
        <f>G24/$C$32*1000</f>
        <v>31.804014439857411</v>
      </c>
      <c r="J24" s="14">
        <f>(((D24*10^5-$D$32*10^5)*$F$24)/($C$32*$G$32))/10^3</f>
        <v>97.858505968792045</v>
      </c>
      <c r="K24" s="14">
        <f>(((D24*10^5-$D$33*10^5)*$G$24)/($C$33*$G$32))/10^3</f>
        <v>83.61328041637293</v>
      </c>
      <c r="L24" s="27">
        <f t="shared" si="0"/>
        <v>181.47178638516499</v>
      </c>
      <c r="N24" s="27">
        <f t="shared" si="1"/>
        <v>201.63531820573888</v>
      </c>
      <c r="O24" s="27">
        <f t="shared" si="2"/>
        <v>362.94357277032998</v>
      </c>
      <c r="Q24" s="27">
        <f>N24*$M$32</f>
        <v>33.605886367623143</v>
      </c>
      <c r="R24" s="27">
        <f>Q24*10^3/$N$32</f>
        <v>168.0294318381157</v>
      </c>
      <c r="S24" s="27">
        <f>Q24*10^3/$N$33</f>
        <v>134.42354547049257</v>
      </c>
      <c r="T24" s="27">
        <f>Q24*10^3/$N$34</f>
        <v>112.01962122541048</v>
      </c>
      <c r="U24" s="27">
        <f t="shared" si="3"/>
        <v>96.016818193208977</v>
      </c>
      <c r="V24" s="103">
        <f t="shared" si="4"/>
        <v>84.014715919057849</v>
      </c>
      <c r="W24" s="103">
        <f t="shared" si="5"/>
        <v>74.679747483606974</v>
      </c>
      <c r="X24" s="103">
        <f t="shared" si="6"/>
        <v>67.211772735246285</v>
      </c>
      <c r="Y24" s="103">
        <f t="shared" si="7"/>
        <v>61.10161157749662</v>
      </c>
      <c r="Z24" s="103">
        <f t="shared" si="8"/>
        <v>56.009810612705238</v>
      </c>
    </row>
    <row r="25" spans="2:26" ht="15.75" thickBot="1" x14ac:dyDescent="0.3">
      <c r="B25" s="67"/>
      <c r="C25" s="67"/>
      <c r="D25" s="14">
        <v>40</v>
      </c>
      <c r="E25" s="67"/>
      <c r="F25" s="67"/>
      <c r="G25" s="67"/>
      <c r="H25" s="67"/>
      <c r="I25" s="67"/>
      <c r="J25" s="14">
        <f>(((D25*10^5-$D$32*10^5)*$F$24)/($C$32*$G$32))/10^3</f>
        <v>293.57551790637609</v>
      </c>
      <c r="K25" s="14">
        <f>(((D25*10^5-$D$33*10^5)*$G$24)/($C$33*$G$32))/10^3</f>
        <v>176.51692532345399</v>
      </c>
      <c r="L25" s="27">
        <f t="shared" si="0"/>
        <v>470.09244322983011</v>
      </c>
      <c r="N25" s="27">
        <f t="shared" si="1"/>
        <v>522.32493692203343</v>
      </c>
      <c r="O25" s="27">
        <f t="shared" si="2"/>
        <v>940.18488645966022</v>
      </c>
      <c r="Q25" s="27">
        <f>N25*$M$32</f>
        <v>87.054156153672238</v>
      </c>
      <c r="R25" s="27">
        <f>Q25*10^3/$N$32</f>
        <v>435.27078076836119</v>
      </c>
      <c r="S25" s="27">
        <f>Q25*10^3/$N$33</f>
        <v>348.21662461468895</v>
      </c>
      <c r="T25" s="27">
        <f>Q25*10^3/$N$34</f>
        <v>290.18052051224083</v>
      </c>
      <c r="U25" s="27">
        <f t="shared" si="3"/>
        <v>248.72616043906356</v>
      </c>
      <c r="V25" s="103">
        <f t="shared" si="4"/>
        <v>217.6353903841806</v>
      </c>
      <c r="W25" s="103">
        <f t="shared" si="5"/>
        <v>193.45368034149388</v>
      </c>
      <c r="X25" s="103">
        <f t="shared" si="6"/>
        <v>174.10831230734448</v>
      </c>
      <c r="Y25" s="103">
        <f t="shared" si="7"/>
        <v>158.28028391576771</v>
      </c>
      <c r="Z25" s="103">
        <f t="shared" si="8"/>
        <v>145.09026025612042</v>
      </c>
    </row>
    <row r="26" spans="2:26" ht="15.75" thickBot="1" x14ac:dyDescent="0.3">
      <c r="B26" s="68"/>
      <c r="C26" s="68"/>
      <c r="D26" s="14">
        <v>60</v>
      </c>
      <c r="E26" s="68"/>
      <c r="F26" s="68"/>
      <c r="G26" s="68"/>
      <c r="H26" s="68"/>
      <c r="I26" s="68"/>
      <c r="J26" s="14">
        <f>(((D26*10^5-$D$32*10^5)*$F$24)/($C$32*$G$32))/10^3</f>
        <v>489.29252984396021</v>
      </c>
      <c r="K26" s="14">
        <f>(((D26*10^5-$D$33*10^5)*$G$24)/($C$33*$G$32))/10^3</f>
        <v>269.42057023053502</v>
      </c>
      <c r="L26" s="27">
        <f t="shared" si="0"/>
        <v>758.71310007449529</v>
      </c>
      <c r="N26" s="27">
        <f t="shared" si="1"/>
        <v>843.01455563832803</v>
      </c>
      <c r="O26" s="27">
        <f t="shared" si="2"/>
        <v>1517.4262001489906</v>
      </c>
      <c r="Q26" s="27">
        <f>N26*$M$32</f>
        <v>140.50242593972132</v>
      </c>
      <c r="R26" s="27">
        <f>Q26*10^3/$N$32</f>
        <v>702.5121296986066</v>
      </c>
      <c r="S26" s="27">
        <f>Q26*10^3/$N$33</f>
        <v>562.00970375888528</v>
      </c>
      <c r="T26" s="27">
        <f>Q26*10^3/$N$34</f>
        <v>468.34141979907105</v>
      </c>
      <c r="U26" s="27">
        <f t="shared" si="3"/>
        <v>401.43550268491805</v>
      </c>
      <c r="V26" s="103">
        <f t="shared" si="4"/>
        <v>351.2560648493033</v>
      </c>
      <c r="W26" s="103">
        <f t="shared" si="5"/>
        <v>312.2276131993807</v>
      </c>
      <c r="X26" s="103">
        <f t="shared" si="6"/>
        <v>281.00485187944264</v>
      </c>
      <c r="Y26" s="103">
        <f t="shared" si="7"/>
        <v>255.45895625403875</v>
      </c>
      <c r="Z26" s="103">
        <f t="shared" si="8"/>
        <v>234.17070989953552</v>
      </c>
    </row>
    <row r="27" spans="2:26" ht="15.75" thickBot="1" x14ac:dyDescent="0.3">
      <c r="B27" s="63">
        <v>200</v>
      </c>
      <c r="C27" s="63">
        <v>300</v>
      </c>
      <c r="D27" s="15">
        <v>20</v>
      </c>
      <c r="E27" s="63">
        <f t="shared" ref="E27" si="30">B27/(C27*$F$32)*1000</f>
        <v>67.981080865195224</v>
      </c>
      <c r="F27" s="63">
        <f t="shared" ref="F27" si="31">(2/(2+1))*E27</f>
        <v>45.320720576796816</v>
      </c>
      <c r="G27" s="63">
        <f t="shared" ref="G27" si="32">(1/(2+1))*E27</f>
        <v>22.660360288398408</v>
      </c>
      <c r="H27" s="63">
        <f>F27/$C$32*1000</f>
        <v>60.427627435729086</v>
      </c>
      <c r="I27" s="63">
        <f>G27/$C$32*1000</f>
        <v>30.213813717864543</v>
      </c>
      <c r="J27" s="15">
        <f>(((D27*10^5-$D$32*10^5)*$F$27)/($C$32*$G$32))/10^3</f>
        <v>92.965580670352438</v>
      </c>
      <c r="K27" s="15">
        <f>(((D27*10^5-$D$33*10^5)*$G$27)/($C$33*$G$32))/10^3</f>
        <v>79.432616395554305</v>
      </c>
      <c r="L27" s="28">
        <f t="shared" si="0"/>
        <v>172.39819706590674</v>
      </c>
      <c r="N27" s="28">
        <f t="shared" si="1"/>
        <v>191.55355229545194</v>
      </c>
      <c r="O27" s="28">
        <f t="shared" si="2"/>
        <v>344.79639413181349</v>
      </c>
      <c r="Q27" s="28">
        <f>N27*$M$32</f>
        <v>31.925592049241988</v>
      </c>
      <c r="R27" s="28">
        <f>Q27*10^3/$N$32</f>
        <v>159.62796024620994</v>
      </c>
      <c r="S27" s="28">
        <f>Q27*10^3/$N$33</f>
        <v>127.70236819696797</v>
      </c>
      <c r="T27" s="28">
        <f>Q27*10^3/$N$34</f>
        <v>106.41864016413997</v>
      </c>
      <c r="U27" s="28">
        <f t="shared" si="3"/>
        <v>91.21597728354854</v>
      </c>
      <c r="V27" s="104">
        <f t="shared" si="4"/>
        <v>79.813980123104969</v>
      </c>
      <c r="W27" s="104">
        <f t="shared" si="5"/>
        <v>70.945760109426644</v>
      </c>
      <c r="X27" s="104">
        <f t="shared" si="6"/>
        <v>63.851184098483984</v>
      </c>
      <c r="Y27" s="104">
        <f t="shared" si="7"/>
        <v>58.046530998621797</v>
      </c>
      <c r="Z27" s="104">
        <f t="shared" si="8"/>
        <v>53.209320082069986</v>
      </c>
    </row>
    <row r="28" spans="2:26" ht="15.75" thickBot="1" x14ac:dyDescent="0.3">
      <c r="B28" s="64"/>
      <c r="C28" s="64"/>
      <c r="D28" s="15">
        <v>40</v>
      </c>
      <c r="E28" s="64"/>
      <c r="F28" s="64"/>
      <c r="G28" s="64"/>
      <c r="H28" s="64"/>
      <c r="I28" s="64"/>
      <c r="J28" s="15">
        <f>(((D28*10^5-$D$32*10^5)*$F$27)/($C$32*$G$32))/10^3</f>
        <v>278.89674201105731</v>
      </c>
      <c r="K28" s="15">
        <f>(((D28*10^5-$D$33*10^5)*$G$27)/($C$33*$G$32))/10^3</f>
        <v>167.69107905728129</v>
      </c>
      <c r="L28" s="28">
        <f t="shared" si="0"/>
        <v>446.5878210683386</v>
      </c>
      <c r="N28" s="28">
        <f t="shared" si="1"/>
        <v>496.20869007593177</v>
      </c>
      <c r="O28" s="28">
        <f t="shared" si="2"/>
        <v>893.1756421366772</v>
      </c>
      <c r="Q28" s="28">
        <f>N28*$M$32</f>
        <v>82.701448345988624</v>
      </c>
      <c r="R28" s="28">
        <f>Q28*10^3/$N$32</f>
        <v>413.50724172994313</v>
      </c>
      <c r="S28" s="28">
        <f>Q28*10^3/$N$33</f>
        <v>330.80579338395449</v>
      </c>
      <c r="T28" s="28">
        <f>Q28*10^3/$N$34</f>
        <v>275.67149448662877</v>
      </c>
      <c r="U28" s="28">
        <f t="shared" si="3"/>
        <v>236.28985241711035</v>
      </c>
      <c r="V28" s="104">
        <f t="shared" si="4"/>
        <v>206.75362086497157</v>
      </c>
      <c r="W28" s="104">
        <f t="shared" si="5"/>
        <v>183.78099632441916</v>
      </c>
      <c r="X28" s="104">
        <f t="shared" si="6"/>
        <v>165.40289669197725</v>
      </c>
      <c r="Y28" s="104">
        <f t="shared" si="7"/>
        <v>150.36626971997933</v>
      </c>
      <c r="Z28" s="104">
        <f t="shared" si="8"/>
        <v>137.83574724331439</v>
      </c>
    </row>
    <row r="29" spans="2:26" ht="15.75" thickBot="1" x14ac:dyDescent="0.3">
      <c r="B29" s="65"/>
      <c r="C29" s="65"/>
      <c r="D29" s="15">
        <v>60</v>
      </c>
      <c r="E29" s="65"/>
      <c r="F29" s="65"/>
      <c r="G29" s="65"/>
      <c r="H29" s="65"/>
      <c r="I29" s="65"/>
      <c r="J29" s="15">
        <f>(((D29*10^5-$D$32*10^5)*$F$27)/($C$32*$G$32))/10^3</f>
        <v>464.82790335176219</v>
      </c>
      <c r="K29" s="15">
        <f>(((D29*10^5-$D$33*10^5)*$G$27)/($C$33*$G$32))/10^3</f>
        <v>255.94954171900829</v>
      </c>
      <c r="L29" s="28">
        <f t="shared" si="0"/>
        <v>720.77744507077045</v>
      </c>
      <c r="N29" s="28">
        <f t="shared" si="1"/>
        <v>800.8638278564116</v>
      </c>
      <c r="O29" s="28">
        <f t="shared" si="2"/>
        <v>1441.5548901415409</v>
      </c>
      <c r="Q29" s="28">
        <f>N29*$M$32</f>
        <v>133.47730464273525</v>
      </c>
      <c r="R29" s="28">
        <f>Q29*10^3/$N$32</f>
        <v>667.38652321367624</v>
      </c>
      <c r="S29" s="28">
        <f>Q29*10^3/$N$33</f>
        <v>533.90921857094099</v>
      </c>
      <c r="T29" s="28">
        <f>Q29*10^3/$N$34</f>
        <v>444.92434880911753</v>
      </c>
      <c r="U29" s="28">
        <f t="shared" si="3"/>
        <v>381.36372755067214</v>
      </c>
      <c r="V29" s="104">
        <f t="shared" si="4"/>
        <v>333.69326160683812</v>
      </c>
      <c r="W29" s="104">
        <f>Q29*10^3/$N$37</f>
        <v>296.61623253941167</v>
      </c>
      <c r="X29" s="104">
        <f t="shared" si="6"/>
        <v>266.9546092854705</v>
      </c>
      <c r="Y29" s="104">
        <f t="shared" si="7"/>
        <v>242.68600844133681</v>
      </c>
      <c r="Z29" s="104">
        <f t="shared" si="8"/>
        <v>222.46217440455877</v>
      </c>
    </row>
    <row r="30" spans="2:26" ht="15.75" thickBot="1" x14ac:dyDescent="0.3">
      <c r="R30" s="82" t="s">
        <v>36</v>
      </c>
      <c r="S30" s="137"/>
      <c r="T30" s="83"/>
    </row>
    <row r="31" spans="2:26" ht="75.75" thickBot="1" x14ac:dyDescent="0.3">
      <c r="B31" s="16" t="s">
        <v>8</v>
      </c>
      <c r="C31" s="16" t="s">
        <v>9</v>
      </c>
      <c r="D31" s="16" t="s">
        <v>18</v>
      </c>
      <c r="F31" s="16" t="s">
        <v>12</v>
      </c>
      <c r="G31" s="16" t="s">
        <v>15</v>
      </c>
      <c r="H31" s="17" t="s">
        <v>16</v>
      </c>
      <c r="J31" s="16" t="s">
        <v>21</v>
      </c>
      <c r="K31" s="16" t="s">
        <v>20</v>
      </c>
      <c r="M31" s="16" t="s">
        <v>26</v>
      </c>
      <c r="N31" s="16" t="s">
        <v>24</v>
      </c>
      <c r="O31" s="84" t="s">
        <v>39</v>
      </c>
      <c r="P31" s="138"/>
      <c r="Q31" s="85"/>
    </row>
    <row r="32" spans="2:26" ht="15.75" thickBot="1" x14ac:dyDescent="0.3">
      <c r="B32" s="1" t="s">
        <v>10</v>
      </c>
      <c r="C32" s="1">
        <v>750</v>
      </c>
      <c r="D32" s="1">
        <v>10</v>
      </c>
      <c r="F32" s="19">
        <v>9.8066499999999994</v>
      </c>
      <c r="G32" s="18">
        <v>0.65</v>
      </c>
      <c r="H32" s="20" t="s">
        <v>17</v>
      </c>
      <c r="J32" s="21">
        <v>0.9</v>
      </c>
      <c r="K32" s="21">
        <v>0.5</v>
      </c>
      <c r="M32" s="21">
        <f>600/3600</f>
        <v>0.16666666666666666</v>
      </c>
      <c r="N32" s="21">
        <v>200</v>
      </c>
      <c r="O32" s="127" t="s">
        <v>36</v>
      </c>
      <c r="P32" s="128" t="s">
        <v>37</v>
      </c>
      <c r="Q32" s="129" t="s">
        <v>38</v>
      </c>
    </row>
    <row r="33" spans="2:17" ht="15.75" thickBot="1" x14ac:dyDescent="0.3">
      <c r="B33" s="1" t="s">
        <v>11</v>
      </c>
      <c r="C33" s="1">
        <v>790</v>
      </c>
      <c r="D33" s="1">
        <v>2</v>
      </c>
      <c r="N33" s="21">
        <v>250</v>
      </c>
      <c r="O33" s="130"/>
      <c r="P33" s="131"/>
      <c r="Q33" s="132"/>
    </row>
    <row r="34" spans="2:17" ht="15.75" thickBot="1" x14ac:dyDescent="0.3">
      <c r="N34" s="21">
        <v>300</v>
      </c>
      <c r="O34" s="133"/>
      <c r="P34" s="131"/>
      <c r="Q34" s="132"/>
    </row>
    <row r="35" spans="2:17" ht="15.75" thickBot="1" x14ac:dyDescent="0.3">
      <c r="N35" s="21">
        <v>350</v>
      </c>
      <c r="O35" s="134"/>
      <c r="P35" s="131"/>
      <c r="Q35" s="132"/>
    </row>
    <row r="36" spans="2:17" ht="15.75" thickBot="1" x14ac:dyDescent="0.3">
      <c r="N36" s="21">
        <v>400</v>
      </c>
      <c r="O36" s="134"/>
      <c r="P36" s="131"/>
      <c r="Q36" s="132"/>
    </row>
    <row r="37" spans="2:17" ht="15.75" thickBot="1" x14ac:dyDescent="0.3">
      <c r="N37" s="21">
        <v>450</v>
      </c>
      <c r="O37" s="134"/>
      <c r="P37" s="131"/>
      <c r="Q37" s="132"/>
    </row>
    <row r="38" spans="2:17" ht="15.75" thickBot="1" x14ac:dyDescent="0.3">
      <c r="N38" s="21">
        <v>500</v>
      </c>
      <c r="O38" s="134"/>
      <c r="P38" s="131"/>
      <c r="Q38" s="132"/>
    </row>
    <row r="39" spans="2:17" ht="15.75" thickBot="1" x14ac:dyDescent="0.3">
      <c r="N39" s="21">
        <v>550</v>
      </c>
      <c r="O39" s="134"/>
      <c r="P39" s="131"/>
      <c r="Q39" s="132"/>
    </row>
    <row r="40" spans="2:17" ht="15.75" thickBot="1" x14ac:dyDescent="0.3">
      <c r="N40" s="21">
        <v>600</v>
      </c>
      <c r="O40" s="134"/>
      <c r="P40" s="135"/>
      <c r="Q40" s="136"/>
    </row>
  </sheetData>
  <mergeCells count="68">
    <mergeCell ref="R30:T30"/>
    <mergeCell ref="O32:O34"/>
    <mergeCell ref="P32:P40"/>
    <mergeCell ref="Q32:Q40"/>
    <mergeCell ref="O31:Q31"/>
    <mergeCell ref="H3:H5"/>
    <mergeCell ref="H6:H8"/>
    <mergeCell ref="H9:H11"/>
    <mergeCell ref="H12:H14"/>
    <mergeCell ref="H27:H29"/>
    <mergeCell ref="H15:H17"/>
    <mergeCell ref="H18:H20"/>
    <mergeCell ref="H21:H23"/>
    <mergeCell ref="H24:H26"/>
    <mergeCell ref="G3:G5"/>
    <mergeCell ref="G6:G8"/>
    <mergeCell ref="G9:G11"/>
    <mergeCell ref="G12:G14"/>
    <mergeCell ref="G15:G17"/>
    <mergeCell ref="F18:F20"/>
    <mergeCell ref="F21:F23"/>
    <mergeCell ref="F24:F26"/>
    <mergeCell ref="F27:F29"/>
    <mergeCell ref="G21:G23"/>
    <mergeCell ref="G24:G26"/>
    <mergeCell ref="G27:G29"/>
    <mergeCell ref="G18:G20"/>
    <mergeCell ref="F3:F5"/>
    <mergeCell ref="F6:F8"/>
    <mergeCell ref="F9:F11"/>
    <mergeCell ref="F12:F14"/>
    <mergeCell ref="F15:F17"/>
    <mergeCell ref="C24:C26"/>
    <mergeCell ref="C27:C29"/>
    <mergeCell ref="E3:E5"/>
    <mergeCell ref="E6:E8"/>
    <mergeCell ref="E9:E11"/>
    <mergeCell ref="E12:E14"/>
    <mergeCell ref="E15:E17"/>
    <mergeCell ref="E18:E20"/>
    <mergeCell ref="E21:E23"/>
    <mergeCell ref="E24:E26"/>
    <mergeCell ref="E27:E29"/>
    <mergeCell ref="B21:B23"/>
    <mergeCell ref="B24:B26"/>
    <mergeCell ref="B27:B29"/>
    <mergeCell ref="C3:C5"/>
    <mergeCell ref="C6:C8"/>
    <mergeCell ref="C9:C11"/>
    <mergeCell ref="C12:C14"/>
    <mergeCell ref="C15:C17"/>
    <mergeCell ref="C18:C20"/>
    <mergeCell ref="C21:C23"/>
    <mergeCell ref="B3:B5"/>
    <mergeCell ref="B6:B8"/>
    <mergeCell ref="B9:B11"/>
    <mergeCell ref="B12:B14"/>
    <mergeCell ref="B15:B17"/>
    <mergeCell ref="B18:B20"/>
    <mergeCell ref="I12:I14"/>
    <mergeCell ref="I9:I11"/>
    <mergeCell ref="I6:I8"/>
    <mergeCell ref="I3:I5"/>
    <mergeCell ref="I27:I29"/>
    <mergeCell ref="I24:I26"/>
    <mergeCell ref="I21:I23"/>
    <mergeCell ref="I18:I20"/>
    <mergeCell ref="I15:I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Delarue</dc:creator>
  <cp:lastModifiedBy>Adrien Delarue</cp:lastModifiedBy>
  <dcterms:created xsi:type="dcterms:W3CDTF">2025-04-17T15:38:24Z</dcterms:created>
  <dcterms:modified xsi:type="dcterms:W3CDTF">2025-04-20T17:16:51Z</dcterms:modified>
</cp:coreProperties>
</file>