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Данил\Desktop\CalculationHPC-turbine-main\DB\"/>
    </mc:Choice>
  </mc:AlternateContent>
  <xr:revisionPtr revIDLastSave="0" documentId="13_ncr:1_{4CA34D68-4D16-4393-9497-D0D941E7DB4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2" i="1" l="1"/>
  <c r="C142" i="1"/>
  <c r="C138" i="1"/>
  <c r="C139" i="1" s="1"/>
  <c r="J140" i="1" s="1"/>
  <c r="F137" i="1"/>
  <c r="T135" i="1"/>
  <c r="P134" i="1"/>
  <c r="Q134" i="1" s="1"/>
  <c r="R134" i="1" s="1"/>
  <c r="S134" i="1" s="1"/>
  <c r="T134" i="1" s="1"/>
  <c r="P133" i="1"/>
  <c r="Q133" i="1" s="1"/>
  <c r="R133" i="1" s="1"/>
  <c r="S133" i="1" s="1"/>
  <c r="T133" i="1" s="1"/>
  <c r="P132" i="1"/>
  <c r="Q132" i="1" s="1"/>
  <c r="R132" i="1" s="1"/>
  <c r="S132" i="1" s="1"/>
  <c r="T132" i="1" s="1"/>
  <c r="C124" i="1"/>
  <c r="M121" i="1"/>
  <c r="M122" i="1" s="1"/>
  <c r="M125" i="1" s="1"/>
  <c r="C120" i="1"/>
  <c r="R119" i="1"/>
  <c r="Q119" i="1"/>
  <c r="P119" i="1"/>
  <c r="O119" i="1"/>
  <c r="N119" i="1"/>
  <c r="M119" i="1"/>
  <c r="M120" i="1" s="1"/>
  <c r="M123" i="1" s="1"/>
  <c r="N118" i="1"/>
  <c r="O118" i="1" s="1"/>
  <c r="P118" i="1" s="1"/>
  <c r="M118" i="1"/>
  <c r="M117" i="1"/>
  <c r="N117" i="1" s="1"/>
  <c r="O117" i="1" s="1"/>
  <c r="P117" i="1" s="1"/>
  <c r="M116" i="1"/>
  <c r="N116" i="1" s="1"/>
  <c r="H116" i="1"/>
  <c r="I116" i="1" s="1"/>
  <c r="H115" i="1"/>
  <c r="H114" i="1"/>
  <c r="R126" i="1" s="1"/>
  <c r="G103" i="1"/>
  <c r="C105" i="1" s="1"/>
  <c r="E99" i="1"/>
  <c r="B32" i="1"/>
  <c r="L24" i="1"/>
  <c r="N16" i="1"/>
  <c r="L16" i="1"/>
  <c r="K16" i="1"/>
  <c r="I16" i="1"/>
  <c r="N14" i="1"/>
  <c r="M14" i="1"/>
  <c r="L14" i="1"/>
  <c r="K14" i="1"/>
  <c r="J14" i="1"/>
  <c r="I14" i="1"/>
  <c r="E14" i="1"/>
  <c r="M16" i="1" s="1"/>
  <c r="B14" i="1"/>
  <c r="J16" i="1" s="1"/>
  <c r="N13" i="1"/>
  <c r="M13" i="1"/>
  <c r="L13" i="1"/>
  <c r="K13" i="1"/>
  <c r="J13" i="1"/>
  <c r="I13" i="1"/>
  <c r="N12" i="1"/>
  <c r="M12" i="1"/>
  <c r="M18" i="1" s="1"/>
  <c r="L12" i="1"/>
  <c r="L18" i="1" s="1"/>
  <c r="K12" i="1"/>
  <c r="J12" i="1"/>
  <c r="I12" i="1"/>
  <c r="N11" i="1"/>
  <c r="M11" i="1"/>
  <c r="M15" i="1" s="1"/>
  <c r="L11" i="1"/>
  <c r="K11" i="1"/>
  <c r="J11" i="1"/>
  <c r="I11" i="1"/>
  <c r="N10" i="1"/>
  <c r="M10" i="1"/>
  <c r="M17" i="1" s="1"/>
  <c r="L10" i="1"/>
  <c r="L17" i="1" s="1"/>
  <c r="K10" i="1"/>
  <c r="J10" i="1"/>
  <c r="I10" i="1"/>
  <c r="N9" i="1"/>
  <c r="M9" i="1"/>
  <c r="L9" i="1"/>
  <c r="I9" i="1"/>
  <c r="C9" i="1"/>
  <c r="K9" i="1" s="1"/>
  <c r="B9" i="1"/>
  <c r="J9" i="1" s="1"/>
  <c r="P120" i="1" l="1"/>
  <c r="P123" i="1" s="1"/>
  <c r="R117" i="1"/>
  <c r="R120" i="1" s="1"/>
  <c r="R123" i="1" s="1"/>
  <c r="Q117" i="1"/>
  <c r="Q120" i="1" s="1"/>
  <c r="Q123" i="1" s="1"/>
  <c r="R118" i="1"/>
  <c r="Q118" i="1"/>
  <c r="N120" i="1"/>
  <c r="N123" i="1" s="1"/>
  <c r="O116" i="1"/>
  <c r="N121" i="1"/>
  <c r="N122" i="1" s="1"/>
  <c r="N125" i="1" s="1"/>
  <c r="T136" i="1"/>
  <c r="T137" i="1" s="1"/>
  <c r="T138" i="1" s="1"/>
  <c r="T140" i="1" s="1"/>
  <c r="T141" i="1" s="1"/>
  <c r="O120" i="1"/>
  <c r="O123" i="1" s="1"/>
  <c r="C107" i="1"/>
  <c r="D108" i="1" s="1"/>
  <c r="C110" i="1" s="1"/>
  <c r="M126" i="1"/>
  <c r="N126" i="1"/>
  <c r="O126" i="1"/>
  <c r="P126" i="1"/>
  <c r="Q126" i="1"/>
  <c r="P116" i="1" l="1"/>
  <c r="O121" i="1"/>
  <c r="O122" i="1" s="1"/>
  <c r="O125" i="1" s="1"/>
  <c r="C118" i="1"/>
  <c r="R131" i="1" l="1"/>
  <c r="Q131" i="1"/>
  <c r="S131" i="1"/>
  <c r="P131" i="1"/>
  <c r="Q116" i="1"/>
  <c r="Q121" i="1" s="1"/>
  <c r="Q122" i="1" s="1"/>
  <c r="Q125" i="1" s="1"/>
  <c r="R116" i="1"/>
  <c r="R121" i="1" s="1"/>
  <c r="R122" i="1" s="1"/>
  <c r="R125" i="1" s="1"/>
  <c r="P121" i="1"/>
  <c r="P122" i="1" s="1"/>
  <c r="P125" i="1" s="1"/>
  <c r="C127" i="1" s="1"/>
  <c r="C130" i="1" s="1"/>
  <c r="C133" i="1" s="1"/>
  <c r="S135" i="1" l="1"/>
  <c r="S136" i="1" s="1"/>
  <c r="S137" i="1" s="1"/>
  <c r="S138" i="1" s="1"/>
  <c r="S140" i="1" s="1"/>
  <c r="S141" i="1"/>
  <c r="O142" i="1"/>
  <c r="T142" i="1" s="1"/>
  <c r="H140" i="1"/>
  <c r="L140" i="1" s="1"/>
  <c r="P135" i="1"/>
  <c r="P136" i="1" s="1"/>
  <c r="P137" i="1" s="1"/>
  <c r="P138" i="1" s="1"/>
  <c r="P140" i="1" s="1"/>
  <c r="P141" i="1" s="1"/>
  <c r="Q135" i="1"/>
  <c r="Q136" i="1" s="1"/>
  <c r="Q137" i="1" s="1"/>
  <c r="Q138" i="1" s="1"/>
  <c r="Q140" i="1" s="1"/>
  <c r="Q141" i="1" s="1"/>
  <c r="R135" i="1"/>
  <c r="R136" i="1" s="1"/>
  <c r="R137" i="1" s="1"/>
  <c r="R138" i="1" s="1"/>
  <c r="R140" i="1" s="1"/>
  <c r="R141" i="1" s="1"/>
</calcChain>
</file>

<file path=xl/sharedStrings.xml><?xml version="1.0" encoding="utf-8"?>
<sst xmlns="http://schemas.openxmlformats.org/spreadsheetml/2006/main" count="248" uniqueCount="158">
  <si>
    <t>Маркировка турбины</t>
  </si>
  <si>
    <t>N, МВт</t>
  </si>
  <si>
    <t>Р0, МПа</t>
  </si>
  <si>
    <t>t0, oC</t>
  </si>
  <si>
    <t>Pк, МПа</t>
  </si>
  <si>
    <t>dрс, м</t>
  </si>
  <si>
    <t>n, 1/c</t>
  </si>
  <si>
    <t>H0рс, м</t>
  </si>
  <si>
    <t>G0, кг/c</t>
  </si>
  <si>
    <t>Т-100-130</t>
  </si>
  <si>
    <t>ЛМЗ, ЦВД</t>
  </si>
  <si>
    <t>1. Определение номинальной мощности</t>
  </si>
  <si>
    <t>1.1 Определение начальных параметров</t>
  </si>
  <si>
    <t>Р, МПа</t>
  </si>
  <si>
    <t>t, oC</t>
  </si>
  <si>
    <t>h, кДж/кг</t>
  </si>
  <si>
    <t>S, кДж/кг</t>
  </si>
  <si>
    <t>v, м3/кг</t>
  </si>
  <si>
    <t>Точка процесса</t>
  </si>
  <si>
    <t>x</t>
  </si>
  <si>
    <t>Индекс 0</t>
  </si>
  <si>
    <t>1.2 Определение конечных параметров</t>
  </si>
  <si>
    <t>Индекс kt''</t>
  </si>
  <si>
    <t>Индекс kt'</t>
  </si>
  <si>
    <t>пар</t>
  </si>
  <si>
    <t>1.3 Располагаемый теплоперепад</t>
  </si>
  <si>
    <t>Индекс 1t</t>
  </si>
  <si>
    <t>H0=</t>
  </si>
  <si>
    <t>кДж/кг</t>
  </si>
  <si>
    <t>Индекс 11t</t>
  </si>
  <si>
    <t>1.4 Номинальная расход</t>
  </si>
  <si>
    <t>Произведение КПД принемаем:</t>
  </si>
  <si>
    <t>ηoi*ηм*ηг =</t>
  </si>
  <si>
    <t>G0=</t>
  </si>
  <si>
    <t>кг/с</t>
  </si>
  <si>
    <t>Находим электрическую мощносчть ЦВД турбины</t>
  </si>
  <si>
    <t>Находим dрс, м</t>
  </si>
  <si>
    <t>Nэ=</t>
  </si>
  <si>
    <t>кВт</t>
  </si>
  <si>
    <t xml:space="preserve">dрс= </t>
  </si>
  <si>
    <t>2. Оценка потель давления в паровпускных органах</t>
  </si>
  <si>
    <t>Примем ∆p/p0</t>
  </si>
  <si>
    <t>Следовательно</t>
  </si>
  <si>
    <t>p0'</t>
  </si>
  <si>
    <t>МПа</t>
  </si>
  <si>
    <t>3. Параметры пара после регулирующих клапанов</t>
  </si>
  <si>
    <t>Индекс 0 (штрих)</t>
  </si>
  <si>
    <t>4. Параметры пара на выходе из регулирующей ступени</t>
  </si>
  <si>
    <t>4.1 Параметры пара после регулирующей ступени (без учета потерь)</t>
  </si>
  <si>
    <t>4.1.1 Располагаемый теплоперепад рег.ступени</t>
  </si>
  <si>
    <t>Отношение скоростей, u/cф=</t>
  </si>
  <si>
    <t>H0рс, кДж/кг</t>
  </si>
  <si>
    <t>Индекс 2рсt</t>
  </si>
  <si>
    <t>4.2 Экономичность регулирующей ступени</t>
  </si>
  <si>
    <t>Принимаем kxI=</t>
  </si>
  <si>
    <t>η0iр.c.</t>
  </si>
  <si>
    <t>4.3 Располагаемый тепловой перепад регулирующей ступени</t>
  </si>
  <si>
    <t>Hipc=</t>
  </si>
  <si>
    <t>4.4 Параметры после регулирующей ступени (с учетом потерь)</t>
  </si>
  <si>
    <t>Индекс 2рс</t>
  </si>
  <si>
    <t>5. Параметры пара на выходе из нерегулируещей группы ступеней (без учета потерь)</t>
  </si>
  <si>
    <t>Индекс kt</t>
  </si>
  <si>
    <t>5.1 Располагаемый теплоперепад группы нерегулирующих ступеней</t>
  </si>
  <si>
    <t>H0х=</t>
  </si>
  <si>
    <t>5.2 Экономичность группы нерегулируещих ступеней</t>
  </si>
  <si>
    <t>Gср=G0=</t>
  </si>
  <si>
    <t>kвл=</t>
  </si>
  <si>
    <t>vср</t>
  </si>
  <si>
    <t>м3/кг</t>
  </si>
  <si>
    <t>η0iгр=</t>
  </si>
  <si>
    <t>5.3 Располагаемый тепловой перепад неругулируещей группы ступеней</t>
  </si>
  <si>
    <t>Hix=</t>
  </si>
  <si>
    <t>5.4 Параметры пара на выходе из нерегулируещей группы ступеней (с учетом потерь)</t>
  </si>
  <si>
    <t>Индекс k</t>
  </si>
  <si>
    <t>Hi (индекс k)</t>
  </si>
  <si>
    <t>6. КПД проточной части турбины</t>
  </si>
  <si>
    <t>η0iЦВД=</t>
  </si>
  <si>
    <t>7. КПД турбогенератора</t>
  </si>
  <si>
    <t>ηм=</t>
  </si>
  <si>
    <t>ηг=</t>
  </si>
  <si>
    <t>8. Пересчитываем номинальный расход</t>
  </si>
  <si>
    <t>2. Предварительный расчет регулирующей ступени</t>
  </si>
  <si>
    <t>Двухвеночная</t>
  </si>
  <si>
    <t>Степень реактивности, ρ=</t>
  </si>
  <si>
    <t>Эффективный угол выхода, α1,эф=</t>
  </si>
  <si>
    <t>2.1 Определение диаметра и высоты лопаток регулирующей ступени</t>
  </si>
  <si>
    <t>Теоретическая скорость истечения из сопла, С1t=</t>
  </si>
  <si>
    <t>м/с</t>
  </si>
  <si>
    <t>Произведение степени парциальности на высоту ступени</t>
  </si>
  <si>
    <t>el1=</t>
  </si>
  <si>
    <t>μ1=</t>
  </si>
  <si>
    <t>eопт=</t>
  </si>
  <si>
    <t>Пересчет</t>
  </si>
  <si>
    <t>Высота сопловой решетки</t>
  </si>
  <si>
    <t>l1=</t>
  </si>
  <si>
    <t>мм</t>
  </si>
  <si>
    <t>Примем, что dk=const</t>
  </si>
  <si>
    <t>Вспомогательные таблицы</t>
  </si>
  <si>
    <t>Располагаемый теплоперепад</t>
  </si>
  <si>
    <t>Величина</t>
  </si>
  <si>
    <t>Размерность</t>
  </si>
  <si>
    <t>Варианты</t>
  </si>
  <si>
    <t>3. Определение размеров первой нерегулируемой ступени</t>
  </si>
  <si>
    <t>5(z=10)</t>
  </si>
  <si>
    <t>3.1 Диаметр первой нерегулируемой ступени</t>
  </si>
  <si>
    <t>z=10: Hi=</t>
  </si>
  <si>
    <t>Hост</t>
  </si>
  <si>
    <t>d1=dр.с.-∆d</t>
  </si>
  <si>
    <t>dр.с.</t>
  </si>
  <si>
    <t>rI</t>
  </si>
  <si>
    <t>-</t>
  </si>
  <si>
    <t>∆d=</t>
  </si>
  <si>
    <t>м</t>
  </si>
  <si>
    <t>u/cф</t>
  </si>
  <si>
    <t>d1=</t>
  </si>
  <si>
    <t>a1эф</t>
  </si>
  <si>
    <t>о</t>
  </si>
  <si>
    <t>3.2 Располагаемый теплоперепад на ступень</t>
  </si>
  <si>
    <t>с0</t>
  </si>
  <si>
    <t>H01=</t>
  </si>
  <si>
    <t>u</t>
  </si>
  <si>
    <t>Hо1ст</t>
  </si>
  <si>
    <t>c1t</t>
  </si>
  <si>
    <t>3.3 Скорость на выходе из сопловой решетки</t>
  </si>
  <si>
    <t>dср</t>
  </si>
  <si>
    <t>С1t1=</t>
  </si>
  <si>
    <t>v1t</t>
  </si>
  <si>
    <t>3.4 Высота сопловой решетки</t>
  </si>
  <si>
    <t>l1</t>
  </si>
  <si>
    <t>Эффективный угол выхода, α11,эф=</t>
  </si>
  <si>
    <t>z</t>
  </si>
  <si>
    <t>3.5 Высота рабочей решетки</t>
  </si>
  <si>
    <t>l2=</t>
  </si>
  <si>
    <t>Подбор</t>
  </si>
  <si>
    <t>dz</t>
  </si>
  <si>
    <t>3.6 Корневой диаметр</t>
  </si>
  <si>
    <t>rz</t>
  </si>
  <si>
    <t>dk=</t>
  </si>
  <si>
    <t>4. Опредление размеров последней ступени</t>
  </si>
  <si>
    <t>4.1 Выходная площадь рабочей решетки</t>
  </si>
  <si>
    <t>Hоz</t>
  </si>
  <si>
    <t>∆Hв.с=</t>
  </si>
  <si>
    <t>КДж/кг</t>
  </si>
  <si>
    <t>c2=</t>
  </si>
  <si>
    <t>Hо1z</t>
  </si>
  <si>
    <t>G2=G0=</t>
  </si>
  <si>
    <t>F2=</t>
  </si>
  <si>
    <t>м2</t>
  </si>
  <si>
    <t>ПОДБОР</t>
  </si>
  <si>
    <t>4.2 Высота последней ступени</t>
  </si>
  <si>
    <t>Отсюда l2=</t>
  </si>
  <si>
    <t>(dk+l2z)*l2z =</t>
  </si>
  <si>
    <t xml:space="preserve">F2z/3,14 = </t>
  </si>
  <si>
    <t>невязка</t>
  </si>
  <si>
    <t>Решим квадратное уравнение</t>
  </si>
  <si>
    <t>dkz</t>
  </si>
  <si>
    <t>4.3 Диаметр последней ступени</t>
  </si>
  <si>
    <t>dz=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</si>
</sst>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0"/>
    <numFmt numFmtId="168" formatCode="0.0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color theme="1"/>
      <name val="Symbol"/>
      <family val="1"/>
      <charset val="2"/>
    </font>
    <font>
      <sz val="11"/>
      <color indexed="8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16" fontId="0" fillId="0" borderId="0" xfId="0" applyNumberFormat="1"/>
    <xf numFmtId="164" fontId="0" fillId="3" borderId="0" xfId="0" applyNumberFormat="1" applyFill="1" applyAlignment="1">
      <alignment horizontal="center" vertical="center"/>
    </xf>
    <xf numFmtId="164" fontId="0" fillId="3" borderId="0" xfId="0" applyNumberFormat="1" applyFill="1"/>
    <xf numFmtId="0" fontId="3" fillId="0" borderId="0" xfId="0" applyFont="1"/>
    <xf numFmtId="0" fontId="0" fillId="4" borderId="0" xfId="0" applyFill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166" fontId="4" fillId="0" borderId="1" xfId="0" applyNumberFormat="1" applyFont="1" applyBorder="1" applyAlignment="1">
      <alignment horizontal="center"/>
    </xf>
    <xf numFmtId="168" fontId="4" fillId="0" borderId="1" xfId="0" applyNumberFormat="1" applyFont="1" applyBorder="1" applyAlignment="1">
      <alignment horizontal="center"/>
    </xf>
    <xf numFmtId="167" fontId="4" fillId="0" borderId="1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2" fontId="0" fillId="0" borderId="0" xfId="0" applyNumberFormat="1"/>
    <xf numFmtId="0" fontId="0" fillId="0" borderId="0" xfId="0" applyAlignment="1">
      <alignment horizontal="right"/>
    </xf>
    <xf numFmtId="0" fontId="3" fillId="4" borderId="0" xfId="0" applyFont="1" applyFill="1"/>
    <xf numFmtId="165" fontId="0" fillId="3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8" fillId="3" borderId="7" xfId="0" applyFont="1" applyFill="1" applyBorder="1" applyAlignment="1">
      <alignment vertical="center" wrapText="1"/>
    </xf>
    <xf numFmtId="0" fontId="0" fillId="3" borderId="6" xfId="0" applyFill="1" applyBorder="1"/>
    <xf numFmtId="0" fontId="8" fillId="3" borderId="4" xfId="0" applyFont="1" applyFill="1" applyBorder="1" applyAlignment="1">
      <alignment wrapText="1"/>
    </xf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/>
    <xf numFmtId="0" fontId="4" fillId="0" borderId="1" xfId="0" applyFont="1" applyBorder="1" applyAlignment="1">
      <alignment horizontal="center"/>
    </xf>
    <xf numFmtId="0" fontId="0" fillId="0" borderId="4" xfId="0" applyBorder="1"/>
    <xf numFmtId="0" fontId="4" fillId="0" borderId="1" xfId="0" applyFont="1" applyBorder="1" applyAlignment="1">
      <alignment horizontal="center" vertical="center"/>
    </xf>
    <xf numFmtId="0" fontId="0" fillId="0" borderId="5" xfId="0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44"/>
  <sheetViews>
    <sheetView tabSelected="1" topLeftCell="A121" zoomScale="92" workbookViewId="0">
      <selection activeCell="M145" sqref="M145"/>
    </sheetView>
  </sheetViews>
  <sheetFormatPr defaultRowHeight="14.4" x14ac:dyDescent="0.3"/>
  <cols>
    <col min="2" max="2" width="22.109375" customWidth="1"/>
    <col min="4" max="4" width="9.109375" customWidth="1"/>
    <col min="5" max="5" width="12" customWidth="1"/>
    <col min="7" max="7" width="10.88671875" customWidth="1"/>
    <col min="8" max="8" width="8.33203125" customWidth="1"/>
    <col min="9" max="9" width="19.88671875" customWidth="1"/>
  </cols>
  <sheetData>
    <row r="2" spans="1:15" ht="18" customHeight="1" x14ac:dyDescent="0.3">
      <c r="B2" s="48" t="s">
        <v>0</v>
      </c>
      <c r="C2" s="49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</row>
    <row r="3" spans="1:15" x14ac:dyDescent="0.3">
      <c r="B3" s="2" t="s">
        <v>9</v>
      </c>
      <c r="C3" s="2" t="s">
        <v>10</v>
      </c>
      <c r="D3" s="3">
        <v>0</v>
      </c>
      <c r="E3" s="3">
        <v>13</v>
      </c>
      <c r="F3" s="3">
        <v>550</v>
      </c>
      <c r="G3" s="3">
        <v>3.6</v>
      </c>
      <c r="H3" s="3">
        <v>0</v>
      </c>
      <c r="I3" s="3">
        <v>50</v>
      </c>
      <c r="J3" s="3">
        <v>180</v>
      </c>
      <c r="K3" s="3">
        <v>130</v>
      </c>
    </row>
    <row r="5" spans="1:15" x14ac:dyDescent="0.3">
      <c r="B5" t="s">
        <v>11</v>
      </c>
    </row>
    <row r="6" spans="1:15" x14ac:dyDescent="0.3">
      <c r="B6" t="s">
        <v>12</v>
      </c>
    </row>
    <row r="8" spans="1:15" ht="17.25" customHeight="1" x14ac:dyDescent="0.3">
      <c r="A8" s="4"/>
      <c r="B8" s="2" t="s">
        <v>13</v>
      </c>
      <c r="C8" s="2" t="s">
        <v>14</v>
      </c>
      <c r="D8" s="1" t="s">
        <v>15</v>
      </c>
      <c r="E8" s="2" t="s">
        <v>16</v>
      </c>
      <c r="F8" s="2" t="s">
        <v>17</v>
      </c>
      <c r="I8" s="2" t="s">
        <v>18</v>
      </c>
      <c r="J8" s="22" t="s">
        <v>13</v>
      </c>
      <c r="K8" s="22" t="s">
        <v>14</v>
      </c>
      <c r="L8" s="22" t="s">
        <v>15</v>
      </c>
      <c r="M8" s="22" t="s">
        <v>16</v>
      </c>
      <c r="N8" s="22" t="s">
        <v>17</v>
      </c>
      <c r="O8" s="22" t="s">
        <v>19</v>
      </c>
    </row>
    <row r="9" spans="1:15" x14ac:dyDescent="0.3">
      <c r="A9" s="4" t="s">
        <v>20</v>
      </c>
      <c r="B9" s="5">
        <f>E3</f>
        <v>13</v>
      </c>
      <c r="C9" s="2">
        <f>F3</f>
        <v>550</v>
      </c>
      <c r="D9" s="6">
        <v>3470.9961819308828</v>
      </c>
      <c r="E9" s="7">
        <v>6.6082538385763288</v>
      </c>
      <c r="F9" s="8">
        <v>2.6853063367251791E-2</v>
      </c>
      <c r="I9" s="2" t="str">
        <f t="shared" ref="I9:N9" si="0">A9</f>
        <v>Индекс 0</v>
      </c>
      <c r="J9" s="2">
        <f t="shared" si="0"/>
        <v>13</v>
      </c>
      <c r="K9" s="2">
        <f t="shared" si="0"/>
        <v>550</v>
      </c>
      <c r="L9" s="2">
        <f t="shared" si="0"/>
        <v>3470.9961819308828</v>
      </c>
      <c r="M9" s="2">
        <f t="shared" si="0"/>
        <v>6.6082538385763288</v>
      </c>
      <c r="N9" s="2">
        <f t="shared" si="0"/>
        <v>2.6853063367251791E-2</v>
      </c>
      <c r="O9" s="2">
        <v>0</v>
      </c>
    </row>
    <row r="10" spans="1:15" x14ac:dyDescent="0.3">
      <c r="I10" s="2" t="str">
        <f t="shared" ref="I10:N10" si="1">A32</f>
        <v>Индекс 0 (штрих)</v>
      </c>
      <c r="J10" s="2">
        <f t="shared" si="1"/>
        <v>12.35</v>
      </c>
      <c r="K10" s="2">
        <f t="shared" si="1"/>
        <v>547.41900071523332</v>
      </c>
      <c r="L10" s="2">
        <f t="shared" si="1"/>
        <v>3470.9961819308828</v>
      </c>
      <c r="M10" s="2">
        <f t="shared" si="1"/>
        <v>6.630048689665621</v>
      </c>
      <c r="N10" s="2">
        <f t="shared" si="1"/>
        <v>2.8275468519025591E-2</v>
      </c>
      <c r="O10" s="2">
        <v>0</v>
      </c>
    </row>
    <row r="11" spans="1:15" x14ac:dyDescent="0.3">
      <c r="B11" s="9" t="s">
        <v>21</v>
      </c>
      <c r="C11" s="4"/>
      <c r="I11" s="2" t="str">
        <f t="shared" ref="I11:N11" si="2">A42</f>
        <v>Индекс 2рсt</v>
      </c>
      <c r="J11" s="2">
        <f t="shared" si="2"/>
        <v>7.1483286436378579</v>
      </c>
      <c r="K11" s="2">
        <f t="shared" si="2"/>
        <v>452.14594740681082</v>
      </c>
      <c r="L11" s="2">
        <f t="shared" si="2"/>
        <v>3290.9961819308828</v>
      </c>
      <c r="M11" s="2">
        <f t="shared" si="2"/>
        <v>6.630048689665621</v>
      </c>
      <c r="N11" s="2">
        <f t="shared" si="2"/>
        <v>4.3355515146890101E-2</v>
      </c>
      <c r="O11" s="2">
        <v>0</v>
      </c>
    </row>
    <row r="12" spans="1:15" x14ac:dyDescent="0.3">
      <c r="I12" s="2" t="str">
        <f t="shared" ref="I12:N12" si="3">A55</f>
        <v>Индекс 2рс</v>
      </c>
      <c r="J12" s="2">
        <f t="shared" si="3"/>
        <v>7.1483286436378579</v>
      </c>
      <c r="K12" s="2">
        <f t="shared" si="3"/>
        <v>469.81744173052749</v>
      </c>
      <c r="L12" s="2">
        <f t="shared" si="3"/>
        <v>3335.0712449793591</v>
      </c>
      <c r="M12" s="2">
        <f t="shared" si="3"/>
        <v>6.6901025869394024</v>
      </c>
      <c r="N12" s="2">
        <f t="shared" si="3"/>
        <v>4.4754899524997768E-2</v>
      </c>
      <c r="O12" s="2">
        <v>0</v>
      </c>
    </row>
    <row r="13" spans="1:15" ht="17.25" customHeight="1" x14ac:dyDescent="0.3">
      <c r="B13" s="2" t="s">
        <v>13</v>
      </c>
      <c r="C13" s="2" t="s">
        <v>14</v>
      </c>
      <c r="D13" s="1" t="s">
        <v>15</v>
      </c>
      <c r="E13" s="2" t="s">
        <v>16</v>
      </c>
      <c r="F13" s="2" t="s">
        <v>17</v>
      </c>
      <c r="I13" s="2" t="str">
        <f t="shared" ref="I13:N13" si="4">A60</f>
        <v>Индекс kt</v>
      </c>
      <c r="J13" s="2">
        <f t="shared" si="4"/>
        <v>3.6</v>
      </c>
      <c r="K13" s="2">
        <f t="shared" si="4"/>
        <v>362.07204173415329</v>
      </c>
      <c r="L13" s="2">
        <f t="shared" si="4"/>
        <v>3131.4027877358899</v>
      </c>
      <c r="M13" s="2">
        <f t="shared" si="4"/>
        <v>6.6901025869394024</v>
      </c>
      <c r="N13" s="2">
        <f t="shared" si="4"/>
        <v>7.6356846833376277E-2</v>
      </c>
      <c r="O13" s="2">
        <v>0</v>
      </c>
    </row>
    <row r="14" spans="1:15" x14ac:dyDescent="0.3">
      <c r="A14" s="4" t="s">
        <v>22</v>
      </c>
      <c r="B14" s="5">
        <f>G3</f>
        <v>3.6</v>
      </c>
      <c r="C14" s="10">
        <v>341.06977372643502</v>
      </c>
      <c r="D14" s="6">
        <v>3080.2911955577651</v>
      </c>
      <c r="E14" s="7">
        <f>E9</f>
        <v>6.6082538385763288</v>
      </c>
      <c r="F14" s="8">
        <v>7.308081411324667E-2</v>
      </c>
      <c r="I14" s="2" t="str">
        <f t="shared" ref="I14:N14" si="5">A79</f>
        <v>Индекс k</v>
      </c>
      <c r="J14" s="2">
        <f t="shared" si="5"/>
        <v>3.6</v>
      </c>
      <c r="K14" s="2">
        <f t="shared" si="5"/>
        <v>373.02855587066801</v>
      </c>
      <c r="L14" s="2">
        <f t="shared" si="5"/>
        <v>3157.5732692654169</v>
      </c>
      <c r="M14" s="2">
        <f t="shared" si="5"/>
        <v>6.7309604723566716</v>
      </c>
      <c r="N14" s="2">
        <f t="shared" si="5"/>
        <v>7.8029316771473567E-2</v>
      </c>
      <c r="O14" s="2">
        <v>0</v>
      </c>
    </row>
    <row r="15" spans="1:15" x14ac:dyDescent="0.3">
      <c r="I15" s="2" t="s">
        <v>23</v>
      </c>
      <c r="J15" s="5"/>
      <c r="K15" s="10"/>
      <c r="L15" s="10"/>
      <c r="M15" s="7">
        <f>M11</f>
        <v>6.630048689665621</v>
      </c>
      <c r="N15" s="8"/>
      <c r="O15" s="2" t="s">
        <v>24</v>
      </c>
    </row>
    <row r="16" spans="1:15" x14ac:dyDescent="0.3">
      <c r="B16" s="9" t="s">
        <v>25</v>
      </c>
      <c r="C16" s="4"/>
      <c r="D16" s="4"/>
      <c r="I16" s="2" t="str">
        <f t="shared" ref="I16:N16" si="6">A14</f>
        <v>Индекс kt''</v>
      </c>
      <c r="J16" s="2">
        <f t="shared" si="6"/>
        <v>3.6</v>
      </c>
      <c r="K16" s="2">
        <f t="shared" si="6"/>
        <v>341.06977372643502</v>
      </c>
      <c r="L16" s="2">
        <f t="shared" si="6"/>
        <v>3080.2911955577651</v>
      </c>
      <c r="M16" s="2">
        <f t="shared" si="6"/>
        <v>6.6082538385763288</v>
      </c>
      <c r="N16" s="2">
        <f t="shared" si="6"/>
        <v>7.308081411324667E-2</v>
      </c>
      <c r="O16" s="2">
        <v>0</v>
      </c>
    </row>
    <row r="17" spans="1:15" x14ac:dyDescent="0.3">
      <c r="B17" s="4"/>
      <c r="C17" s="4"/>
      <c r="D17" s="4"/>
      <c r="I17" s="2" t="s">
        <v>26</v>
      </c>
      <c r="J17" s="5">
        <v>7.5730146963723826</v>
      </c>
      <c r="K17" s="10">
        <v>461.7271261983085</v>
      </c>
      <c r="L17" s="10">
        <f>L10-(1-E97)*E38</f>
        <v>3308.9961819308828</v>
      </c>
      <c r="M17" s="7">
        <f>M10</f>
        <v>6.630048689665621</v>
      </c>
      <c r="N17" s="8">
        <v>4.1445560398867133E-2</v>
      </c>
      <c r="O17" s="2" t="s">
        <v>24</v>
      </c>
    </row>
    <row r="18" spans="1:15" ht="18" customHeight="1" x14ac:dyDescent="0.3">
      <c r="B18" s="4" t="s">
        <v>27</v>
      </c>
      <c r="C18" s="4">
        <v>390.70498637311772</v>
      </c>
      <c r="D18" s="4" t="s">
        <v>28</v>
      </c>
      <c r="I18" s="2" t="s">
        <v>29</v>
      </c>
      <c r="J18" s="5"/>
      <c r="K18" s="10"/>
      <c r="L18" s="10">
        <f>L12</f>
        <v>3335.0712449793591</v>
      </c>
      <c r="M18" s="7">
        <f>M12</f>
        <v>6.6901025869394024</v>
      </c>
      <c r="N18" s="8"/>
      <c r="O18" s="2" t="s">
        <v>24</v>
      </c>
    </row>
    <row r="20" spans="1:15" x14ac:dyDescent="0.3">
      <c r="B20" s="9" t="s">
        <v>30</v>
      </c>
      <c r="C20" s="4"/>
      <c r="D20" s="4"/>
      <c r="G20" t="s">
        <v>31</v>
      </c>
    </row>
    <row r="21" spans="1:15" x14ac:dyDescent="0.3">
      <c r="B21" s="4"/>
      <c r="C21" s="4"/>
      <c r="D21" s="4"/>
      <c r="G21" t="s">
        <v>32</v>
      </c>
      <c r="H21" s="14">
        <v>0.85</v>
      </c>
    </row>
    <row r="22" spans="1:15" ht="18" customHeight="1" x14ac:dyDescent="0.3">
      <c r="B22" s="11" t="s">
        <v>33</v>
      </c>
      <c r="C22" s="12">
        <v>130</v>
      </c>
      <c r="D22" s="4" t="s">
        <v>34</v>
      </c>
    </row>
    <row r="23" spans="1:15" x14ac:dyDescent="0.3">
      <c r="G23" t="s">
        <v>35</v>
      </c>
      <c r="L23" t="s">
        <v>36</v>
      </c>
    </row>
    <row r="24" spans="1:15" x14ac:dyDescent="0.3">
      <c r="G24" t="s">
        <v>37</v>
      </c>
      <c r="H24">
        <v>43172.900994229502</v>
      </c>
      <c r="I24" t="s">
        <v>38</v>
      </c>
      <c r="K24" t="s">
        <v>39</v>
      </c>
      <c r="L24">
        <f>(E37*SQRT(2000*E38))/(PI()*I3)</f>
        <v>0.91673247220931708</v>
      </c>
    </row>
    <row r="26" spans="1:15" x14ac:dyDescent="0.3">
      <c r="B26" t="s">
        <v>40</v>
      </c>
    </row>
    <row r="27" spans="1:15" ht="18" customHeight="1" x14ac:dyDescent="0.3">
      <c r="B27" s="4" t="s">
        <v>41</v>
      </c>
      <c r="C27" s="13">
        <v>0.05</v>
      </c>
      <c r="D27" s="4" t="s">
        <v>42</v>
      </c>
      <c r="E27" s="4" t="s">
        <v>43</v>
      </c>
      <c r="F27" s="4">
        <v>12.35</v>
      </c>
      <c r="G27" s="4" t="s">
        <v>44</v>
      </c>
    </row>
    <row r="29" spans="1:15" x14ac:dyDescent="0.3">
      <c r="A29" s="4"/>
      <c r="B29" t="s">
        <v>45</v>
      </c>
    </row>
    <row r="30" spans="1:15" x14ac:dyDescent="0.3">
      <c r="A30" s="4"/>
    </row>
    <row r="31" spans="1:15" ht="17.25" customHeight="1" x14ac:dyDescent="0.3">
      <c r="A31" s="4"/>
      <c r="B31" s="2" t="s">
        <v>13</v>
      </c>
      <c r="C31" s="2" t="s">
        <v>14</v>
      </c>
      <c r="D31" s="1" t="s">
        <v>15</v>
      </c>
      <c r="E31" s="2" t="s">
        <v>16</v>
      </c>
      <c r="F31" s="2" t="s">
        <v>17</v>
      </c>
    </row>
    <row r="32" spans="1:15" x14ac:dyDescent="0.3">
      <c r="A32" s="4" t="s">
        <v>46</v>
      </c>
      <c r="B32" s="5">
        <f>F27</f>
        <v>12.35</v>
      </c>
      <c r="C32" s="10">
        <v>547.41900071523332</v>
      </c>
      <c r="D32" s="10">
        <v>3470.9961819308828</v>
      </c>
      <c r="E32" s="7">
        <v>6.630048689665621</v>
      </c>
      <c r="F32" s="8">
        <v>2.8275468519025591E-2</v>
      </c>
    </row>
    <row r="34" spans="1:6" x14ac:dyDescent="0.3">
      <c r="B34" t="s">
        <v>47</v>
      </c>
    </row>
    <row r="35" spans="1:6" x14ac:dyDescent="0.3">
      <c r="B35" t="s">
        <v>48</v>
      </c>
    </row>
    <row r="36" spans="1:6" x14ac:dyDescent="0.3">
      <c r="B36" s="9" t="s">
        <v>49</v>
      </c>
    </row>
    <row r="37" spans="1:6" ht="18" customHeight="1" x14ac:dyDescent="0.3">
      <c r="B37" t="s">
        <v>50</v>
      </c>
      <c r="E37" s="14">
        <v>0.24</v>
      </c>
    </row>
    <row r="38" spans="1:6" ht="18.75" customHeight="1" x14ac:dyDescent="0.3">
      <c r="D38" s="15" t="s">
        <v>51</v>
      </c>
      <c r="E38">
        <v>180</v>
      </c>
    </row>
    <row r="41" spans="1:6" ht="17.25" customHeight="1" x14ac:dyDescent="0.3">
      <c r="A41" s="4"/>
      <c r="B41" s="2" t="s">
        <v>13</v>
      </c>
      <c r="C41" s="2" t="s">
        <v>14</v>
      </c>
      <c r="D41" s="1" t="s">
        <v>15</v>
      </c>
      <c r="E41" s="2" t="s">
        <v>16</v>
      </c>
      <c r="F41" s="2" t="s">
        <v>17</v>
      </c>
    </row>
    <row r="42" spans="1:6" x14ac:dyDescent="0.3">
      <c r="A42" s="4" t="s">
        <v>52</v>
      </c>
      <c r="B42" s="5">
        <v>7.1483286436378579</v>
      </c>
      <c r="C42" s="10">
        <v>452.14594740681082</v>
      </c>
      <c r="D42" s="10">
        <v>3290.9961819308828</v>
      </c>
      <c r="E42" s="7">
        <v>6.630048689665621</v>
      </c>
      <c r="F42" s="8">
        <v>4.3355515146890101E-2</v>
      </c>
    </row>
    <row r="44" spans="1:6" x14ac:dyDescent="0.3">
      <c r="B44" t="s">
        <v>53</v>
      </c>
    </row>
    <row r="45" spans="1:6" ht="18.75" customHeight="1" x14ac:dyDescent="0.3">
      <c r="B45" t="s">
        <v>54</v>
      </c>
      <c r="D45" s="14">
        <v>0.99750000000000005</v>
      </c>
    </row>
    <row r="46" spans="1:6" ht="18" customHeight="1" x14ac:dyDescent="0.3">
      <c r="C46" s="16" t="s">
        <v>55</v>
      </c>
      <c r="D46">
        <v>0.75513853861957614</v>
      </c>
    </row>
    <row r="48" spans="1:6" x14ac:dyDescent="0.3">
      <c r="B48" t="s">
        <v>56</v>
      </c>
    </row>
    <row r="50" spans="1:6" ht="18" customHeight="1" x14ac:dyDescent="0.3">
      <c r="B50" s="4" t="s">
        <v>57</v>
      </c>
      <c r="C50">
        <v>135.9249369515237</v>
      </c>
      <c r="D50" s="4" t="s">
        <v>28</v>
      </c>
    </row>
    <row r="52" spans="1:6" x14ac:dyDescent="0.3">
      <c r="B52" s="17" t="s">
        <v>58</v>
      </c>
    </row>
    <row r="54" spans="1:6" ht="17.25" customHeight="1" x14ac:dyDescent="0.3">
      <c r="A54" s="4"/>
      <c r="B54" s="2" t="s">
        <v>13</v>
      </c>
      <c r="C54" s="2" t="s">
        <v>14</v>
      </c>
      <c r="D54" s="1" t="s">
        <v>15</v>
      </c>
      <c r="E54" s="2" t="s">
        <v>16</v>
      </c>
      <c r="F54" s="2" t="s">
        <v>17</v>
      </c>
    </row>
    <row r="55" spans="1:6" x14ac:dyDescent="0.3">
      <c r="A55" s="4" t="s">
        <v>59</v>
      </c>
      <c r="B55" s="5">
        <v>7.1483286436378579</v>
      </c>
      <c r="C55" s="10">
        <v>469.81744173052749</v>
      </c>
      <c r="D55" s="10">
        <v>3335.0712449793591</v>
      </c>
      <c r="E55" s="7">
        <v>6.6901025869394024</v>
      </c>
      <c r="F55" s="8">
        <v>4.4754899524997768E-2</v>
      </c>
    </row>
    <row r="57" spans="1:6" x14ac:dyDescent="0.3">
      <c r="B57" t="s">
        <v>60</v>
      </c>
    </row>
    <row r="59" spans="1:6" ht="17.25" customHeight="1" x14ac:dyDescent="0.3">
      <c r="A59" s="4"/>
      <c r="B59" s="2" t="s">
        <v>13</v>
      </c>
      <c r="C59" s="2" t="s">
        <v>14</v>
      </c>
      <c r="D59" s="1" t="s">
        <v>15</v>
      </c>
      <c r="E59" s="2" t="s">
        <v>16</v>
      </c>
      <c r="F59" s="2" t="s">
        <v>17</v>
      </c>
    </row>
    <row r="60" spans="1:6" x14ac:dyDescent="0.3">
      <c r="A60" s="4" t="s">
        <v>61</v>
      </c>
      <c r="B60" s="2">
        <v>3.6</v>
      </c>
      <c r="C60" s="10">
        <v>362.07204173415329</v>
      </c>
      <c r="D60" s="6">
        <v>3131.4027877358899</v>
      </c>
      <c r="E60" s="7">
        <v>6.6901025869394024</v>
      </c>
      <c r="F60" s="8">
        <v>7.6356846833376277E-2</v>
      </c>
    </row>
    <row r="62" spans="1:6" x14ac:dyDescent="0.3">
      <c r="B62" t="s">
        <v>62</v>
      </c>
    </row>
    <row r="64" spans="1:6" ht="18" customHeight="1" x14ac:dyDescent="0.3">
      <c r="B64" s="4" t="s">
        <v>63</v>
      </c>
      <c r="C64">
        <v>203.66845724346879</v>
      </c>
    </row>
    <row r="66" spans="1:9" x14ac:dyDescent="0.3">
      <c r="B66" t="s">
        <v>64</v>
      </c>
    </row>
    <row r="68" spans="1:9" ht="18" customHeight="1" x14ac:dyDescent="0.3">
      <c r="B68" s="4" t="s">
        <v>65</v>
      </c>
      <c r="C68">
        <v>130</v>
      </c>
      <c r="D68" s="4" t="s">
        <v>34</v>
      </c>
      <c r="E68" s="4" t="s">
        <v>66</v>
      </c>
      <c r="F68" s="14">
        <v>1</v>
      </c>
      <c r="I68" s="20"/>
    </row>
    <row r="69" spans="1:9" ht="18" customHeight="1" x14ac:dyDescent="0.3">
      <c r="B69" s="4" t="s">
        <v>67</v>
      </c>
      <c r="C69">
        <v>5.8458044853325362E-2</v>
      </c>
      <c r="D69" s="4" t="s">
        <v>68</v>
      </c>
    </row>
    <row r="70" spans="1:9" ht="18" customHeight="1" x14ac:dyDescent="0.3">
      <c r="B70" s="16" t="s">
        <v>69</v>
      </c>
      <c r="C70">
        <v>0.87150449370644301</v>
      </c>
    </row>
    <row r="72" spans="1:9" x14ac:dyDescent="0.3">
      <c r="B72" t="s">
        <v>70</v>
      </c>
    </row>
    <row r="74" spans="1:9" ht="18" customHeight="1" x14ac:dyDescent="0.3">
      <c r="B74" s="4" t="s">
        <v>71</v>
      </c>
      <c r="C74">
        <v>177.4979757139416</v>
      </c>
      <c r="D74" s="4" t="s">
        <v>28</v>
      </c>
    </row>
    <row r="76" spans="1:9" x14ac:dyDescent="0.3">
      <c r="B76" t="s">
        <v>72</v>
      </c>
    </row>
    <row r="78" spans="1:9" ht="17.25" customHeight="1" x14ac:dyDescent="0.3">
      <c r="A78" s="4"/>
      <c r="B78" s="2" t="s">
        <v>13</v>
      </c>
      <c r="C78" s="2" t="s">
        <v>14</v>
      </c>
      <c r="D78" s="1" t="s">
        <v>15</v>
      </c>
      <c r="E78" s="2" t="s">
        <v>16</v>
      </c>
      <c r="F78" s="2" t="s">
        <v>17</v>
      </c>
    </row>
    <row r="79" spans="1:9" x14ac:dyDescent="0.3">
      <c r="A79" s="4" t="s">
        <v>73</v>
      </c>
      <c r="B79" s="2">
        <v>3.6</v>
      </c>
      <c r="C79" s="10">
        <v>373.02855587066801</v>
      </c>
      <c r="D79" s="10">
        <v>3157.5732692654169</v>
      </c>
      <c r="E79" s="7">
        <v>6.7309604723566716</v>
      </c>
      <c r="F79" s="8">
        <v>7.8029316771473567E-2</v>
      </c>
    </row>
    <row r="80" spans="1:9" x14ac:dyDescent="0.3">
      <c r="C80" t="s">
        <v>74</v>
      </c>
      <c r="D80">
        <v>313.42291266546539</v>
      </c>
    </row>
    <row r="81" spans="2:7" x14ac:dyDescent="0.3">
      <c r="B81" t="s">
        <v>75</v>
      </c>
    </row>
    <row r="83" spans="2:7" ht="18" customHeight="1" x14ac:dyDescent="0.3">
      <c r="B83" s="16" t="s">
        <v>76</v>
      </c>
      <c r="C83">
        <v>0.80219839417700967</v>
      </c>
    </row>
    <row r="85" spans="2:7" x14ac:dyDescent="0.3">
      <c r="B85" t="s">
        <v>77</v>
      </c>
    </row>
    <row r="86" spans="2:7" ht="18" customHeight="1" x14ac:dyDescent="0.3">
      <c r="B86" s="16" t="s">
        <v>78</v>
      </c>
      <c r="C86" s="18">
        <v>0.999</v>
      </c>
    </row>
    <row r="87" spans="2:7" ht="18" customHeight="1" x14ac:dyDescent="0.3">
      <c r="B87" s="16" t="s">
        <v>79</v>
      </c>
      <c r="C87" s="19">
        <v>0.98750000000000004</v>
      </c>
    </row>
    <row r="89" spans="2:7" x14ac:dyDescent="0.3">
      <c r="B89" t="s">
        <v>80</v>
      </c>
    </row>
    <row r="91" spans="2:7" ht="18" customHeight="1" x14ac:dyDescent="0.3">
      <c r="B91" s="4" t="s">
        <v>33</v>
      </c>
      <c r="C91">
        <v>174.05884963795069</v>
      </c>
      <c r="D91" s="4" t="s">
        <v>34</v>
      </c>
      <c r="G91" s="21"/>
    </row>
    <row r="93" spans="2:7" x14ac:dyDescent="0.3">
      <c r="B93" t="s">
        <v>81</v>
      </c>
    </row>
    <row r="95" spans="2:7" x14ac:dyDescent="0.3">
      <c r="B95" t="s">
        <v>82</v>
      </c>
    </row>
    <row r="97" spans="2:18" x14ac:dyDescent="0.3">
      <c r="B97" t="s">
        <v>83</v>
      </c>
      <c r="E97" s="14">
        <v>0.1</v>
      </c>
    </row>
    <row r="98" spans="2:18" ht="18" customHeight="1" x14ac:dyDescent="0.3">
      <c r="B98" t="s">
        <v>84</v>
      </c>
      <c r="E98" s="14">
        <v>18</v>
      </c>
    </row>
    <row r="99" spans="2:18" ht="18" customHeight="1" x14ac:dyDescent="0.3">
      <c r="B99" t="s">
        <v>50</v>
      </c>
      <c r="E99">
        <f>E37</f>
        <v>0.24</v>
      </c>
    </row>
    <row r="101" spans="2:18" x14ac:dyDescent="0.3">
      <c r="B101" t="s">
        <v>85</v>
      </c>
    </row>
    <row r="103" spans="2:18" ht="18" customHeight="1" x14ac:dyDescent="0.3">
      <c r="B103" t="s">
        <v>86</v>
      </c>
      <c r="G103">
        <f>SQRT(2000*(1-E97)*E38)</f>
        <v>569.20997883030827</v>
      </c>
      <c r="H103" t="s">
        <v>87</v>
      </c>
    </row>
    <row r="104" spans="2:18" x14ac:dyDescent="0.3">
      <c r="B104" s="9" t="s">
        <v>88</v>
      </c>
    </row>
    <row r="105" spans="2:18" ht="18" customHeight="1" x14ac:dyDescent="0.3">
      <c r="B105" s="4" t="s">
        <v>89</v>
      </c>
      <c r="C105">
        <f>(K3*N17)/(C106*G103*PI()*L24*SIN(RADIANS(E98)))</f>
        <v>1.0964839458380038E-2</v>
      </c>
    </row>
    <row r="106" spans="2:18" ht="18" customHeight="1" x14ac:dyDescent="0.3">
      <c r="B106" s="16" t="s">
        <v>90</v>
      </c>
      <c r="C106" s="13">
        <v>0.97</v>
      </c>
    </row>
    <row r="107" spans="2:18" ht="18" customHeight="1" x14ac:dyDescent="0.3">
      <c r="B107" s="4" t="s">
        <v>91</v>
      </c>
      <c r="C107">
        <f>3*SQRT(C105)</f>
        <v>0.31413938805157871</v>
      </c>
    </row>
    <row r="108" spans="2:18" ht="18" customHeight="1" x14ac:dyDescent="0.3">
      <c r="B108" s="4" t="s">
        <v>92</v>
      </c>
      <c r="C108" s="4" t="s">
        <v>91</v>
      </c>
      <c r="D108">
        <f>IF(C107&gt;0.8,0.8,C107)</f>
        <v>0.31413938805157871</v>
      </c>
    </row>
    <row r="109" spans="2:18" x14ac:dyDescent="0.3">
      <c r="B109" t="s">
        <v>93</v>
      </c>
    </row>
    <row r="110" spans="2:18" ht="18" customHeight="1" x14ac:dyDescent="0.3">
      <c r="B110" s="23" t="s">
        <v>94</v>
      </c>
      <c r="C110">
        <f>C105/D108*1000</f>
        <v>34.904376450175405</v>
      </c>
      <c r="D110" t="s">
        <v>95</v>
      </c>
    </row>
    <row r="112" spans="2:18" x14ac:dyDescent="0.3">
      <c r="B112" t="s">
        <v>96</v>
      </c>
      <c r="K112" s="24"/>
      <c r="L112" s="24" t="s">
        <v>97</v>
      </c>
      <c r="M112" s="24"/>
      <c r="N112" s="24"/>
      <c r="O112" s="25"/>
      <c r="P112" s="24"/>
      <c r="Q112" s="24"/>
      <c r="R112" s="24"/>
    </row>
    <row r="113" spans="2:20" x14ac:dyDescent="0.3">
      <c r="H113" t="s">
        <v>98</v>
      </c>
      <c r="K113" s="52" t="s">
        <v>99</v>
      </c>
      <c r="L113" s="52" t="s">
        <v>100</v>
      </c>
      <c r="M113" s="50" t="s">
        <v>101</v>
      </c>
      <c r="N113" s="51"/>
      <c r="O113" s="51"/>
      <c r="P113" s="51"/>
      <c r="Q113" s="51"/>
      <c r="R113" s="49"/>
    </row>
    <row r="114" spans="2:20" ht="18" customHeight="1" x14ac:dyDescent="0.3">
      <c r="B114" t="s">
        <v>102</v>
      </c>
      <c r="G114" s="36" t="s">
        <v>63</v>
      </c>
      <c r="H114" s="37">
        <f>C64</f>
        <v>203.66845724346879</v>
      </c>
      <c r="I114" t="s">
        <v>28</v>
      </c>
      <c r="K114" s="53"/>
      <c r="L114" s="53"/>
      <c r="M114" s="26">
        <v>1</v>
      </c>
      <c r="N114" s="26">
        <v>2</v>
      </c>
      <c r="O114" s="26">
        <v>3</v>
      </c>
      <c r="P114" s="26">
        <v>4</v>
      </c>
      <c r="Q114" s="26">
        <v>5</v>
      </c>
      <c r="R114" s="26" t="s">
        <v>103</v>
      </c>
    </row>
    <row r="115" spans="2:20" ht="18" customHeight="1" x14ac:dyDescent="0.3">
      <c r="B115" t="s">
        <v>104</v>
      </c>
      <c r="G115" s="38" t="s">
        <v>105</v>
      </c>
      <c r="H115">
        <f>C64/10</f>
        <v>20.366845724346881</v>
      </c>
      <c r="I115" t="s">
        <v>28</v>
      </c>
      <c r="K115" s="27" t="s">
        <v>106</v>
      </c>
      <c r="L115" s="27" t="s">
        <v>28</v>
      </c>
      <c r="M115" s="26">
        <v>30</v>
      </c>
      <c r="N115" s="26">
        <v>35</v>
      </c>
      <c r="O115" s="26">
        <v>40</v>
      </c>
      <c r="P115" s="26">
        <v>45</v>
      </c>
      <c r="Q115" s="26">
        <v>50</v>
      </c>
      <c r="R115" s="28">
        <v>36.014729894708431</v>
      </c>
    </row>
    <row r="116" spans="2:20" ht="18" customHeight="1" x14ac:dyDescent="0.3">
      <c r="B116" s="4" t="s">
        <v>107</v>
      </c>
      <c r="G116" s="4" t="s">
        <v>108</v>
      </c>
      <c r="H116">
        <f>L24</f>
        <v>0.91673247220931708</v>
      </c>
      <c r="I116">
        <f>H116-0.15</f>
        <v>0.76673247220931706</v>
      </c>
      <c r="K116" s="29" t="s">
        <v>109</v>
      </c>
      <c r="L116" s="27" t="s">
        <v>110</v>
      </c>
      <c r="M116" s="26">
        <f>D122</f>
        <v>0.1</v>
      </c>
      <c r="N116" s="26">
        <f t="shared" ref="N116:Q118" si="7">M116</f>
        <v>0.1</v>
      </c>
      <c r="O116" s="26">
        <f t="shared" si="7"/>
        <v>0.1</v>
      </c>
      <c r="P116" s="26">
        <f t="shared" si="7"/>
        <v>0.1</v>
      </c>
      <c r="Q116" s="26">
        <f t="shared" si="7"/>
        <v>0.1</v>
      </c>
      <c r="R116" s="26">
        <f>P116</f>
        <v>0.1</v>
      </c>
    </row>
    <row r="117" spans="2:20" ht="15.75" customHeight="1" x14ac:dyDescent="0.3">
      <c r="B117" s="4" t="s">
        <v>111</v>
      </c>
      <c r="C117" s="13">
        <v>0.1</v>
      </c>
      <c r="D117" t="s">
        <v>112</v>
      </c>
      <c r="K117" s="27" t="s">
        <v>113</v>
      </c>
      <c r="L117" s="27" t="s">
        <v>110</v>
      </c>
      <c r="M117" s="26">
        <f>D121</f>
        <v>0.51</v>
      </c>
      <c r="N117" s="26">
        <f t="shared" si="7"/>
        <v>0.51</v>
      </c>
      <c r="O117" s="26">
        <f t="shared" si="7"/>
        <v>0.51</v>
      </c>
      <c r="P117" s="26">
        <f t="shared" si="7"/>
        <v>0.51</v>
      </c>
      <c r="Q117" s="26">
        <f t="shared" si="7"/>
        <v>0.51</v>
      </c>
      <c r="R117" s="26">
        <f>P117</f>
        <v>0.51</v>
      </c>
    </row>
    <row r="118" spans="2:20" ht="17.25" customHeight="1" x14ac:dyDescent="0.3">
      <c r="B118" s="4" t="s">
        <v>114</v>
      </c>
      <c r="C118" s="35">
        <f>P123</f>
        <v>0.97402825172239949</v>
      </c>
      <c r="D118" t="s">
        <v>112</v>
      </c>
      <c r="K118" s="27" t="s">
        <v>115</v>
      </c>
      <c r="L118" s="30" t="s">
        <v>116</v>
      </c>
      <c r="M118" s="26">
        <f>D126</f>
        <v>12</v>
      </c>
      <c r="N118" s="26">
        <f t="shared" si="7"/>
        <v>12</v>
      </c>
      <c r="O118" s="26">
        <f t="shared" si="7"/>
        <v>12</v>
      </c>
      <c r="P118" s="26">
        <f t="shared" si="7"/>
        <v>12</v>
      </c>
      <c r="Q118" s="26">
        <f t="shared" si="7"/>
        <v>12</v>
      </c>
      <c r="R118" s="26">
        <f>P118</f>
        <v>12</v>
      </c>
    </row>
    <row r="119" spans="2:20" ht="15.75" customHeight="1" x14ac:dyDescent="0.3">
      <c r="B119" s="9" t="s">
        <v>117</v>
      </c>
      <c r="K119" s="27" t="s">
        <v>118</v>
      </c>
      <c r="L119" s="27" t="s">
        <v>87</v>
      </c>
      <c r="M119" s="28">
        <f t="shared" ref="M119:R119" si="8">SQRT(2000*M115)</f>
        <v>244.94897427831782</v>
      </c>
      <c r="N119" s="28">
        <f t="shared" si="8"/>
        <v>264.57513110645908</v>
      </c>
      <c r="O119" s="28">
        <f t="shared" si="8"/>
        <v>282.84271247461902</v>
      </c>
      <c r="P119" s="28">
        <f t="shared" si="8"/>
        <v>300</v>
      </c>
      <c r="Q119" s="28">
        <f t="shared" si="8"/>
        <v>316.22776601683796</v>
      </c>
      <c r="R119" s="28">
        <f t="shared" si="8"/>
        <v>268.38304676230365</v>
      </c>
    </row>
    <row r="120" spans="2:20" ht="18" customHeight="1" x14ac:dyDescent="0.3">
      <c r="B120" s="4" t="s">
        <v>119</v>
      </c>
      <c r="C120">
        <f>P115</f>
        <v>45</v>
      </c>
      <c r="D120" t="s">
        <v>28</v>
      </c>
      <c r="K120" s="27" t="s">
        <v>120</v>
      </c>
      <c r="L120" s="27" t="s">
        <v>87</v>
      </c>
      <c r="M120" s="28">
        <f t="shared" ref="M120:R120" si="9">M119*M117</f>
        <v>124.9239768819421</v>
      </c>
      <c r="N120" s="28">
        <f t="shared" si="9"/>
        <v>134.93331686429414</v>
      </c>
      <c r="O120" s="28">
        <f t="shared" si="9"/>
        <v>144.24978336205569</v>
      </c>
      <c r="P120" s="28">
        <f t="shared" si="9"/>
        <v>153</v>
      </c>
      <c r="Q120" s="28">
        <f t="shared" si="9"/>
        <v>161.27616066858735</v>
      </c>
      <c r="R120" s="28">
        <f t="shared" si="9"/>
        <v>136.87535384877486</v>
      </c>
    </row>
    <row r="121" spans="2:20" ht="18" customHeight="1" x14ac:dyDescent="0.3">
      <c r="B121" t="s">
        <v>50</v>
      </c>
      <c r="D121" s="13">
        <v>0.51</v>
      </c>
      <c r="K121" s="27" t="s">
        <v>121</v>
      </c>
      <c r="L121" s="27" t="s">
        <v>28</v>
      </c>
      <c r="M121" s="28">
        <f t="shared" ref="M121:R121" si="10">M115*(1-M116)</f>
        <v>27</v>
      </c>
      <c r="N121" s="28">
        <f t="shared" si="10"/>
        <v>31.5</v>
      </c>
      <c r="O121" s="28">
        <f t="shared" si="10"/>
        <v>36</v>
      </c>
      <c r="P121" s="28">
        <f t="shared" si="10"/>
        <v>40.5</v>
      </c>
      <c r="Q121" s="28">
        <f t="shared" si="10"/>
        <v>45</v>
      </c>
      <c r="R121" s="28">
        <f t="shared" si="10"/>
        <v>32.413256905237589</v>
      </c>
    </row>
    <row r="122" spans="2:20" ht="15.75" customHeight="1" x14ac:dyDescent="0.3">
      <c r="B122" t="s">
        <v>83</v>
      </c>
      <c r="D122" s="13">
        <v>0.1</v>
      </c>
      <c r="K122" s="27" t="s">
        <v>122</v>
      </c>
      <c r="L122" s="27" t="s">
        <v>87</v>
      </c>
      <c r="M122" s="31">
        <f t="shared" ref="M122:R122" si="11">SQRT(2000*M121)</f>
        <v>232.37900077244501</v>
      </c>
      <c r="N122" s="31">
        <f t="shared" si="11"/>
        <v>250.99800796022265</v>
      </c>
      <c r="O122" s="31">
        <f t="shared" si="11"/>
        <v>268.32815729997475</v>
      </c>
      <c r="P122" s="31">
        <f t="shared" si="11"/>
        <v>284.60498941515414</v>
      </c>
      <c r="Q122" s="31">
        <f t="shared" si="11"/>
        <v>300</v>
      </c>
      <c r="R122" s="31">
        <f t="shared" si="11"/>
        <v>254.6105139433075</v>
      </c>
    </row>
    <row r="123" spans="2:20" ht="15.75" customHeight="1" x14ac:dyDescent="0.3">
      <c r="B123" t="s">
        <v>123</v>
      </c>
      <c r="K123" s="27" t="s">
        <v>124</v>
      </c>
      <c r="L123" s="27" t="s">
        <v>112</v>
      </c>
      <c r="M123" s="32">
        <f t="shared" ref="M123:R123" si="12">M120/(PI()*$I$3)</f>
        <v>0.79529073725834976</v>
      </c>
      <c r="N123" s="32">
        <f t="shared" si="12"/>
        <v>0.85901217466949664</v>
      </c>
      <c r="O123" s="32">
        <f t="shared" si="12"/>
        <v>0.9183226424802482</v>
      </c>
      <c r="P123" s="33">
        <f t="shared" si="12"/>
        <v>0.97402825172239949</v>
      </c>
      <c r="Q123" s="32">
        <f t="shared" si="12"/>
        <v>1.0267159269315356</v>
      </c>
      <c r="R123" s="32">
        <f t="shared" si="12"/>
        <v>0.87137556609939204</v>
      </c>
    </row>
    <row r="124" spans="2:20" ht="18" customHeight="1" x14ac:dyDescent="0.3">
      <c r="B124" s="4" t="s">
        <v>125</v>
      </c>
      <c r="C124">
        <f>SQRT((1-D122)*2000*C120)</f>
        <v>284.60498941515414</v>
      </c>
      <c r="D124" s="4" t="s">
        <v>87</v>
      </c>
      <c r="K124" s="27" t="s">
        <v>126</v>
      </c>
      <c r="L124" s="27" t="s">
        <v>87</v>
      </c>
      <c r="M124" s="34">
        <v>4.8191730460067382E-2</v>
      </c>
      <c r="N124" s="34">
        <v>4.8796739716054582E-2</v>
      </c>
      <c r="O124" s="34">
        <v>4.9411429543506351E-2</v>
      </c>
      <c r="P124" s="34">
        <v>5.0035989190486609E-2</v>
      </c>
      <c r="Q124" s="34">
        <v>5.0670612345084937E-2</v>
      </c>
      <c r="R124" s="34">
        <v>4.892069951167359E-2</v>
      </c>
    </row>
    <row r="125" spans="2:20" ht="15.75" customHeight="1" x14ac:dyDescent="0.3">
      <c r="B125" s="9" t="s">
        <v>127</v>
      </c>
      <c r="K125" s="27" t="s">
        <v>128</v>
      </c>
      <c r="L125" s="27" t="s">
        <v>95</v>
      </c>
      <c r="M125" s="28">
        <f t="shared" ref="M125:R125" si="13">($K$3*M124)/($C$106*M122*PI()*M123*SIN(RADIANS(M118)))*1000</f>
        <v>53.504776226834664</v>
      </c>
      <c r="N125" s="28">
        <f t="shared" si="13"/>
        <v>46.436988507276986</v>
      </c>
      <c r="O125" s="28">
        <f t="shared" si="13"/>
        <v>41.144208594521871</v>
      </c>
      <c r="P125" s="28">
        <f t="shared" si="13"/>
        <v>37.034907294501565</v>
      </c>
      <c r="Q125" s="28">
        <f t="shared" si="13"/>
        <v>33.7541700484934</v>
      </c>
      <c r="R125" s="28">
        <f t="shared" si="13"/>
        <v>45.243248700512922</v>
      </c>
    </row>
    <row r="126" spans="2:20" ht="18.75" customHeight="1" x14ac:dyDescent="0.3">
      <c r="B126" t="s">
        <v>129</v>
      </c>
      <c r="D126" s="13">
        <v>12</v>
      </c>
      <c r="K126" s="27" t="s">
        <v>130</v>
      </c>
      <c r="L126" s="27" t="s">
        <v>110</v>
      </c>
      <c r="M126" s="28">
        <f t="shared" ref="M126:R126" si="14">($H$114*(1+0.0275))/(1.1*M115)</f>
        <v>6.3414951459898239</v>
      </c>
      <c r="N126" s="28">
        <f t="shared" si="14"/>
        <v>5.4355672679912779</v>
      </c>
      <c r="O126" s="28">
        <f t="shared" si="14"/>
        <v>4.7561213594923677</v>
      </c>
      <c r="P126" s="28">
        <f t="shared" si="14"/>
        <v>4.2276634306598817</v>
      </c>
      <c r="Q126" s="28">
        <f t="shared" si="14"/>
        <v>3.8048970875938939</v>
      </c>
      <c r="R126" s="28">
        <f t="shared" si="14"/>
        <v>5.2824179144446939</v>
      </c>
    </row>
    <row r="127" spans="2:20" ht="18" customHeight="1" x14ac:dyDescent="0.3">
      <c r="B127" s="4" t="s">
        <v>94</v>
      </c>
      <c r="C127" s="37">
        <f>P125</f>
        <v>37.034907294501565</v>
      </c>
      <c r="D127" t="s">
        <v>95</v>
      </c>
      <c r="E127" s="39"/>
    </row>
    <row r="128" spans="2:20" x14ac:dyDescent="0.3">
      <c r="N128" s="24"/>
      <c r="O128" s="24" t="s">
        <v>97</v>
      </c>
      <c r="P128" s="24"/>
      <c r="Q128" s="24"/>
      <c r="R128" s="25"/>
      <c r="S128" s="24"/>
      <c r="T128" s="24"/>
    </row>
    <row r="129" spans="2:20" x14ac:dyDescent="0.3">
      <c r="B129" t="s">
        <v>131</v>
      </c>
      <c r="N129" s="52" t="s">
        <v>99</v>
      </c>
      <c r="O129" s="52" t="s">
        <v>100</v>
      </c>
      <c r="P129" s="50" t="s">
        <v>101</v>
      </c>
      <c r="Q129" s="51"/>
      <c r="R129" s="51"/>
      <c r="S129" s="51"/>
      <c r="T129" s="49"/>
    </row>
    <row r="130" spans="2:20" ht="18" customHeight="1" x14ac:dyDescent="0.3">
      <c r="B130" s="4" t="s">
        <v>132</v>
      </c>
      <c r="C130" s="37">
        <f>C127+1+2</f>
        <v>40.034907294501565</v>
      </c>
      <c r="D130" t="s">
        <v>95</v>
      </c>
      <c r="N130" s="53"/>
      <c r="O130" s="53"/>
      <c r="P130" s="26">
        <v>1</v>
      </c>
      <c r="Q130" s="26">
        <v>1.05</v>
      </c>
      <c r="R130" s="26">
        <v>1.1000000000000001</v>
      </c>
      <c r="S130" s="26">
        <v>1.2</v>
      </c>
      <c r="T130" s="26" t="s">
        <v>133</v>
      </c>
    </row>
    <row r="131" spans="2:20" ht="15.6" customHeight="1" x14ac:dyDescent="0.3">
      <c r="N131" s="27" t="s">
        <v>134</v>
      </c>
      <c r="O131" s="27" t="s">
        <v>112</v>
      </c>
      <c r="P131" s="33">
        <f>$C$118</f>
        <v>0.97402825172239949</v>
      </c>
      <c r="Q131" s="33">
        <f>$C$118*Q130</f>
        <v>1.0227296643085195</v>
      </c>
      <c r="R131" s="33">
        <f>$C$118*R130</f>
        <v>1.0714310768946396</v>
      </c>
      <c r="S131" s="33">
        <f>$C$118*S130</f>
        <v>1.1688339020668794</v>
      </c>
      <c r="T131" s="26">
        <v>1.0131502019663809</v>
      </c>
    </row>
    <row r="132" spans="2:20" ht="15.6" customHeight="1" x14ac:dyDescent="0.3">
      <c r="B132" t="s">
        <v>135</v>
      </c>
      <c r="N132" s="29" t="s">
        <v>136</v>
      </c>
      <c r="O132" s="27" t="s">
        <v>110</v>
      </c>
      <c r="P132" s="26">
        <f>$D$122</f>
        <v>0.1</v>
      </c>
      <c r="Q132" s="26">
        <f t="shared" ref="Q132:T134" si="15">P132</f>
        <v>0.1</v>
      </c>
      <c r="R132" s="26">
        <f t="shared" si="15"/>
        <v>0.1</v>
      </c>
      <c r="S132" s="26">
        <f t="shared" si="15"/>
        <v>0.1</v>
      </c>
      <c r="T132" s="26">
        <f t="shared" si="15"/>
        <v>0.1</v>
      </c>
    </row>
    <row r="133" spans="2:20" ht="18" customHeight="1" x14ac:dyDescent="0.3">
      <c r="B133" s="23" t="s">
        <v>137</v>
      </c>
      <c r="C133">
        <f>P123*1000-C130</f>
        <v>933.99334442789791</v>
      </c>
      <c r="D133" t="s">
        <v>95</v>
      </c>
      <c r="N133" s="27" t="s">
        <v>113</v>
      </c>
      <c r="O133" s="27" t="s">
        <v>110</v>
      </c>
      <c r="P133" s="26">
        <f>$D$121</f>
        <v>0.51</v>
      </c>
      <c r="Q133" s="26">
        <f t="shared" si="15"/>
        <v>0.51</v>
      </c>
      <c r="R133" s="26">
        <f t="shared" si="15"/>
        <v>0.51</v>
      </c>
      <c r="S133" s="26">
        <f t="shared" si="15"/>
        <v>0.51</v>
      </c>
      <c r="T133" s="26">
        <f t="shared" si="15"/>
        <v>0.51</v>
      </c>
    </row>
    <row r="134" spans="2:20" ht="15.6" customHeight="1" x14ac:dyDescent="0.3">
      <c r="N134" s="27" t="s">
        <v>115</v>
      </c>
      <c r="O134" s="30" t="s">
        <v>116</v>
      </c>
      <c r="P134" s="26">
        <f>$D$126</f>
        <v>12</v>
      </c>
      <c r="Q134" s="26">
        <f t="shared" si="15"/>
        <v>12</v>
      </c>
      <c r="R134" s="26">
        <f t="shared" si="15"/>
        <v>12</v>
      </c>
      <c r="S134" s="26">
        <f t="shared" si="15"/>
        <v>12</v>
      </c>
      <c r="T134" s="26">
        <f t="shared" si="15"/>
        <v>12</v>
      </c>
    </row>
    <row r="135" spans="2:20" x14ac:dyDescent="0.3">
      <c r="B135" t="s">
        <v>138</v>
      </c>
      <c r="N135" s="27" t="s">
        <v>120</v>
      </c>
      <c r="O135" s="27" t="s">
        <v>87</v>
      </c>
      <c r="P135" s="28">
        <f>PI()*$I$3*P131</f>
        <v>153</v>
      </c>
      <c r="Q135" s="28">
        <f>PI()*$I$3*Q131</f>
        <v>160.65</v>
      </c>
      <c r="R135" s="28">
        <f>PI()*$I$3*R131</f>
        <v>168.30000000000004</v>
      </c>
      <c r="S135" s="28">
        <f>PI()*$I$3*S131</f>
        <v>183.60000000000002</v>
      </c>
      <c r="T135" s="28">
        <f>PI()*$I$3*T131</f>
        <v>159.14526157402989</v>
      </c>
    </row>
    <row r="136" spans="2:20" ht="16.8" customHeight="1" x14ac:dyDescent="0.3">
      <c r="B136" t="s">
        <v>139</v>
      </c>
      <c r="N136" s="27" t="s">
        <v>140</v>
      </c>
      <c r="O136" s="27" t="s">
        <v>28</v>
      </c>
      <c r="P136" s="28">
        <f>0.0005*(P135/P133)^2</f>
        <v>45</v>
      </c>
      <c r="Q136" s="28">
        <f>0.0005*(Q135/Q133)^2</f>
        <v>49.612500000000004</v>
      </c>
      <c r="R136" s="28">
        <f>0.0005*(R135/R133)^2</f>
        <v>54.450000000000024</v>
      </c>
      <c r="S136" s="28">
        <f>0.0005*(S135/S133)^2</f>
        <v>64.800000000000026</v>
      </c>
      <c r="T136" s="28">
        <f>0.0005*(T135/T133)^2</f>
        <v>48.687455366140696</v>
      </c>
    </row>
    <row r="137" spans="2:20" ht="16.8" customHeight="1" x14ac:dyDescent="0.3">
      <c r="B137" s="41" t="s">
        <v>141</v>
      </c>
      <c r="C137" s="40">
        <v>2</v>
      </c>
      <c r="D137" t="s">
        <v>142</v>
      </c>
      <c r="E137" s="4" t="s">
        <v>143</v>
      </c>
      <c r="F137">
        <f>SQRT(2000*C137)</f>
        <v>63.245553203367585</v>
      </c>
      <c r="N137" s="27" t="s">
        <v>144</v>
      </c>
      <c r="O137" s="27" t="s">
        <v>28</v>
      </c>
      <c r="P137" s="28">
        <f>P136*(1-P132)</f>
        <v>40.5</v>
      </c>
      <c r="Q137" s="28">
        <f>Q136*(1-Q132)</f>
        <v>44.651250000000005</v>
      </c>
      <c r="R137" s="28">
        <f>R136*(1-R132)</f>
        <v>49.005000000000024</v>
      </c>
      <c r="S137" s="28">
        <f>S136*(1-S132)</f>
        <v>58.320000000000022</v>
      </c>
      <c r="T137" s="28">
        <f>T136*(1-T132)</f>
        <v>43.818709829526625</v>
      </c>
    </row>
    <row r="138" spans="2:20" ht="15.6" customHeight="1" x14ac:dyDescent="0.3">
      <c r="B138" s="4" t="s">
        <v>145</v>
      </c>
      <c r="C138">
        <f>K3</f>
        <v>130</v>
      </c>
      <c r="D138" t="s">
        <v>34</v>
      </c>
      <c r="N138" s="27" t="s">
        <v>122</v>
      </c>
      <c r="O138" s="27" t="s">
        <v>87</v>
      </c>
      <c r="P138" s="31">
        <f>SQRT(2000*P137)</f>
        <v>284.60498941515414</v>
      </c>
      <c r="Q138" s="31">
        <f>SQRT(2000*Q137)</f>
        <v>298.83523888591185</v>
      </c>
      <c r="R138" s="31">
        <f>SQRT(2000*R137)</f>
        <v>313.06548835666962</v>
      </c>
      <c r="S138" s="31">
        <f>SQRT(2000*S137)</f>
        <v>341.52598729818504</v>
      </c>
      <c r="T138" s="31">
        <f>SQRT(2000*T137)</f>
        <v>296.03617964541638</v>
      </c>
    </row>
    <row r="139" spans="2:20" ht="16.2" customHeight="1" thickBot="1" x14ac:dyDescent="0.35">
      <c r="B139" s="4" t="s">
        <v>146</v>
      </c>
      <c r="C139">
        <f>C138*N14/F137</f>
        <v>0.16038773742201126</v>
      </c>
      <c r="D139" t="s">
        <v>147</v>
      </c>
      <c r="F139" s="47" t="s">
        <v>148</v>
      </c>
      <c r="N139" s="27" t="s">
        <v>126</v>
      </c>
      <c r="O139" s="27" t="s">
        <v>87</v>
      </c>
      <c r="P139" s="34">
        <v>6.9043806134677255E-2</v>
      </c>
      <c r="Q139" s="34">
        <v>6.8198966381691761E-2</v>
      </c>
      <c r="R139" s="34">
        <v>6.7327000917092275E-2</v>
      </c>
      <c r="S139" s="34">
        <v>6.5508532198735106E-2</v>
      </c>
      <c r="T139" s="34">
        <v>6.8367340967671567E-2</v>
      </c>
    </row>
    <row r="140" spans="2:20" ht="32.4" customHeight="1" thickBot="1" x14ac:dyDescent="0.35">
      <c r="B140" t="s">
        <v>149</v>
      </c>
      <c r="E140" s="43" t="s">
        <v>150</v>
      </c>
      <c r="F140" s="42">
        <v>5.1814984244751283E-2</v>
      </c>
      <c r="G140" s="44" t="s">
        <v>151</v>
      </c>
      <c r="H140" s="45">
        <f>(C133/1000+F140)*F140</f>
        <v>5.1079643018517917E-2</v>
      </c>
      <c r="I140" s="46" t="s">
        <v>152</v>
      </c>
      <c r="J140" s="45">
        <f>C139/3.14</f>
        <v>5.1078897268156453E-2</v>
      </c>
      <c r="K140" t="s">
        <v>153</v>
      </c>
      <c r="L140" s="47">
        <f>(H140-J140)*1000</f>
        <v>7.4575036146384832E-4</v>
      </c>
      <c r="N140" s="27" t="s">
        <v>128</v>
      </c>
      <c r="O140" s="27" t="s">
        <v>95</v>
      </c>
      <c r="P140" s="28">
        <f>($K$3*P139)/($C$106*P138*PI()*P131*SIN(RADIANS(P134)))*1000</f>
        <v>51.103835475755545</v>
      </c>
      <c r="Q140" s="28">
        <f>($K$3*Q139)/($C$106*Q138*PI()*Q131*SIN(RADIANS(Q134)))*1000</f>
        <v>45.785500528960817</v>
      </c>
      <c r="R140" s="28">
        <f>($K$3*R139)/($C$106*R138*PI()*R131*SIN(RADIANS(R134)))*1000</f>
        <v>41.184393122126693</v>
      </c>
      <c r="S140" s="28">
        <f>($K$3*S139)/($C$106*S138*PI()*S131*SIN(RADIANS(S134)))*1000</f>
        <v>33.67163060792759</v>
      </c>
      <c r="T140" s="28">
        <f>($K$3*T139)/($C$106*T138*PI()*T131*SIN(RADIANS(T134)))*1000</f>
        <v>46.770595314415594</v>
      </c>
    </row>
    <row r="141" spans="2:20" ht="15.6" customHeight="1" x14ac:dyDescent="0.3">
      <c r="B141" t="s">
        <v>154</v>
      </c>
      <c r="N141" s="27" t="s">
        <v>155</v>
      </c>
      <c r="O141" s="27" t="s">
        <v>95</v>
      </c>
      <c r="P141" s="28">
        <f>P131*1000-P140</f>
        <v>922.92441624664389</v>
      </c>
      <c r="Q141" s="28">
        <f>Q131*1000-Q140</f>
        <v>976.94416377955872</v>
      </c>
      <c r="R141" s="28">
        <f>R131*1000-R140</f>
        <v>1030.2466837725128</v>
      </c>
      <c r="S141" s="28">
        <f>S131*1000-S140</f>
        <v>1135.1622714589516</v>
      </c>
      <c r="T141" s="28">
        <f>T131*1000-T140</f>
        <v>966.37960665196533</v>
      </c>
    </row>
    <row r="142" spans="2:20" ht="15.6" customHeight="1" x14ac:dyDescent="0.3">
      <c r="B142" s="23" t="s">
        <v>150</v>
      </c>
      <c r="C142">
        <f>F140</f>
        <v>5.1814984244751283E-2</v>
      </c>
      <c r="D142" t="s">
        <v>112</v>
      </c>
      <c r="N142" s="4" t="str">
        <f>B133</f>
        <v>dk=</v>
      </c>
      <c r="O142" s="37">
        <f>C133</f>
        <v>933.99334442789791</v>
      </c>
      <c r="T142">
        <f>(O142-T141)*1000</f>
        <v>-32386.262224067425</v>
      </c>
    </row>
    <row r="143" spans="2:20" x14ac:dyDescent="0.3">
      <c r="B143" t="s">
        <v>156</v>
      </c>
    </row>
    <row r="144" spans="2:20" ht="15.6" customHeight="1" x14ac:dyDescent="0.3">
      <c r="B144" s="4" t="s">
        <v>157</v>
      </c>
    </row>
  </sheetData>
  <mergeCells count="7">
    <mergeCell ref="B2:C2"/>
    <mergeCell ref="M113:R113"/>
    <mergeCell ref="K113:K114"/>
    <mergeCell ref="P129:T129"/>
    <mergeCell ref="L113:L114"/>
    <mergeCell ref="N129:N130"/>
    <mergeCell ref="O129:O130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Дэн</dc:creator>
  <cp:lastModifiedBy>Данил</cp:lastModifiedBy>
  <dcterms:created xsi:type="dcterms:W3CDTF">2015-06-05T18:19:34Z</dcterms:created>
  <dcterms:modified xsi:type="dcterms:W3CDTF">2025-05-13T10:57:22Z</dcterms:modified>
</cp:coreProperties>
</file>