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lente convergente e divergente" sheetId="1" r:id="rId1"/>
    <sheet name="Regressione lineare (3)" sheetId="4" r:id="rId2"/>
    <sheet name="Foglio2" sheetId="2" r:id="rId3"/>
    <sheet name="Foglio3" sheetId="3" r:id="rId4"/>
  </sheets>
  <calcPr calcId="125725"/>
</workbook>
</file>

<file path=xl/calcChain.xml><?xml version="1.0" encoding="utf-8"?>
<calcChain xmlns="http://schemas.openxmlformats.org/spreadsheetml/2006/main">
  <c r="P33" i="1"/>
  <c r="O33"/>
  <c r="M33"/>
  <c r="L33"/>
  <c r="M30"/>
  <c r="M31"/>
  <c r="M29"/>
  <c r="L30"/>
  <c r="L31"/>
  <c r="L29"/>
  <c r="T19"/>
  <c r="T20"/>
  <c r="T18"/>
  <c r="M24"/>
  <c r="M25"/>
  <c r="M23"/>
  <c r="R19"/>
  <c r="R20"/>
  <c r="R18"/>
  <c r="H2"/>
  <c r="H3"/>
  <c r="H4"/>
  <c r="H5"/>
  <c r="H6"/>
  <c r="H7"/>
  <c r="H8"/>
  <c r="H9"/>
  <c r="H10"/>
  <c r="H11"/>
  <c r="H12"/>
  <c r="H13"/>
  <c r="Q19"/>
  <c r="Q20"/>
  <c r="Q18"/>
  <c r="S19"/>
  <c r="S20"/>
  <c r="S18"/>
  <c r="L24"/>
  <c r="L25"/>
  <c r="L23"/>
  <c r="H19"/>
  <c r="H20"/>
  <c r="H18"/>
  <c r="O19"/>
  <c r="O20"/>
  <c r="N19"/>
  <c r="N20"/>
  <c r="N18"/>
  <c r="O18" s="1"/>
  <c r="Q3"/>
  <c r="Q4"/>
  <c r="Q5"/>
  <c r="Q6"/>
  <c r="Q7"/>
  <c r="Q8"/>
  <c r="Q9"/>
  <c r="Q10"/>
  <c r="Q11"/>
  <c r="Q12"/>
  <c r="Q13"/>
  <c r="K3"/>
  <c r="K4"/>
  <c r="K5"/>
  <c r="P5" s="1"/>
  <c r="K6"/>
  <c r="K7"/>
  <c r="P7" s="1"/>
  <c r="K8"/>
  <c r="K9"/>
  <c r="N9" s="1"/>
  <c r="K10"/>
  <c r="K11"/>
  <c r="N11" s="1"/>
  <c r="K12"/>
  <c r="K13"/>
  <c r="P13" s="1"/>
  <c r="K2"/>
  <c r="P20"/>
  <c r="F19"/>
  <c r="F20"/>
  <c r="F18"/>
  <c r="P19"/>
  <c r="P18"/>
  <c r="O3"/>
  <c r="O4"/>
  <c r="O5"/>
  <c r="O6"/>
  <c r="O7"/>
  <c r="O9"/>
  <c r="O10"/>
  <c r="O11"/>
  <c r="O12"/>
  <c r="O13"/>
  <c r="I19"/>
  <c r="I20"/>
  <c r="I18"/>
  <c r="G19"/>
  <c r="G20"/>
  <c r="G18"/>
  <c r="D6" i="2"/>
  <c r="C6"/>
  <c r="D5"/>
  <c r="C5"/>
  <c r="D2"/>
  <c r="D1"/>
  <c r="C2"/>
  <c r="C1"/>
  <c r="I13" i="1"/>
  <c r="J13" s="1"/>
  <c r="G13"/>
  <c r="D12"/>
  <c r="P12" s="1"/>
  <c r="P6"/>
  <c r="N8"/>
  <c r="N10"/>
  <c r="N12"/>
  <c r="D11"/>
  <c r="I11" s="1"/>
  <c r="J11" s="1"/>
  <c r="D10"/>
  <c r="P10" s="1"/>
  <c r="E8"/>
  <c r="O8" s="1"/>
  <c r="D8"/>
  <c r="P8" s="1"/>
  <c r="D9"/>
  <c r="P9" s="1"/>
  <c r="O2"/>
  <c r="I5"/>
  <c r="J5" s="1"/>
  <c r="I6"/>
  <c r="J6" s="1"/>
  <c r="I7"/>
  <c r="J7" s="1"/>
  <c r="I8"/>
  <c r="J8" s="1"/>
  <c r="I9"/>
  <c r="J9" s="1"/>
  <c r="I10"/>
  <c r="J10" s="1"/>
  <c r="I12"/>
  <c r="J12" s="1"/>
  <c r="B60" i="4"/>
  <c r="E60" s="1"/>
  <c r="B59"/>
  <c r="E59" s="1"/>
  <c r="B58"/>
  <c r="E58" s="1"/>
  <c r="B57"/>
  <c r="E57" s="1"/>
  <c r="B56"/>
  <c r="E56" s="1"/>
  <c r="B55"/>
  <c r="E55" s="1"/>
  <c r="B54"/>
  <c r="E54" s="1"/>
  <c r="B53"/>
  <c r="E53" s="1"/>
  <c r="B52"/>
  <c r="E52" s="1"/>
  <c r="B51"/>
  <c r="E51" s="1"/>
  <c r="B50"/>
  <c r="E50" s="1"/>
  <c r="B49"/>
  <c r="E49" s="1"/>
  <c r="B48"/>
  <c r="E48" s="1"/>
  <c r="B47"/>
  <c r="E47" s="1"/>
  <c r="B46"/>
  <c r="E46" s="1"/>
  <c r="B45"/>
  <c r="E45" s="1"/>
  <c r="B44"/>
  <c r="E44" s="1"/>
  <c r="B43"/>
  <c r="E43" s="1"/>
  <c r="B42"/>
  <c r="E42" s="1"/>
  <c r="B41"/>
  <c r="E41" s="1"/>
  <c r="B40"/>
  <c r="E40" s="1"/>
  <c r="B39"/>
  <c r="E39" s="1"/>
  <c r="B38"/>
  <c r="E38" s="1"/>
  <c r="B37"/>
  <c r="E37" s="1"/>
  <c r="B36"/>
  <c r="E36" s="1"/>
  <c r="B35"/>
  <c r="E35" s="1"/>
  <c r="B34"/>
  <c r="E34" s="1"/>
  <c r="B33"/>
  <c r="E33" s="1"/>
  <c r="E32"/>
  <c r="I32" s="1"/>
  <c r="B32"/>
  <c r="E31"/>
  <c r="H31" s="1"/>
  <c r="B31"/>
  <c r="E30"/>
  <c r="H30" s="1"/>
  <c r="B30"/>
  <c r="E29"/>
  <c r="I29" s="1"/>
  <c r="B29"/>
  <c r="E28"/>
  <c r="G28" s="1"/>
  <c r="B28"/>
  <c r="E27"/>
  <c r="G27" s="1"/>
  <c r="B27"/>
  <c r="E26"/>
  <c r="G26" s="1"/>
  <c r="B26"/>
  <c r="E25"/>
  <c r="I25" s="1"/>
  <c r="B25"/>
  <c r="B24"/>
  <c r="E24" s="1"/>
  <c r="B23"/>
  <c r="E23" s="1"/>
  <c r="B22"/>
  <c r="E22" s="1"/>
  <c r="B21"/>
  <c r="E21" s="1"/>
  <c r="B20"/>
  <c r="E20" s="1"/>
  <c r="B19"/>
  <c r="E19" s="1"/>
  <c r="E18"/>
  <c r="B18"/>
  <c r="G17"/>
  <c r="E17"/>
  <c r="B17"/>
  <c r="B16"/>
  <c r="E16" s="1"/>
  <c r="F16" s="1"/>
  <c r="B15"/>
  <c r="E15" s="1"/>
  <c r="F15" s="1"/>
  <c r="F14"/>
  <c r="B14"/>
  <c r="E14" s="1"/>
  <c r="B13"/>
  <c r="E13" s="1"/>
  <c r="F13" s="1"/>
  <c r="F12"/>
  <c r="B12"/>
  <c r="E12" s="1"/>
  <c r="B11"/>
  <c r="E11" s="1"/>
  <c r="F11" s="1"/>
  <c r="G10"/>
  <c r="E10"/>
  <c r="B10"/>
  <c r="B9"/>
  <c r="E9" s="1"/>
  <c r="F9" s="1"/>
  <c r="F8"/>
  <c r="B8"/>
  <c r="E8" s="1"/>
  <c r="B7"/>
  <c r="E7" s="1"/>
  <c r="F7" s="1"/>
  <c r="F6"/>
  <c r="B6"/>
  <c r="E6" s="1"/>
  <c r="B5"/>
  <c r="E5" s="1"/>
  <c r="F5" s="1"/>
  <c r="F4"/>
  <c r="B4"/>
  <c r="E4" s="1"/>
  <c r="B3"/>
  <c r="E3" s="1"/>
  <c r="F3" s="1"/>
  <c r="F2"/>
  <c r="B2"/>
  <c r="E2" s="1"/>
  <c r="N13" i="1" l="1"/>
  <c r="N7"/>
  <c r="N5"/>
  <c r="P11"/>
  <c r="N6"/>
  <c r="I2" i="4"/>
  <c r="G2"/>
  <c r="I4"/>
  <c r="G4"/>
  <c r="I6"/>
  <c r="G6"/>
  <c r="I8"/>
  <c r="G8"/>
  <c r="H10"/>
  <c r="F10"/>
  <c r="I12"/>
  <c r="G12"/>
  <c r="I14"/>
  <c r="G14"/>
  <c r="H17"/>
  <c r="F17"/>
  <c r="G18"/>
  <c r="H18"/>
  <c r="F18"/>
  <c r="I18"/>
  <c r="H20"/>
  <c r="I20"/>
  <c r="G20"/>
  <c r="F20"/>
  <c r="H22"/>
  <c r="I22"/>
  <c r="G22"/>
  <c r="F22"/>
  <c r="F24"/>
  <c r="I24"/>
  <c r="G24"/>
  <c r="H24"/>
  <c r="H34"/>
  <c r="F34"/>
  <c r="I34"/>
  <c r="G34"/>
  <c r="H36"/>
  <c r="F36"/>
  <c r="I36"/>
  <c r="G36"/>
  <c r="H38"/>
  <c r="F38"/>
  <c r="I38"/>
  <c r="G38"/>
  <c r="H40"/>
  <c r="F40"/>
  <c r="I40"/>
  <c r="G40"/>
  <c r="H42"/>
  <c r="F42"/>
  <c r="I42"/>
  <c r="G42"/>
  <c r="H44"/>
  <c r="F44"/>
  <c r="I44"/>
  <c r="G44"/>
  <c r="H46"/>
  <c r="F46"/>
  <c r="I46"/>
  <c r="G46"/>
  <c r="H48"/>
  <c r="F48"/>
  <c r="I48"/>
  <c r="G48"/>
  <c r="H50"/>
  <c r="F50"/>
  <c r="I50"/>
  <c r="G50"/>
  <c r="H52"/>
  <c r="F52"/>
  <c r="I52"/>
  <c r="G52"/>
  <c r="H54"/>
  <c r="F54"/>
  <c r="I54"/>
  <c r="G54"/>
  <c r="H56"/>
  <c r="F56"/>
  <c r="I56"/>
  <c r="G56"/>
  <c r="H58"/>
  <c r="F58"/>
  <c r="I58"/>
  <c r="G58"/>
  <c r="H60"/>
  <c r="F60"/>
  <c r="I60"/>
  <c r="G60"/>
  <c r="H2"/>
  <c r="H4"/>
  <c r="H6"/>
  <c r="H8"/>
  <c r="I10"/>
  <c r="H12"/>
  <c r="H14"/>
  <c r="N15"/>
  <c r="I17"/>
  <c r="I3"/>
  <c r="G3"/>
  <c r="I5"/>
  <c r="G5"/>
  <c r="I7"/>
  <c r="G7"/>
  <c r="I9"/>
  <c r="G9"/>
  <c r="I11"/>
  <c r="G11"/>
  <c r="I13"/>
  <c r="G13"/>
  <c r="I15"/>
  <c r="G15"/>
  <c r="I16"/>
  <c r="G16"/>
  <c r="H19"/>
  <c r="I19"/>
  <c r="G19"/>
  <c r="F19"/>
  <c r="F21"/>
  <c r="I21"/>
  <c r="G21"/>
  <c r="H21"/>
  <c r="F23"/>
  <c r="I23"/>
  <c r="G23"/>
  <c r="H23"/>
  <c r="H33"/>
  <c r="F33"/>
  <c r="I33"/>
  <c r="G33"/>
  <c r="H35"/>
  <c r="F35"/>
  <c r="I35"/>
  <c r="G35"/>
  <c r="H37"/>
  <c r="F37"/>
  <c r="I37"/>
  <c r="G37"/>
  <c r="H39"/>
  <c r="F39"/>
  <c r="I39"/>
  <c r="G39"/>
  <c r="H41"/>
  <c r="F41"/>
  <c r="I41"/>
  <c r="G41"/>
  <c r="H43"/>
  <c r="F43"/>
  <c r="I43"/>
  <c r="G43"/>
  <c r="H45"/>
  <c r="F45"/>
  <c r="I45"/>
  <c r="G45"/>
  <c r="H47"/>
  <c r="F47"/>
  <c r="I47"/>
  <c r="G47"/>
  <c r="H49"/>
  <c r="F49"/>
  <c r="I49"/>
  <c r="G49"/>
  <c r="H51"/>
  <c r="F51"/>
  <c r="I51"/>
  <c r="G51"/>
  <c r="H53"/>
  <c r="F53"/>
  <c r="I53"/>
  <c r="G53"/>
  <c r="H55"/>
  <c r="F55"/>
  <c r="I55"/>
  <c r="G55"/>
  <c r="H57"/>
  <c r="F57"/>
  <c r="I57"/>
  <c r="G57"/>
  <c r="H59"/>
  <c r="F59"/>
  <c r="I59"/>
  <c r="G59"/>
  <c r="O15"/>
  <c r="H3"/>
  <c r="H5"/>
  <c r="H7"/>
  <c r="H9"/>
  <c r="H11"/>
  <c r="H13"/>
  <c r="H15"/>
  <c r="H16"/>
  <c r="G25"/>
  <c r="I26"/>
  <c r="I27"/>
  <c r="I28"/>
  <c r="G29"/>
  <c r="G30"/>
  <c r="I30"/>
  <c r="G31"/>
  <c r="I31"/>
  <c r="F25"/>
  <c r="H25"/>
  <c r="F26"/>
  <c r="H26"/>
  <c r="F27"/>
  <c r="H27"/>
  <c r="F28"/>
  <c r="H28"/>
  <c r="F29"/>
  <c r="H29"/>
  <c r="F30"/>
  <c r="F31"/>
  <c r="F32"/>
  <c r="H32"/>
  <c r="G32"/>
  <c r="S15" l="1"/>
  <c r="R15"/>
  <c r="M19" s="1"/>
  <c r="Q15"/>
  <c r="L16"/>
  <c r="P18" s="1"/>
  <c r="P15"/>
  <c r="M18" s="1"/>
  <c r="R78" l="1"/>
  <c r="S78" s="1"/>
  <c r="R77"/>
  <c r="S77" s="1"/>
  <c r="R76"/>
  <c r="S76" s="1"/>
  <c r="R75"/>
  <c r="S75" s="1"/>
  <c r="R74"/>
  <c r="S74" s="1"/>
  <c r="R73"/>
  <c r="S73" s="1"/>
  <c r="R72"/>
  <c r="S72" s="1"/>
  <c r="R71"/>
  <c r="S71" s="1"/>
  <c r="R70"/>
  <c r="S70" s="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61"/>
  <c r="S61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R41"/>
  <c r="S41" s="1"/>
  <c r="R40"/>
  <c r="S40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L24"/>
  <c r="R22"/>
  <c r="S22" s="1"/>
  <c r="R21"/>
  <c r="S21" s="1"/>
  <c r="R31"/>
  <c r="S31" s="1"/>
  <c r="R30"/>
  <c r="S30" s="1"/>
  <c r="R29"/>
  <c r="S29" s="1"/>
  <c r="R28"/>
  <c r="S28" s="1"/>
  <c r="R27"/>
  <c r="S27" s="1"/>
  <c r="R26"/>
  <c r="S26" s="1"/>
  <c r="R25"/>
  <c r="S25" s="1"/>
  <c r="R24"/>
  <c r="S24" s="1"/>
  <c r="Q10"/>
  <c r="R23"/>
  <c r="S23" s="1"/>
  <c r="R20"/>
  <c r="S20" s="1"/>
  <c r="Q9"/>
  <c r="P19"/>
  <c r="O32" l="1"/>
  <c r="W18" s="1"/>
  <c r="D3" i="1" l="1"/>
  <c r="D4"/>
  <c r="G3"/>
  <c r="G5"/>
  <c r="G6"/>
  <c r="G7"/>
  <c r="G8"/>
  <c r="G9"/>
  <c r="G10"/>
  <c r="G11"/>
  <c r="G12"/>
  <c r="D2"/>
  <c r="I3" l="1"/>
  <c r="J3" s="1"/>
  <c r="P3"/>
  <c r="N3"/>
  <c r="P4"/>
  <c r="N4"/>
  <c r="I2"/>
  <c r="J2" s="1"/>
  <c r="N2"/>
  <c r="P2"/>
  <c r="Q2" s="1"/>
  <c r="G4"/>
  <c r="I4"/>
  <c r="J4" s="1"/>
  <c r="G2"/>
  <c r="S2" l="1"/>
  <c r="K20" l="1"/>
  <c r="K19"/>
  <c r="K18"/>
</calcChain>
</file>

<file path=xl/sharedStrings.xml><?xml version="1.0" encoding="utf-8"?>
<sst xmlns="http://schemas.openxmlformats.org/spreadsheetml/2006/main" count="77" uniqueCount="75">
  <si>
    <t>q (media)</t>
  </si>
  <si>
    <t>h1</t>
  </si>
  <si>
    <t>h</t>
  </si>
  <si>
    <t>p (cm)</t>
  </si>
  <si>
    <t>q1 (cm)</t>
  </si>
  <si>
    <t>q2 (cm)</t>
  </si>
  <si>
    <t>h1 (cm)</t>
  </si>
  <si>
    <t>h (cm)</t>
  </si>
  <si>
    <t>m con q e p</t>
  </si>
  <si>
    <t>m con h e h1</t>
  </si>
  <si>
    <t>Pi</t>
  </si>
  <si>
    <t>delta Pi a posteriori</t>
  </si>
  <si>
    <t>delta Pi</t>
  </si>
  <si>
    <t>1/Ti</t>
  </si>
  <si>
    <t>wi</t>
  </si>
  <si>
    <t>wi*(1/Ti)^2</t>
  </si>
  <si>
    <t>wi*(1/Ti)</t>
  </si>
  <si>
    <t>wi*Pi</t>
  </si>
  <si>
    <t>wi*(1/Ti)*Pi</t>
  </si>
  <si>
    <t>retta</t>
  </si>
  <si>
    <t>fattore di correzione</t>
  </si>
  <si>
    <t>somma</t>
  </si>
  <si>
    <t>deta W</t>
  </si>
  <si>
    <t>intercetta</t>
  </si>
  <si>
    <t>b</t>
  </si>
  <si>
    <t>delta b</t>
  </si>
  <si>
    <t>chi 2</t>
  </si>
  <si>
    <t>pendenza</t>
  </si>
  <si>
    <t>a</t>
  </si>
  <si>
    <t>delta a</t>
  </si>
  <si>
    <t>(Pi-a*(1/Ti)-b)^2</t>
  </si>
  <si>
    <t>(Pi-a*(1/Ti)-b)^2/(delta Pi)^2</t>
  </si>
  <si>
    <t>R</t>
  </si>
  <si>
    <t>Lambda</t>
  </si>
  <si>
    <t>f</t>
  </si>
  <si>
    <t>1/f</t>
  </si>
  <si>
    <t>sigma q</t>
  </si>
  <si>
    <t>sigma p</t>
  </si>
  <si>
    <t>sigma m con q e p</t>
  </si>
  <si>
    <t>sigma 1/f</t>
  </si>
  <si>
    <t>sigma f</t>
  </si>
  <si>
    <t>DIVERGENTE</t>
  </si>
  <si>
    <t>chiaramente nel caso della divergente m è l'ingrandimento del sistema di lenti, non della singola lente</t>
  </si>
  <si>
    <t>il prodotto totale è il prodotto dell'ingrandimento delle singole lenti.</t>
  </si>
  <si>
    <t>p conv</t>
  </si>
  <si>
    <t>q div</t>
  </si>
  <si>
    <t>x div</t>
  </si>
  <si>
    <t>D</t>
  </si>
  <si>
    <t>f div</t>
  </si>
  <si>
    <t>m div con q e p</t>
  </si>
  <si>
    <t>x</t>
  </si>
  <si>
    <t>f media circa</t>
  </si>
  <si>
    <t>sigma q div</t>
  </si>
  <si>
    <t>sigma p conv</t>
  </si>
  <si>
    <t>sigma</t>
  </si>
  <si>
    <t>sigma x</t>
  </si>
  <si>
    <t>1/f div</t>
  </si>
  <si>
    <t>sigma 1/f div</t>
  </si>
  <si>
    <t>sigma m tot sperimentale</t>
  </si>
  <si>
    <t>m tot sperimentale</t>
  </si>
  <si>
    <t>m tot teo</t>
  </si>
  <si>
    <t>sigma m teo</t>
  </si>
  <si>
    <t>sigma m con h e h1</t>
  </si>
  <si>
    <t>sigma h1</t>
  </si>
  <si>
    <t>sigma m div</t>
  </si>
  <si>
    <t>m conv</t>
  </si>
  <si>
    <t>sigma m conv</t>
  </si>
  <si>
    <t>tragedia</t>
  </si>
  <si>
    <t>media pesata delle f div</t>
  </si>
  <si>
    <t>1/(sigma i quadro</t>
  </si>
  <si>
    <t>xi/(sigma i quadro)</t>
  </si>
  <si>
    <t>somme</t>
  </si>
  <si>
    <t>risultati</t>
  </si>
  <si>
    <t>media</t>
  </si>
  <si>
    <t>sigma media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</si>
</sst>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ont="1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20</xdr:row>
      <xdr:rowOff>57150</xdr:rowOff>
    </xdr:from>
    <xdr:to>
      <xdr:col>14</xdr:col>
      <xdr:colOff>581025</xdr:colOff>
      <xdr:row>22</xdr:row>
      <xdr:rowOff>161925</xdr:rowOff>
    </xdr:to>
    <xdr:cxnSp macro="">
      <xdr:nvCxnSpPr>
        <xdr:cNvPr id="3" name="Connettore 2 2"/>
        <xdr:cNvCxnSpPr/>
      </xdr:nvCxnSpPr>
      <xdr:spPr>
        <a:xfrm>
          <a:off x="10467975" y="3867150"/>
          <a:ext cx="9525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3"/>
  <sheetViews>
    <sheetView tabSelected="1" topLeftCell="F10" zoomScaleNormal="100" workbookViewId="0">
      <selection activeCell="N33" sqref="N33"/>
    </sheetView>
  </sheetViews>
  <sheetFormatPr defaultRowHeight="15"/>
  <cols>
    <col min="7" max="7" width="14.28515625" bestFit="1" customWidth="1"/>
    <col min="8" max="8" width="12" bestFit="1" customWidth="1"/>
    <col min="12" max="12" width="22.5703125" bestFit="1" customWidth="1"/>
    <col min="13" max="13" width="16.5703125" bestFit="1" customWidth="1"/>
    <col min="14" max="14" width="16.7109375" bestFit="1" customWidth="1"/>
    <col min="15" max="15" width="17.28515625" bestFit="1" customWidth="1"/>
    <col min="17" max="17" width="24" bestFit="1" customWidth="1"/>
    <col min="18" max="18" width="12.5703125" customWidth="1"/>
    <col min="19" max="19" width="12.140625" bestFit="1" customWidth="1"/>
  </cols>
  <sheetData>
    <row r="1" spans="1:19">
      <c r="A1" t="s">
        <v>3</v>
      </c>
      <c r="B1" t="s">
        <v>4</v>
      </c>
      <c r="C1" t="s">
        <v>5</v>
      </c>
      <c r="D1" t="s">
        <v>0</v>
      </c>
      <c r="E1" t="s">
        <v>6</v>
      </c>
      <c r="F1" t="s">
        <v>7</v>
      </c>
      <c r="G1" t="s">
        <v>8</v>
      </c>
      <c r="H1" t="s">
        <v>9</v>
      </c>
      <c r="I1" t="s">
        <v>35</v>
      </c>
      <c r="J1" t="s">
        <v>34</v>
      </c>
      <c r="K1" t="s">
        <v>36</v>
      </c>
      <c r="L1" t="s">
        <v>37</v>
      </c>
      <c r="M1" t="s">
        <v>63</v>
      </c>
      <c r="N1" t="s">
        <v>38</v>
      </c>
      <c r="O1" t="s">
        <v>62</v>
      </c>
      <c r="P1" t="s">
        <v>39</v>
      </c>
      <c r="Q1" t="s">
        <v>40</v>
      </c>
      <c r="S1" t="s">
        <v>51</v>
      </c>
    </row>
    <row r="2" spans="1:19">
      <c r="A2">
        <v>28.8</v>
      </c>
      <c r="B2">
        <v>145.30000000000001</v>
      </c>
      <c r="C2">
        <v>153.4</v>
      </c>
      <c r="D2">
        <f>(B2+C2)/2</f>
        <v>149.35000000000002</v>
      </c>
      <c r="E2">
        <v>4.59</v>
      </c>
      <c r="F2">
        <v>0.9</v>
      </c>
      <c r="G2">
        <f>D2/A2</f>
        <v>5.1857638888888893</v>
      </c>
      <c r="H2">
        <f>E2/F2</f>
        <v>5.0999999999999996</v>
      </c>
      <c r="I2">
        <f>1/D2+1/A2</f>
        <v>4.1417903507793029E-2</v>
      </c>
      <c r="J2">
        <f>1/I2</f>
        <v>24.144148189727758</v>
      </c>
      <c r="K2">
        <f>0.05</f>
        <v>0.05</v>
      </c>
      <c r="L2">
        <v>0.05</v>
      </c>
      <c r="M2">
        <v>0.01</v>
      </c>
      <c r="N2">
        <f>SQRT(((1/A2)^2)*(K2^2)+((D2/(A2^2))^2)*(L2^2))</f>
        <v>9.1689264745457542E-3</v>
      </c>
      <c r="O2">
        <f>SQRT(((1/E2)^2)*(M2^2))</f>
        <v>2.1786492374727671E-3</v>
      </c>
      <c r="P2">
        <f>SQRT(((1/A2)^2)*(L2^2)+((1/D2)^2)*(K2^2))</f>
        <v>1.7680956308464529E-3</v>
      </c>
      <c r="Q2">
        <f>(J2^2)*P2</f>
        <v>1.0306934757510051</v>
      </c>
      <c r="S2">
        <f>SUM(J2:J13)/12</f>
        <v>24.068631028377293</v>
      </c>
    </row>
    <row r="3" spans="1:19">
      <c r="A3">
        <v>30.8</v>
      </c>
      <c r="B3">
        <v>109.3</v>
      </c>
      <c r="C3">
        <v>114.2</v>
      </c>
      <c r="D3">
        <f t="shared" ref="D3:D4" si="0">(B3+C3)/2</f>
        <v>111.75</v>
      </c>
      <c r="E3">
        <v>3.2250000000000001</v>
      </c>
      <c r="F3">
        <v>0.9</v>
      </c>
      <c r="G3">
        <f t="shared" ref="G3:G13" si="1">D3/A3</f>
        <v>3.6282467532467533</v>
      </c>
      <c r="H3">
        <f t="shared" ref="H3:H13" si="2">E3/F3</f>
        <v>3.5833333333333335</v>
      </c>
      <c r="I3">
        <f t="shared" ref="I3:I13" si="3">1/D3+1/A3</f>
        <v>4.141607832883E-2</v>
      </c>
      <c r="J3">
        <f t="shared" ref="J3:J13" si="4">1/I3</f>
        <v>24.145212206243428</v>
      </c>
      <c r="K3">
        <f t="shared" ref="K3:K13" si="5">0.05</f>
        <v>0.05</v>
      </c>
      <c r="L3">
        <v>0.05</v>
      </c>
      <c r="M3">
        <v>0.01</v>
      </c>
      <c r="N3">
        <f t="shared" ref="N3:N13" si="6">SQRT(((1/A3)^2)*(K3^2)+((D3/(A3^2))^2)*(L3^2))</f>
        <v>6.1096301693577956E-3</v>
      </c>
      <c r="O3">
        <f t="shared" ref="O3:O13" si="7">SQRT(((1/E3)^2)*(M3^2))</f>
        <v>3.1007751937984496E-3</v>
      </c>
      <c r="P3">
        <f t="shared" ref="P3:P13" si="8">SQRT(((1/A3)^2)*(L3^2)+((1/D3)^2)*(K3^2))</f>
        <v>1.6839070175948107E-3</v>
      </c>
      <c r="Q3">
        <f t="shared" ref="Q3:Q13" si="9">(J3^2)*P3</f>
        <v>0.98170309493322294</v>
      </c>
      <c r="S3" t="s">
        <v>54</v>
      </c>
    </row>
    <row r="4" spans="1:19">
      <c r="A4">
        <v>32.799999999999997</v>
      </c>
      <c r="B4">
        <v>94.3</v>
      </c>
      <c r="C4">
        <v>89.4</v>
      </c>
      <c r="D4">
        <f t="shared" si="0"/>
        <v>91.85</v>
      </c>
      <c r="E4">
        <v>2.4900000000000002</v>
      </c>
      <c r="F4">
        <v>0.9</v>
      </c>
      <c r="G4">
        <f t="shared" si="1"/>
        <v>2.8003048780487805</v>
      </c>
      <c r="H4">
        <f t="shared" si="2"/>
        <v>2.7666666666666671</v>
      </c>
      <c r="I4">
        <f t="shared" si="3"/>
        <v>4.1375121154586615E-2</v>
      </c>
      <c r="J4">
        <f t="shared" si="4"/>
        <v>24.169113517849979</v>
      </c>
      <c r="K4">
        <f t="shared" si="5"/>
        <v>0.05</v>
      </c>
      <c r="L4">
        <v>0.05</v>
      </c>
      <c r="M4">
        <v>0.01</v>
      </c>
      <c r="N4">
        <f t="shared" si="6"/>
        <v>4.5327757129089083E-3</v>
      </c>
      <c r="O4">
        <f t="shared" si="7"/>
        <v>4.0160642570281121E-3</v>
      </c>
      <c r="P4">
        <f t="shared" si="8"/>
        <v>1.618672219743192E-3</v>
      </c>
      <c r="Q4">
        <f t="shared" si="9"/>
        <v>0.94554098055678026</v>
      </c>
      <c r="S4">
        <v>1</v>
      </c>
    </row>
    <row r="5" spans="1:19">
      <c r="A5">
        <v>34.9</v>
      </c>
      <c r="D5">
        <v>77.599999999999994</v>
      </c>
      <c r="E5">
        <v>1.85</v>
      </c>
      <c r="F5">
        <v>0.9</v>
      </c>
      <c r="G5">
        <f t="shared" si="1"/>
        <v>2.2234957020057307</v>
      </c>
      <c r="H5">
        <f t="shared" si="2"/>
        <v>2.0555555555555558</v>
      </c>
      <c r="I5">
        <f t="shared" si="3"/>
        <v>4.1539893067084159E-2</v>
      </c>
      <c r="J5">
        <f t="shared" si="4"/>
        <v>24.073244444444445</v>
      </c>
      <c r="K5">
        <f t="shared" si="5"/>
        <v>0.05</v>
      </c>
      <c r="L5">
        <v>0.05</v>
      </c>
      <c r="M5">
        <v>0.01</v>
      </c>
      <c r="N5">
        <f t="shared" si="6"/>
        <v>3.4928628662767212E-3</v>
      </c>
      <c r="O5">
        <f t="shared" si="7"/>
        <v>5.4054054054054048E-3</v>
      </c>
      <c r="P5">
        <f t="shared" si="8"/>
        <v>1.570888067436309E-3</v>
      </c>
      <c r="Q5">
        <f t="shared" si="9"/>
        <v>0.91036277780456187</v>
      </c>
    </row>
    <row r="6" spans="1:19">
      <c r="A6">
        <v>36.9</v>
      </c>
      <c r="D6">
        <v>69.599999999999994</v>
      </c>
      <c r="E6">
        <v>1.69</v>
      </c>
      <c r="F6">
        <v>0.9</v>
      </c>
      <c r="G6">
        <f t="shared" si="1"/>
        <v>1.8861788617886177</v>
      </c>
      <c r="H6">
        <f t="shared" si="2"/>
        <v>1.8777777777777778</v>
      </c>
      <c r="I6">
        <f t="shared" si="3"/>
        <v>4.1468087094664055E-2</v>
      </c>
      <c r="J6">
        <f t="shared" si="4"/>
        <v>24.114929577464785</v>
      </c>
      <c r="K6">
        <f t="shared" si="5"/>
        <v>0.05</v>
      </c>
      <c r="L6">
        <v>0.05</v>
      </c>
      <c r="M6">
        <v>0.01</v>
      </c>
      <c r="N6">
        <f t="shared" si="6"/>
        <v>2.892778025870851E-3</v>
      </c>
      <c r="O6">
        <f t="shared" si="7"/>
        <v>5.9171597633136102E-3</v>
      </c>
      <c r="P6">
        <f t="shared" si="8"/>
        <v>1.5336711085435978E-3</v>
      </c>
      <c r="Q6">
        <f t="shared" si="9"/>
        <v>0.89187549676677058</v>
      </c>
    </row>
    <row r="7" spans="1:19">
      <c r="A7">
        <v>38.799999999999997</v>
      </c>
      <c r="D7">
        <v>63</v>
      </c>
      <c r="E7">
        <v>1.44</v>
      </c>
      <c r="F7">
        <v>0.9</v>
      </c>
      <c r="G7">
        <f t="shared" si="1"/>
        <v>1.6237113402061858</v>
      </c>
      <c r="H7">
        <f t="shared" si="2"/>
        <v>1.5999999999999999</v>
      </c>
      <c r="I7">
        <f t="shared" si="3"/>
        <v>4.1646211749304538E-2</v>
      </c>
      <c r="J7">
        <f t="shared" si="4"/>
        <v>24.011787819253435</v>
      </c>
      <c r="K7">
        <f t="shared" si="5"/>
        <v>0.05</v>
      </c>
      <c r="L7">
        <v>0.05</v>
      </c>
      <c r="M7">
        <v>0.01</v>
      </c>
      <c r="N7">
        <f t="shared" si="6"/>
        <v>2.4574031083489413E-3</v>
      </c>
      <c r="O7">
        <f t="shared" si="7"/>
        <v>6.9444444444444441E-3</v>
      </c>
      <c r="P7">
        <f t="shared" si="8"/>
        <v>1.5134482635545861E-3</v>
      </c>
      <c r="Q7">
        <f t="shared" si="9"/>
        <v>0.87260274232498791</v>
      </c>
    </row>
    <row r="8" spans="1:19">
      <c r="A8">
        <v>40.799999999999997</v>
      </c>
      <c r="D8">
        <f>58.5</f>
        <v>58.5</v>
      </c>
      <c r="E8">
        <f>1.28</f>
        <v>1.28</v>
      </c>
      <c r="F8">
        <v>0.9</v>
      </c>
      <c r="G8">
        <f t="shared" si="1"/>
        <v>1.4338235294117647</v>
      </c>
      <c r="H8">
        <f t="shared" si="2"/>
        <v>1.4222222222222223</v>
      </c>
      <c r="I8">
        <f t="shared" si="3"/>
        <v>4.1603821015585726E-2</v>
      </c>
      <c r="J8">
        <f t="shared" si="4"/>
        <v>24.036253776435043</v>
      </c>
      <c r="K8">
        <f t="shared" si="5"/>
        <v>0.05</v>
      </c>
      <c r="L8">
        <v>0.05</v>
      </c>
      <c r="M8">
        <v>0.01</v>
      </c>
      <c r="N8">
        <f t="shared" si="6"/>
        <v>2.1422781160630186E-3</v>
      </c>
      <c r="O8">
        <f t="shared" si="7"/>
        <v>7.8125E-3</v>
      </c>
      <c r="P8">
        <f t="shared" si="8"/>
        <v>1.4941016604336952E-3</v>
      </c>
      <c r="Q8">
        <f t="shared" si="9"/>
        <v>0.86320452788515767</v>
      </c>
    </row>
    <row r="9" spans="1:19">
      <c r="A9">
        <v>42.8</v>
      </c>
      <c r="D9">
        <f>54.9</f>
        <v>54.9</v>
      </c>
      <c r="E9">
        <v>1.1299999999999999</v>
      </c>
      <c r="F9">
        <v>0.9</v>
      </c>
      <c r="G9">
        <f t="shared" si="1"/>
        <v>1.2827102803738317</v>
      </c>
      <c r="H9">
        <f t="shared" si="2"/>
        <v>1.2555555555555553</v>
      </c>
      <c r="I9">
        <f t="shared" si="3"/>
        <v>4.1579422229031548E-2</v>
      </c>
      <c r="J9">
        <f t="shared" si="4"/>
        <v>24.050358239508697</v>
      </c>
      <c r="K9">
        <f t="shared" si="5"/>
        <v>0.05</v>
      </c>
      <c r="L9">
        <v>0.05</v>
      </c>
      <c r="M9">
        <v>0.01</v>
      </c>
      <c r="N9">
        <f t="shared" si="6"/>
        <v>1.9000605878755935E-3</v>
      </c>
      <c r="O9">
        <f t="shared" si="7"/>
        <v>8.8495575221238937E-3</v>
      </c>
      <c r="P9">
        <f t="shared" si="8"/>
        <v>1.4812858499285138E-3</v>
      </c>
      <c r="Q9">
        <f t="shared" si="9"/>
        <v>0.85680496351441593</v>
      </c>
    </row>
    <row r="10" spans="1:19">
      <c r="A10">
        <v>44.8</v>
      </c>
      <c r="D10">
        <f>51.7</f>
        <v>51.7</v>
      </c>
      <c r="E10">
        <v>0.99</v>
      </c>
      <c r="F10">
        <v>0.9</v>
      </c>
      <c r="G10">
        <f t="shared" si="1"/>
        <v>1.1540178571428572</v>
      </c>
      <c r="H10">
        <f t="shared" si="2"/>
        <v>1.0999999999999999</v>
      </c>
      <c r="I10">
        <f t="shared" si="3"/>
        <v>4.1663788339320253E-2</v>
      </c>
      <c r="J10">
        <f t="shared" si="4"/>
        <v>24.001658031088084</v>
      </c>
      <c r="K10">
        <f t="shared" si="5"/>
        <v>0.05</v>
      </c>
      <c r="L10">
        <v>0.05</v>
      </c>
      <c r="M10">
        <v>0.01</v>
      </c>
      <c r="N10">
        <f t="shared" si="6"/>
        <v>1.7042513823057152E-3</v>
      </c>
      <c r="O10">
        <f t="shared" si="7"/>
        <v>1.0101010101010102E-2</v>
      </c>
      <c r="P10">
        <f t="shared" si="8"/>
        <v>1.4767981030424763E-3</v>
      </c>
      <c r="Q10">
        <f t="shared" si="9"/>
        <v>0.85075324311623557</v>
      </c>
    </row>
    <row r="11" spans="1:19">
      <c r="A11">
        <v>46.9</v>
      </c>
      <c r="D11">
        <f>49.2</f>
        <v>49.2</v>
      </c>
      <c r="E11">
        <v>0.91500000000000004</v>
      </c>
      <c r="F11">
        <v>0.9</v>
      </c>
      <c r="G11">
        <f t="shared" si="1"/>
        <v>1.0490405117270789</v>
      </c>
      <c r="H11">
        <f t="shared" si="2"/>
        <v>1.0166666666666666</v>
      </c>
      <c r="I11">
        <f t="shared" si="3"/>
        <v>4.1647164872501599E-2</v>
      </c>
      <c r="J11">
        <f t="shared" si="4"/>
        <v>24.011238293444332</v>
      </c>
      <c r="K11">
        <f t="shared" si="5"/>
        <v>0.05</v>
      </c>
      <c r="L11">
        <v>0.05</v>
      </c>
      <c r="M11">
        <v>0.01</v>
      </c>
      <c r="N11">
        <f t="shared" si="6"/>
        <v>1.5451016516082974E-3</v>
      </c>
      <c r="O11">
        <f t="shared" si="7"/>
        <v>1.092896174863388E-2</v>
      </c>
      <c r="P11">
        <f t="shared" si="8"/>
        <v>1.4728712898461206E-3</v>
      </c>
      <c r="Q11">
        <f t="shared" si="9"/>
        <v>0.84916857184241834</v>
      </c>
    </row>
    <row r="12" spans="1:19">
      <c r="A12">
        <v>48.9</v>
      </c>
      <c r="D12">
        <f>47.4</f>
        <v>47.4</v>
      </c>
      <c r="E12">
        <v>0.85</v>
      </c>
      <c r="F12">
        <v>0.9</v>
      </c>
      <c r="G12">
        <f t="shared" si="1"/>
        <v>0.96932515337423308</v>
      </c>
      <c r="H12">
        <f t="shared" si="2"/>
        <v>0.94444444444444442</v>
      </c>
      <c r="I12">
        <f t="shared" si="3"/>
        <v>4.1546944164013361E-2</v>
      </c>
      <c r="J12">
        <f t="shared" si="4"/>
        <v>24.06915887850467</v>
      </c>
      <c r="K12">
        <f t="shared" si="5"/>
        <v>0.05</v>
      </c>
      <c r="L12">
        <v>0.05</v>
      </c>
      <c r="M12">
        <v>0.01</v>
      </c>
      <c r="N12">
        <f t="shared" si="6"/>
        <v>1.4240205402393207E-3</v>
      </c>
      <c r="O12">
        <f t="shared" si="7"/>
        <v>1.1764705882352941E-2</v>
      </c>
      <c r="P12">
        <f t="shared" si="8"/>
        <v>1.4690844813861346E-3</v>
      </c>
      <c r="Q12">
        <f t="shared" si="9"/>
        <v>0.85107649912447447</v>
      </c>
    </row>
    <row r="13" spans="1:19">
      <c r="A13">
        <v>50.9</v>
      </c>
      <c r="D13">
        <v>45.4</v>
      </c>
      <c r="E13">
        <v>0.78</v>
      </c>
      <c r="F13">
        <v>0.9</v>
      </c>
      <c r="G13">
        <f t="shared" si="1"/>
        <v>0.89194499017681728</v>
      </c>
      <c r="H13">
        <f t="shared" si="2"/>
        <v>0.8666666666666667</v>
      </c>
      <c r="I13">
        <f t="shared" si="3"/>
        <v>4.1672797140458531E-2</v>
      </c>
      <c r="J13">
        <f t="shared" si="4"/>
        <v>23.996469366562824</v>
      </c>
      <c r="K13">
        <f t="shared" si="5"/>
        <v>0.05</v>
      </c>
      <c r="L13">
        <v>0.05</v>
      </c>
      <c r="M13">
        <v>0.01</v>
      </c>
      <c r="N13">
        <f t="shared" si="6"/>
        <v>1.3162939716957805E-3</v>
      </c>
      <c r="O13">
        <f t="shared" si="7"/>
        <v>1.282051282051282E-2</v>
      </c>
      <c r="P13">
        <f t="shared" si="8"/>
        <v>1.4757568977822738E-3</v>
      </c>
      <c r="Q13">
        <f t="shared" si="9"/>
        <v>0.84978589439932328</v>
      </c>
    </row>
    <row r="16" spans="1:19">
      <c r="A16" t="s">
        <v>41</v>
      </c>
    </row>
    <row r="17" spans="1:20">
      <c r="A17" t="s">
        <v>44</v>
      </c>
      <c r="B17" t="s">
        <v>45</v>
      </c>
      <c r="C17" t="s">
        <v>46</v>
      </c>
      <c r="D17" t="s">
        <v>47</v>
      </c>
      <c r="E17" t="s">
        <v>1</v>
      </c>
      <c r="F17" t="s">
        <v>48</v>
      </c>
      <c r="G17" t="s">
        <v>56</v>
      </c>
      <c r="H17" t="s">
        <v>49</v>
      </c>
      <c r="I17" t="s">
        <v>59</v>
      </c>
      <c r="J17" t="s">
        <v>2</v>
      </c>
      <c r="K17" t="s">
        <v>50</v>
      </c>
      <c r="L17" t="s">
        <v>52</v>
      </c>
      <c r="M17" t="s">
        <v>53</v>
      </c>
      <c r="N17" t="s">
        <v>57</v>
      </c>
      <c r="O17" t="s">
        <v>40</v>
      </c>
      <c r="P17" t="s">
        <v>55</v>
      </c>
      <c r="Q17" t="s">
        <v>64</v>
      </c>
      <c r="R17" t="s">
        <v>58</v>
      </c>
      <c r="S17" t="s">
        <v>60</v>
      </c>
      <c r="T17" t="s">
        <v>61</v>
      </c>
    </row>
    <row r="18" spans="1:20">
      <c r="A18">
        <v>76</v>
      </c>
      <c r="B18">
        <v>30.5</v>
      </c>
      <c r="C18">
        <v>-12.1237191967003</v>
      </c>
      <c r="D18">
        <v>23.1</v>
      </c>
      <c r="E18">
        <v>0.78500000000000003</v>
      </c>
      <c r="F18">
        <f>1/G18</f>
        <v>-20.122321783032479</v>
      </c>
      <c r="G18">
        <f>1/B18+1/C18</f>
        <v>-4.9696054500192856E-2</v>
      </c>
      <c r="H18">
        <f>ABS(C18/B18)</f>
        <v>0.39749899005574751</v>
      </c>
      <c r="I18">
        <f>E18/J18</f>
        <v>0.87222222222222223</v>
      </c>
      <c r="J18">
        <v>0.9</v>
      </c>
      <c r="K18">
        <f>$S$2*A18/(A18-$S$2)-D18</f>
        <v>12.123719196700328</v>
      </c>
      <c r="L18">
        <v>0.05</v>
      </c>
      <c r="M18">
        <v>0.05</v>
      </c>
      <c r="N18">
        <f>SQRT(((1/B18)^4)*(L18^2)+((1/C18)^4)*(P18^2))</f>
        <v>1.4575472085157117E-2</v>
      </c>
      <c r="O18">
        <f>(F18^2)*N18</f>
        <v>5.9017228306524956</v>
      </c>
      <c r="P18">
        <f>SQRT(((A18^4)/(A18-$S$2)^4)*($S$4^2)+(($S$2^4)/(A18-$S$2)^4)*(L18^2)+(0.05^2))</f>
        <v>2.1423548888937449</v>
      </c>
      <c r="Q18">
        <f>SQRT((P18^2)*(1/B18^2)+(L18^2)*(K18/(B18^2))^2)</f>
        <v>7.0244166503693556E-2</v>
      </c>
      <c r="R18">
        <f>SQRT((0.01^2)*(1/(J18^2)))</f>
        <v>1.1111111111111112E-2</v>
      </c>
      <c r="S18">
        <f>(L23*H18)</f>
        <v>0.85765853047871288</v>
      </c>
      <c r="T18">
        <f>SQRT((M23^2)*(H18^2)+(Q18^2)*(L23^2))</f>
        <v>0.16029267602097555</v>
      </c>
    </row>
    <row r="19" spans="1:20">
      <c r="A19">
        <v>67.099999999999994</v>
      </c>
      <c r="B19">
        <v>30.5</v>
      </c>
      <c r="C19">
        <v>-12.3308799278299</v>
      </c>
      <c r="D19">
        <v>25.2</v>
      </c>
      <c r="E19">
        <v>0.64</v>
      </c>
      <c r="F19">
        <f t="shared" ref="F19:F20" si="10">1/G19</f>
        <v>-20.69950753283188</v>
      </c>
      <c r="G19">
        <f t="shared" ref="G19:G20" si="11">1/B19+1/C19</f>
        <v>-4.831032807973238E-2</v>
      </c>
      <c r="H19">
        <f t="shared" ref="H19:H20" si="12">ABS(C19/B19)</f>
        <v>0.40429114517475079</v>
      </c>
      <c r="I19">
        <f t="shared" ref="I19:I20" si="13">E19/J19</f>
        <v>0.71111111111111114</v>
      </c>
      <c r="J19">
        <v>0.9</v>
      </c>
      <c r="K19">
        <f t="shared" ref="K19:K20" si="14">$S$2*A19/(A19-$S$2)-D19</f>
        <v>12.330879927829894</v>
      </c>
      <c r="L19">
        <v>0.05</v>
      </c>
      <c r="M19">
        <v>0.05</v>
      </c>
      <c r="N19">
        <f t="shared" ref="N19:N20" si="15">SQRT(((1/B19)^4)*(L19^2)+((1/C19)^4)*(P19^2))</f>
        <v>1.5995205145334007E-2</v>
      </c>
      <c r="O19">
        <f t="shared" ref="O19:O20" si="16">(F19^2)*N19</f>
        <v>6.8534593441093978</v>
      </c>
      <c r="P19">
        <f t="shared" ref="P19:P20" si="17">SQRT(((A19^4)/(A19-$S$2)^4)*($S$4^2)+(($S$2^4)/(A19-$S$2)^4)*(L19^2)+(0.05^2))</f>
        <v>2.4320668049309142</v>
      </c>
      <c r="Q19">
        <f t="shared" ref="Q19:Q20" si="18">SQRT((P19^2)*(1/B19^2)+(L19^2)*(K19/(B19^2))^2)</f>
        <v>7.9742649571477253E-2</v>
      </c>
      <c r="R19">
        <f t="shared" ref="R19:R20" si="19">SQRT((0.01^2)*(1/(J19^2)))</f>
        <v>1.1111111111111112E-2</v>
      </c>
      <c r="S19">
        <f t="shared" ref="S19:S20" si="20">(L24*H19)</f>
        <v>0.72281640860516749</v>
      </c>
      <c r="T19">
        <f t="shared" ref="T19:T20" si="21">SQRT((M24^2)*(H19^2)+(Q19^2)*(L24^2))</f>
        <v>0.15007011254345279</v>
      </c>
    </row>
    <row r="20" spans="1:20">
      <c r="A20">
        <v>61.6</v>
      </c>
      <c r="B20">
        <v>30.5</v>
      </c>
      <c r="C20">
        <v>-12.303692830097701</v>
      </c>
      <c r="D20">
        <v>27.2</v>
      </c>
      <c r="E20">
        <v>0.55000000000000004</v>
      </c>
      <c r="F20">
        <f t="shared" si="10"/>
        <v>-20.623010362162113</v>
      </c>
      <c r="G20">
        <f t="shared" si="11"/>
        <v>-4.8489526137985232E-2</v>
      </c>
      <c r="H20">
        <f t="shared" si="12"/>
        <v>0.40339976492123608</v>
      </c>
      <c r="I20">
        <f t="shared" si="13"/>
        <v>0.61111111111111116</v>
      </c>
      <c r="J20">
        <v>0.9</v>
      </c>
      <c r="K20">
        <f t="shared" si="14"/>
        <v>12.303692830097642</v>
      </c>
      <c r="L20">
        <v>0.05</v>
      </c>
      <c r="M20">
        <v>0.05</v>
      </c>
      <c r="N20">
        <f t="shared" si="15"/>
        <v>1.7798814458543727E-2</v>
      </c>
      <c r="O20">
        <f t="shared" si="16"/>
        <v>7.5699880829563391</v>
      </c>
      <c r="P20">
        <f t="shared" si="17"/>
        <v>2.6943875054366582</v>
      </c>
      <c r="Q20">
        <f t="shared" si="18"/>
        <v>8.8343049177346797E-2</v>
      </c>
      <c r="R20">
        <f t="shared" si="19"/>
        <v>1.1111111111111112E-2</v>
      </c>
      <c r="S20">
        <f t="shared" si="20"/>
        <v>0.62904057162512839</v>
      </c>
      <c r="T20">
        <f t="shared" si="21"/>
        <v>0.14428727260071106</v>
      </c>
    </row>
    <row r="22" spans="1:20">
      <c r="B22" t="s">
        <v>42</v>
      </c>
      <c r="L22" t="s">
        <v>65</v>
      </c>
      <c r="M22" t="s">
        <v>66</v>
      </c>
    </row>
    <row r="23" spans="1:20">
      <c r="B23" t="s">
        <v>43</v>
      </c>
      <c r="L23">
        <f>((D18-C18)/A18)^(-1)</f>
        <v>2.1576370052120888</v>
      </c>
      <c r="M23">
        <f>SQRT(((1/(D18-C18))^2)*(M18^2)+((A18/((D18-C18)^2))^2)*((0.05^2)+(P18^2)))</f>
        <v>0.13127385116200932</v>
      </c>
    </row>
    <row r="24" spans="1:20">
      <c r="L24">
        <f t="shared" ref="L24:L25" si="22">((D19-C19)/A19)^(-1)</f>
        <v>1.7878610927596186</v>
      </c>
      <c r="M24">
        <f t="shared" ref="M24:M25" si="23">SQRT(((1/(D19-C19))^2)*(M19^2)+((A19/((D19-C19)^2))^2)*((0.05^2)+(P19^2)))</f>
        <v>0.11588867173102801</v>
      </c>
      <c r="O24" s="9" t="s">
        <v>67</v>
      </c>
    </row>
    <row r="25" spans="1:20">
      <c r="L25">
        <f t="shared" si="22"/>
        <v>1.5593478884350582</v>
      </c>
      <c r="M25">
        <f t="shared" si="23"/>
        <v>0.10638266906018939</v>
      </c>
    </row>
    <row r="27" spans="1:20">
      <c r="L27" t="s">
        <v>68</v>
      </c>
    </row>
    <row r="28" spans="1:20">
      <c r="L28" t="s">
        <v>70</v>
      </c>
      <c r="M28" t="s">
        <v>69</v>
      </c>
    </row>
    <row r="29" spans="1:20">
      <c r="L29">
        <f>F18/(O18^2)</f>
        <v>-0.57772408168156919</v>
      </c>
      <c r="M29">
        <f>1/(O18^2)</f>
        <v>2.8710607449321131E-2</v>
      </c>
    </row>
    <row r="30" spans="1:20">
      <c r="L30">
        <f t="shared" ref="L30:L31" si="24">F19/(O19^2)</f>
        <v>-0.44069724094707652</v>
      </c>
      <c r="M30">
        <f t="shared" ref="M30:M31" si="25">1/(O19^2)</f>
        <v>2.1290228293986139E-2</v>
      </c>
    </row>
    <row r="31" spans="1:20">
      <c r="L31">
        <f t="shared" si="24"/>
        <v>-0.35988327863248054</v>
      </c>
      <c r="M31">
        <f t="shared" si="25"/>
        <v>1.7450569645873486E-2</v>
      </c>
      <c r="O31" t="s">
        <v>72</v>
      </c>
    </row>
    <row r="32" spans="1:20">
      <c r="O32" t="s">
        <v>73</v>
      </c>
      <c r="P32" t="s">
        <v>74</v>
      </c>
    </row>
    <row r="33" spans="11:16">
      <c r="K33" t="s">
        <v>71</v>
      </c>
      <c r="L33">
        <f>SUM(L29:L32)</f>
        <v>-1.3783046012611262</v>
      </c>
      <c r="M33">
        <f>SUM(M29:M32)</f>
        <v>6.7451405389180763E-2</v>
      </c>
      <c r="O33">
        <f>L33/M33</f>
        <v>-20.434038302220564</v>
      </c>
      <c r="P33">
        <f>1/(SQRT(M33))</f>
        <v>3.850388030121052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12"/>
  <sheetViews>
    <sheetView zoomScale="85" zoomScaleNormal="85" workbookViewId="0">
      <selection sqref="A1:V33"/>
    </sheetView>
  </sheetViews>
  <sheetFormatPr defaultRowHeight="15"/>
  <sheetData>
    <row r="1" spans="1:19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2" t="s">
        <v>15</v>
      </c>
      <c r="G1" s="2" t="s">
        <v>16</v>
      </c>
      <c r="H1" s="2" t="s">
        <v>17</v>
      </c>
      <c r="I1" s="2" t="s">
        <v>18</v>
      </c>
    </row>
    <row r="2" spans="1:19">
      <c r="A2" s="1">
        <v>11.4748081428571</v>
      </c>
      <c r="B2" s="1">
        <f>C2*$L$10</f>
        <v>2.4705235235544368E-2</v>
      </c>
      <c r="C2" s="1">
        <v>4.1554124246831502E-4</v>
      </c>
      <c r="D2" s="1">
        <v>2</v>
      </c>
      <c r="E2" s="1">
        <f>1/(B2)^2</f>
        <v>1638.4078234717304</v>
      </c>
      <c r="F2" s="2">
        <f>E2*D2^2</f>
        <v>6553.6312938869214</v>
      </c>
      <c r="G2" s="2">
        <f>D2*E2</f>
        <v>3276.8156469434607</v>
      </c>
      <c r="H2" s="2">
        <f>A2*E2</f>
        <v>18800.41543409419</v>
      </c>
      <c r="I2" s="2">
        <f>E2*D2*A2</f>
        <v>37600.830868188379</v>
      </c>
    </row>
    <row r="3" spans="1:19">
      <c r="A3" s="1">
        <v>11.463735220779457</v>
      </c>
      <c r="B3" s="1">
        <f t="shared" ref="B3:B60" si="0">C3*$L$10</f>
        <v>2.4980314535435932E-2</v>
      </c>
      <c r="C3" s="1">
        <v>4.2016806722689078E-4</v>
      </c>
      <c r="D3" s="1">
        <v>4</v>
      </c>
      <c r="E3" s="1">
        <f t="shared" ref="E3:E60" si="1">1/(B3)^2</f>
        <v>1602.5227187264134</v>
      </c>
      <c r="F3" s="2">
        <f t="shared" ref="F3:F60" si="2">E3*D3^2</f>
        <v>25640.363499622614</v>
      </c>
      <c r="G3" s="2">
        <f t="shared" ref="G3:G60" si="3">D3*E3</f>
        <v>6410.0908749056534</v>
      </c>
      <c r="H3" s="2">
        <f t="shared" ref="H3:H60" si="4">A3*E3</f>
        <v>18370.896132763235</v>
      </c>
      <c r="I3" s="2">
        <f t="shared" ref="I3:I60" si="5">E3*D3*A3</f>
        <v>73483.58453105294</v>
      </c>
    </row>
    <row r="4" spans="1:19">
      <c r="A4" s="1">
        <v>11.452432084541266</v>
      </c>
      <c r="B4" s="1">
        <f t="shared" si="0"/>
        <v>2.5264272216864978E-2</v>
      </c>
      <c r="C4" s="1">
        <v>4.2494422607032827E-4</v>
      </c>
      <c r="D4" s="1">
        <v>6</v>
      </c>
      <c r="E4" s="1">
        <f t="shared" si="1"/>
        <v>1566.7020647096572</v>
      </c>
      <c r="F4" s="2">
        <f t="shared" si="2"/>
        <v>56401.274329547661</v>
      </c>
      <c r="G4" s="2">
        <f t="shared" si="3"/>
        <v>9400.2123882579435</v>
      </c>
      <c r="H4" s="2">
        <f t="shared" si="4"/>
        <v>17942.548992797925</v>
      </c>
      <c r="I4" s="2">
        <f t="shared" si="5"/>
        <v>107655.29395678756</v>
      </c>
    </row>
    <row r="5" spans="1:19">
      <c r="A5" s="1">
        <v>11.443896878559793</v>
      </c>
      <c r="B5" s="1">
        <f t="shared" si="0"/>
        <v>2.5480830855818069E-2</v>
      </c>
      <c r="C5" s="1">
        <v>4.2858673524054429E-4</v>
      </c>
      <c r="D5" s="1">
        <v>8</v>
      </c>
      <c r="E5" s="1">
        <f t="shared" si="1"/>
        <v>1540.1847893713641</v>
      </c>
      <c r="F5" s="2">
        <f t="shared" si="2"/>
        <v>98571.826519767303</v>
      </c>
      <c r="G5" s="2">
        <f t="shared" si="3"/>
        <v>12321.478314970913</v>
      </c>
      <c r="H5" s="2">
        <f t="shared" si="4"/>
        <v>17625.715903492226</v>
      </c>
      <c r="I5" s="2">
        <f t="shared" si="5"/>
        <v>141005.72722793781</v>
      </c>
    </row>
    <row r="6" spans="1:19">
      <c r="A6" s="1">
        <v>11.429543856031177</v>
      </c>
      <c r="B6" s="1">
        <f t="shared" si="0"/>
        <v>2.584919504101631E-2</v>
      </c>
      <c r="C6" s="1">
        <v>4.3478260869565219E-4</v>
      </c>
      <c r="D6" s="1">
        <v>10</v>
      </c>
      <c r="E6" s="1">
        <f t="shared" si="1"/>
        <v>1496.6007312447441</v>
      </c>
      <c r="F6" s="2">
        <f t="shared" si="2"/>
        <v>149660.07312447441</v>
      </c>
      <c r="G6" s="2">
        <f t="shared" si="3"/>
        <v>14966.00731244744</v>
      </c>
      <c r="H6" s="2">
        <f t="shared" si="4"/>
        <v>17105.463692730133</v>
      </c>
      <c r="I6" s="2">
        <f t="shared" si="5"/>
        <v>171054.63692730133</v>
      </c>
    </row>
    <row r="7" spans="1:19">
      <c r="A7" s="1">
        <v>11.420810176062423</v>
      </c>
      <c r="B7" s="1">
        <f t="shared" si="0"/>
        <v>2.6075942365937507E-2</v>
      </c>
      <c r="C7" s="1">
        <v>4.3859649122807018E-4</v>
      </c>
      <c r="D7" s="1">
        <v>12</v>
      </c>
      <c r="E7" s="1">
        <f t="shared" si="1"/>
        <v>1470.6860569570274</v>
      </c>
      <c r="F7" s="2">
        <f t="shared" si="2"/>
        <v>211778.79220181194</v>
      </c>
      <c r="G7" s="2">
        <f t="shared" si="3"/>
        <v>17648.23268348433</v>
      </c>
      <c r="H7" s="2">
        <f t="shared" si="4"/>
        <v>16796.426285087939</v>
      </c>
      <c r="I7" s="2">
        <f t="shared" si="5"/>
        <v>201557.11542105526</v>
      </c>
    </row>
    <row r="8" spans="1:19">
      <c r="A8" s="1">
        <v>11.409008351550456</v>
      </c>
      <c r="B8" s="1">
        <f t="shared" si="0"/>
        <v>2.6385509195312334E-2</v>
      </c>
      <c r="C8" s="1">
        <v>4.4380339509597248E-4</v>
      </c>
      <c r="D8" s="1">
        <v>14</v>
      </c>
      <c r="E8" s="1">
        <f t="shared" si="1"/>
        <v>1436.378978348997</v>
      </c>
      <c r="F8" s="2">
        <f t="shared" si="2"/>
        <v>281530.27975640341</v>
      </c>
      <c r="G8" s="2">
        <f t="shared" si="3"/>
        <v>20109.305696885956</v>
      </c>
      <c r="H8" s="2">
        <f t="shared" si="4"/>
        <v>16387.659759975217</v>
      </c>
      <c r="I8" s="2">
        <f t="shared" si="5"/>
        <v>229427.23663965304</v>
      </c>
      <c r="P8" s="3" t="s">
        <v>19</v>
      </c>
      <c r="Q8" s="3"/>
    </row>
    <row r="9" spans="1:19">
      <c r="A9" s="1">
        <v>11.397065578875694</v>
      </c>
      <c r="B9" s="1">
        <f t="shared" si="0"/>
        <v>2.6702514526987429E-2</v>
      </c>
      <c r="C9" s="1">
        <v>4.4913541432741973E-4</v>
      </c>
      <c r="D9" s="1">
        <v>16</v>
      </c>
      <c r="E9" s="1">
        <f t="shared" si="1"/>
        <v>1402.4767811628003</v>
      </c>
      <c r="F9" s="2">
        <f t="shared" si="2"/>
        <v>359034.05597767688</v>
      </c>
      <c r="G9" s="2">
        <f t="shared" si="3"/>
        <v>22439.628498604805</v>
      </c>
      <c r="H9" s="2">
        <f t="shared" si="4"/>
        <v>15984.11984776293</v>
      </c>
      <c r="I9" s="2">
        <f t="shared" si="5"/>
        <v>255745.91756420687</v>
      </c>
      <c r="L9" s="4" t="s">
        <v>20</v>
      </c>
      <c r="M9" s="4"/>
      <c r="P9" s="3">
        <v>4.03</v>
      </c>
      <c r="Q9" s="3">
        <f>P9*M19+M18</f>
        <v>11.463669739296135</v>
      </c>
    </row>
    <row r="10" spans="1:19">
      <c r="A10" s="1">
        <v>11.388042282823537</v>
      </c>
      <c r="B10" s="1">
        <f t="shared" si="0"/>
        <v>2.6944549555557449E-2</v>
      </c>
      <c r="C10" s="1">
        <v>4.5320643553138455E-4</v>
      </c>
      <c r="D10" s="1">
        <v>18</v>
      </c>
      <c r="E10" s="1">
        <f t="shared" si="1"/>
        <v>1377.3938660716551</v>
      </c>
      <c r="F10" s="2">
        <f t="shared" si="2"/>
        <v>446275.61260721623</v>
      </c>
      <c r="G10" s="2">
        <f t="shared" si="3"/>
        <v>24793.089589289793</v>
      </c>
      <c r="H10" s="2">
        <f t="shared" si="4"/>
        <v>15685.819586925789</v>
      </c>
      <c r="I10" s="2">
        <f t="shared" si="5"/>
        <v>282344.75256466423</v>
      </c>
      <c r="L10" s="4">
        <v>59.453148594337513</v>
      </c>
      <c r="M10" s="4"/>
      <c r="P10" s="3">
        <v>4.82</v>
      </c>
      <c r="Q10" s="3">
        <f>P10*M19+M18</f>
        <v>11.459356504828804</v>
      </c>
    </row>
    <row r="11" spans="1:19">
      <c r="A11" s="1">
        <v>11.375959609897071</v>
      </c>
      <c r="B11" s="1">
        <f t="shared" si="0"/>
        <v>2.7272086511163997E-2</v>
      </c>
      <c r="C11" s="1">
        <v>4.5871559633027525E-4</v>
      </c>
      <c r="D11" s="1">
        <v>20</v>
      </c>
      <c r="E11" s="1">
        <f t="shared" si="1"/>
        <v>1344.5076210146542</v>
      </c>
      <c r="F11" s="2">
        <f t="shared" si="2"/>
        <v>537803.04840586171</v>
      </c>
      <c r="G11" s="2">
        <f t="shared" si="3"/>
        <v>26890.152420293085</v>
      </c>
      <c r="H11" s="2">
        <f t="shared" si="4"/>
        <v>15295.064391861506</v>
      </c>
      <c r="I11" s="2">
        <f t="shared" si="5"/>
        <v>305901.28783723013</v>
      </c>
    </row>
    <row r="12" spans="1:19">
      <c r="A12" s="1">
        <v>11.366742954792146</v>
      </c>
      <c r="B12" s="1">
        <f t="shared" si="0"/>
        <v>2.7524605830711812E-2</v>
      </c>
      <c r="C12" s="1">
        <v>4.6296296296296298E-4</v>
      </c>
      <c r="D12" s="1">
        <v>22</v>
      </c>
      <c r="E12" s="1">
        <f t="shared" si="1"/>
        <v>1319.9509209254209</v>
      </c>
      <c r="F12" s="2">
        <f t="shared" si="2"/>
        <v>638856.24572790368</v>
      </c>
      <c r="G12" s="2">
        <f t="shared" si="3"/>
        <v>29038.92026035926</v>
      </c>
      <c r="H12" s="2">
        <f t="shared" si="4"/>
        <v>15003.542831100433</v>
      </c>
      <c r="I12" s="2">
        <f t="shared" si="5"/>
        <v>330077.94228420954</v>
      </c>
    </row>
    <row r="13" spans="1:19">
      <c r="A13" s="1">
        <v>11.354281371530631</v>
      </c>
      <c r="B13" s="1">
        <f t="shared" si="0"/>
        <v>2.7869752065785777E-2</v>
      </c>
      <c r="C13" s="1">
        <v>4.6876831126215867E-4</v>
      </c>
      <c r="D13" s="1">
        <v>24</v>
      </c>
      <c r="E13" s="1">
        <f t="shared" si="1"/>
        <v>1287.4601328078613</v>
      </c>
      <c r="F13" s="2">
        <f t="shared" si="2"/>
        <v>741577.03649732808</v>
      </c>
      <c r="G13" s="2">
        <f t="shared" si="3"/>
        <v>30899.04318738867</v>
      </c>
      <c r="H13" s="2">
        <f t="shared" si="4"/>
        <v>14618.184602528652</v>
      </c>
      <c r="I13" s="2">
        <f t="shared" si="5"/>
        <v>350836.43046068761</v>
      </c>
    </row>
    <row r="14" spans="1:19">
      <c r="A14">
        <v>11.344861779922974</v>
      </c>
      <c r="B14" s="1">
        <f t="shared" si="0"/>
        <v>2.8133514063332549E-2</v>
      </c>
      <c r="C14">
        <v>4.732047793682716E-4</v>
      </c>
      <c r="D14">
        <v>26</v>
      </c>
      <c r="E14" s="1">
        <f t="shared" si="1"/>
        <v>1263.4324768334538</v>
      </c>
      <c r="F14" s="2">
        <f t="shared" si="2"/>
        <v>854080.35433941486</v>
      </c>
      <c r="G14" s="2">
        <f t="shared" si="3"/>
        <v>32849.244397669798</v>
      </c>
      <c r="H14" s="2">
        <f t="shared" si="4"/>
        <v>14333.466817941269</v>
      </c>
      <c r="I14" s="2">
        <f t="shared" si="5"/>
        <v>372670.13726647297</v>
      </c>
    </row>
    <row r="15" spans="1:19">
      <c r="A15">
        <v>11.335352615198477</v>
      </c>
      <c r="B15" s="1">
        <f t="shared" si="0"/>
        <v>2.8402316299695456E-2</v>
      </c>
      <c r="C15">
        <v>4.777260241251642E-4</v>
      </c>
      <c r="D15">
        <v>28</v>
      </c>
      <c r="E15" s="1">
        <f t="shared" si="1"/>
        <v>1239.6311498921266</v>
      </c>
      <c r="F15" s="2">
        <f t="shared" si="2"/>
        <v>971870.8215154272</v>
      </c>
      <c r="G15" s="2">
        <f t="shared" si="3"/>
        <v>34709.672196979547</v>
      </c>
      <c r="H15" s="2">
        <f t="shared" si="4"/>
        <v>14051.656196811213</v>
      </c>
      <c r="I15" s="2">
        <f t="shared" si="5"/>
        <v>393446.37351071398</v>
      </c>
      <c r="K15" s="5" t="s">
        <v>21</v>
      </c>
      <c r="L15" s="5"/>
      <c r="M15" s="5"/>
      <c r="N15" s="5">
        <f>SUM(E2:E13)</f>
        <v>17483.272484812325</v>
      </c>
      <c r="O15" s="5">
        <f>SUM(F2:F13)</f>
        <v>3553682.2399415006</v>
      </c>
      <c r="P15" s="5">
        <f>SUM(G2:G13)</f>
        <v>218192.9768738313</v>
      </c>
      <c r="Q15" s="5">
        <f>SUM(H2:H13)</f>
        <v>199615.85746112018</v>
      </c>
      <c r="R15" s="5">
        <f>SUM(I2:I13)</f>
        <v>2486690.7562829745</v>
      </c>
      <c r="S15" s="2">
        <f>SUM(I2:I13)</f>
        <v>2486690.7562829745</v>
      </c>
    </row>
    <row r="16" spans="1:19">
      <c r="A16">
        <v>11.325752157445249</v>
      </c>
      <c r="B16" s="1">
        <f t="shared" si="0"/>
        <v>2.8676304639738338E-2</v>
      </c>
      <c r="C16">
        <v>4.8233449897503919E-4</v>
      </c>
      <c r="D16">
        <v>30</v>
      </c>
      <c r="E16" s="1">
        <f t="shared" si="1"/>
        <v>1216.05615198388</v>
      </c>
      <c r="F16" s="2">
        <f t="shared" si="2"/>
        <v>1094450.536785492</v>
      </c>
      <c r="G16" s="2">
        <f t="shared" si="3"/>
        <v>36481.684559516398</v>
      </c>
      <c r="H16" s="2">
        <f t="shared" si="4"/>
        <v>13772.750586905997</v>
      </c>
      <c r="I16" s="2">
        <f t="shared" si="5"/>
        <v>413182.51760717988</v>
      </c>
      <c r="K16" s="6" t="s">
        <v>22</v>
      </c>
      <c r="L16" s="6">
        <f>N15*O15-(P15)^2</f>
        <v>14521819768.271194</v>
      </c>
    </row>
    <row r="17" spans="1:23">
      <c r="A17">
        <v>11.316058636734239</v>
      </c>
      <c r="B17" s="1">
        <f t="shared" si="0"/>
        <v>2.8955630631602343E-2</v>
      </c>
      <c r="C17">
        <v>4.8703275295263604E-4</v>
      </c>
      <c r="D17">
        <v>32</v>
      </c>
      <c r="E17" s="1">
        <f t="shared" si="1"/>
        <v>1192.7074831087139</v>
      </c>
      <c r="F17" s="2">
        <f t="shared" si="2"/>
        <v>1221332.462703323</v>
      </c>
      <c r="G17" s="2">
        <f t="shared" si="3"/>
        <v>38166.639459478843</v>
      </c>
      <c r="H17" s="2">
        <f t="shared" si="4"/>
        <v>13496.747815329918</v>
      </c>
      <c r="I17" s="2">
        <f t="shared" si="5"/>
        <v>431895.93009055738</v>
      </c>
    </row>
    <row r="18" spans="1:23">
      <c r="A18">
        <v>11.3029449001823</v>
      </c>
      <c r="B18" s="1">
        <f t="shared" si="0"/>
        <v>2.933784781363805E-2</v>
      </c>
      <c r="C18">
        <v>4.9346163335800639E-4</v>
      </c>
      <c r="D18">
        <v>34</v>
      </c>
      <c r="E18" s="1">
        <f t="shared" si="1"/>
        <v>1161.8324367399691</v>
      </c>
      <c r="F18" s="2">
        <f t="shared" si="2"/>
        <v>1343078.2968714044</v>
      </c>
      <c r="G18" s="2">
        <f t="shared" si="3"/>
        <v>39502.30284915895</v>
      </c>
      <c r="H18" s="2">
        <f t="shared" si="4"/>
        <v>13132.128015716409</v>
      </c>
      <c r="I18" s="2">
        <f t="shared" si="5"/>
        <v>446492.35253435792</v>
      </c>
      <c r="K18" s="4" t="s">
        <v>23</v>
      </c>
      <c r="L18" s="4" t="s">
        <v>24</v>
      </c>
      <c r="M18" s="4">
        <f>(O15*Q15-P15*R15)/L16</f>
        <v>11.485672694869992</v>
      </c>
      <c r="N18" s="4"/>
      <c r="O18" s="4" t="s">
        <v>25</v>
      </c>
      <c r="P18" s="4">
        <f>SQRT(O15/L16)</f>
        <v>1.5643314431277821E-2</v>
      </c>
      <c r="R18" s="7" t="s">
        <v>26</v>
      </c>
      <c r="S18" s="7"/>
      <c r="T18" s="7"/>
      <c r="W18" s="4">
        <f>SQRT(O32/74)</f>
        <v>1.0000000000004516</v>
      </c>
    </row>
    <row r="19" spans="1:23">
      <c r="A19">
        <v>11.293026643820907</v>
      </c>
      <c r="B19" s="1">
        <f t="shared" si="0"/>
        <v>2.9630275900492158E-2</v>
      </c>
      <c r="C19">
        <v>4.9838026414154E-4</v>
      </c>
      <c r="D19">
        <v>36</v>
      </c>
      <c r="E19" s="1">
        <f t="shared" si="1"/>
        <v>1139.0128119796282</v>
      </c>
      <c r="F19" s="2">
        <f t="shared" si="2"/>
        <v>1476160.6043255981</v>
      </c>
      <c r="G19" s="2">
        <f t="shared" si="3"/>
        <v>41004.461231266614</v>
      </c>
      <c r="H19" s="2">
        <f t="shared" si="4"/>
        <v>12862.902033339315</v>
      </c>
      <c r="I19" s="2">
        <f t="shared" si="5"/>
        <v>463064.47320021532</v>
      </c>
      <c r="K19" s="4" t="s">
        <v>27</v>
      </c>
      <c r="L19" s="4" t="s">
        <v>28</v>
      </c>
      <c r="M19" s="4">
        <f>(N15*R15-Q15*P15)/L16</f>
        <v>-5.4597904649768521E-3</v>
      </c>
      <c r="N19" s="4"/>
      <c r="O19" s="4" t="s">
        <v>29</v>
      </c>
      <c r="P19" s="4">
        <f>SQRT(N15/L16)</f>
        <v>1.097238005304757E-3</v>
      </c>
      <c r="R19" s="7" t="s">
        <v>30</v>
      </c>
      <c r="S19" s="7" t="s">
        <v>31</v>
      </c>
      <c r="T19" s="7"/>
    </row>
    <row r="20" spans="1:23">
      <c r="A20">
        <v>11.283009029368589</v>
      </c>
      <c r="B20" s="1">
        <f t="shared" si="0"/>
        <v>2.9928592295161097E-2</v>
      </c>
      <c r="C20">
        <v>5.0339793606846216E-4</v>
      </c>
      <c r="D20">
        <v>38</v>
      </c>
      <c r="E20" s="1">
        <f t="shared" si="1"/>
        <v>1116.4195162523681</v>
      </c>
      <c r="F20" s="2">
        <f t="shared" si="2"/>
        <v>1612109.7814684196</v>
      </c>
      <c r="G20" s="2">
        <f t="shared" si="3"/>
        <v>42423.94161758999</v>
      </c>
      <c r="H20" s="2">
        <f t="shared" si="4"/>
        <v>12596.571482438781</v>
      </c>
      <c r="I20" s="2">
        <f t="shared" si="5"/>
        <v>478669.71633267374</v>
      </c>
      <c r="R20" s="7">
        <f>(A2-$M$19*D2-$M$18)^2</f>
        <v>3.0281817130402984E-9</v>
      </c>
      <c r="S20" s="7">
        <f>R20/B2^2</f>
        <v>4.9613966095392512E-6</v>
      </c>
      <c r="T20" s="7"/>
    </row>
    <row r="21" spans="1:23">
      <c r="A21">
        <v>11.2728900459858</v>
      </c>
      <c r="B21" s="1">
        <f t="shared" si="0"/>
        <v>3.0232976656159424E-2</v>
      </c>
      <c r="C21">
        <v>5.0851767098906682E-4</v>
      </c>
      <c r="D21">
        <v>40</v>
      </c>
      <c r="E21" s="1">
        <f t="shared" si="1"/>
        <v>1094.0525495581892</v>
      </c>
      <c r="F21" s="2">
        <f t="shared" si="2"/>
        <v>1750484.0792931027</v>
      </c>
      <c r="G21" s="2">
        <f t="shared" si="3"/>
        <v>43762.101982327571</v>
      </c>
      <c r="H21" s="2">
        <f t="shared" si="4"/>
        <v>12333.134095699897</v>
      </c>
      <c r="I21" s="2">
        <f t="shared" si="5"/>
        <v>493325.36382799596</v>
      </c>
      <c r="R21" s="7">
        <f t="shared" ref="R21:R78" si="6">(A3-$M$19*D3-$M$18)^2</f>
        <v>9.6652946911306407E-9</v>
      </c>
      <c r="S21" s="7">
        <f t="shared" ref="S21:S78" si="7">R21/B3^2</f>
        <v>1.5488854325722645E-5</v>
      </c>
      <c r="T21" s="7"/>
    </row>
    <row r="22" spans="1:23">
      <c r="A22">
        <v>11.259322706171311</v>
      </c>
      <c r="B22" s="1">
        <f t="shared" si="0"/>
        <v>3.064595288367913E-2</v>
      </c>
      <c r="C22">
        <v>5.1546391752577321E-4</v>
      </c>
      <c r="D22">
        <v>42</v>
      </c>
      <c r="E22" s="1">
        <f t="shared" si="1"/>
        <v>1064.7649361271679</v>
      </c>
      <c r="F22" s="2">
        <f t="shared" si="2"/>
        <v>1878245.3473283241</v>
      </c>
      <c r="G22" s="2">
        <f t="shared" si="3"/>
        <v>44720.127317341052</v>
      </c>
      <c r="H22" s="2">
        <f t="shared" si="4"/>
        <v>11988.532022071666</v>
      </c>
      <c r="I22" s="2">
        <f t="shared" si="5"/>
        <v>503518.34492701001</v>
      </c>
      <c r="R22" s="7">
        <f t="shared" si="6"/>
        <v>2.3219632501130899E-7</v>
      </c>
      <c r="S22" s="7">
        <f t="shared" si="7"/>
        <v>3.6378246181321239E-4</v>
      </c>
      <c r="T22" s="7"/>
    </row>
    <row r="23" spans="1:23">
      <c r="A23">
        <v>11.252469378772039</v>
      </c>
      <c r="B23" s="1">
        <f t="shared" si="0"/>
        <v>3.0856700970202423E-2</v>
      </c>
      <c r="C23">
        <v>5.1900869339561442E-4</v>
      </c>
      <c r="D23">
        <v>44</v>
      </c>
      <c r="E23" s="1">
        <f t="shared" si="1"/>
        <v>1050.2701352524205</v>
      </c>
      <c r="F23" s="2">
        <f t="shared" si="2"/>
        <v>2033322.981848686</v>
      </c>
      <c r="G23" s="2">
        <f t="shared" si="3"/>
        <v>46211.885951106502</v>
      </c>
      <c r="H23" s="2">
        <f t="shared" si="4"/>
        <v>11818.132536366629</v>
      </c>
      <c r="I23" s="2">
        <f t="shared" si="5"/>
        <v>519997.8316001317</v>
      </c>
      <c r="K23" s="8" t="s">
        <v>32</v>
      </c>
      <c r="L23" s="8">
        <v>8.31</v>
      </c>
      <c r="R23" s="7">
        <f t="shared" si="6"/>
        <v>3.6195344436435921E-6</v>
      </c>
      <c r="S23" s="7">
        <f t="shared" si="7"/>
        <v>5.5747518947056041E-3</v>
      </c>
      <c r="T23" s="7"/>
    </row>
    <row r="24" spans="1:23">
      <c r="A24">
        <v>11.242034955158283</v>
      </c>
      <c r="B24" s="1">
        <f t="shared" si="0"/>
        <v>3.1180358512829427E-2</v>
      </c>
      <c r="C24">
        <v>5.2445260259604035E-4</v>
      </c>
      <c r="D24">
        <v>46</v>
      </c>
      <c r="E24" s="1">
        <f t="shared" si="1"/>
        <v>1028.5793265445693</v>
      </c>
      <c r="F24" s="2">
        <f t="shared" si="2"/>
        <v>2176473.8549683085</v>
      </c>
      <c r="G24" s="2">
        <f t="shared" si="3"/>
        <v>47314.649021050187</v>
      </c>
      <c r="H24" s="2">
        <f t="shared" si="4"/>
        <v>11563.324743167215</v>
      </c>
      <c r="I24" s="2">
        <f t="shared" si="5"/>
        <v>531912.93818569183</v>
      </c>
      <c r="K24" s="8" t="s">
        <v>33</v>
      </c>
      <c r="L24" s="8">
        <f>-M19*L23</f>
        <v>4.5370858763957647E-2</v>
      </c>
      <c r="R24" s="7">
        <f t="shared" si="6"/>
        <v>2.343759491192437E-6</v>
      </c>
      <c r="S24" s="7">
        <f t="shared" si="7"/>
        <v>3.5076721683804102E-3</v>
      </c>
      <c r="T24" s="7"/>
    </row>
    <row r="25" spans="1:23">
      <c r="A25">
        <v>11.231490505278915</v>
      </c>
      <c r="B25" s="1">
        <f t="shared" si="0"/>
        <v>3.1510877749748249E-2</v>
      </c>
      <c r="C25">
        <v>5.300119252683185E-4</v>
      </c>
      <c r="D25">
        <v>48</v>
      </c>
      <c r="E25" s="1">
        <f t="shared" si="1"/>
        <v>1007.1148468697983</v>
      </c>
      <c r="F25" s="2">
        <f t="shared" si="2"/>
        <v>2320392.6071880152</v>
      </c>
      <c r="G25" s="2">
        <f t="shared" si="3"/>
        <v>48341.512649750315</v>
      </c>
      <c r="H25" s="2">
        <f t="shared" si="4"/>
        <v>11311.400840343567</v>
      </c>
      <c r="I25" s="2">
        <f t="shared" si="5"/>
        <v>542947.24033649126</v>
      </c>
      <c r="R25" s="7">
        <f t="shared" si="6"/>
        <v>4.2898147262443043E-7</v>
      </c>
      <c r="S25" s="7">
        <f t="shared" si="7"/>
        <v>6.308970704816426E-4</v>
      </c>
      <c r="T25" s="7"/>
    </row>
    <row r="26" spans="1:23">
      <c r="A26">
        <v>11.220833684029747</v>
      </c>
      <c r="B26" s="1">
        <f t="shared" si="0"/>
        <v>3.1848479225572532E-2</v>
      </c>
      <c r="C26">
        <v>5.3569037096558195E-4</v>
      </c>
      <c r="D26">
        <v>50</v>
      </c>
      <c r="E26" s="1">
        <f t="shared" si="1"/>
        <v>985.87669622810722</v>
      </c>
      <c r="F26" s="2">
        <f t="shared" si="2"/>
        <v>2464691.7405702681</v>
      </c>
      <c r="G26" s="2">
        <f t="shared" si="3"/>
        <v>49293.834811405359</v>
      </c>
      <c r="H26" s="2">
        <f t="shared" si="4"/>
        <v>11062.358441336308</v>
      </c>
      <c r="I26" s="2">
        <f t="shared" si="5"/>
        <v>553117.92206681543</v>
      </c>
      <c r="R26" s="7">
        <f t="shared" si="6"/>
        <v>5.1654748299790272E-8</v>
      </c>
      <c r="S26" s="7">
        <f t="shared" si="7"/>
        <v>7.4195794589727339E-5</v>
      </c>
      <c r="T26" s="7"/>
    </row>
    <row r="27" spans="1:23">
      <c r="A27">
        <v>11.191755548357458</v>
      </c>
      <c r="B27" s="1">
        <f t="shared" si="0"/>
        <v>3.2788169637026063E-2</v>
      </c>
      <c r="C27">
        <v>5.5149593271749617E-4</v>
      </c>
      <c r="D27">
        <v>55</v>
      </c>
      <c r="E27" s="1">
        <f t="shared" si="1"/>
        <v>930.17712118699899</v>
      </c>
      <c r="F27" s="2">
        <f t="shared" si="2"/>
        <v>2813785.791590672</v>
      </c>
      <c r="G27" s="2">
        <f t="shared" si="3"/>
        <v>51159.741665284942</v>
      </c>
      <c r="H27" s="2">
        <f t="shared" si="4"/>
        <v>10410.314956999764</v>
      </c>
      <c r="I27" s="2">
        <f t="shared" si="5"/>
        <v>572567.32263498695</v>
      </c>
      <c r="R27" s="7">
        <f t="shared" si="6"/>
        <v>1.5636716062171823E-6</v>
      </c>
      <c r="S27" s="7">
        <f t="shared" si="7"/>
        <v>2.1930131210831398E-3</v>
      </c>
      <c r="T27" s="7"/>
    </row>
    <row r="28" spans="1:23">
      <c r="A28">
        <v>11.165776433684901</v>
      </c>
      <c r="B28" s="1">
        <f t="shared" si="0"/>
        <v>3.3651138301591915E-2</v>
      </c>
      <c r="C28">
        <v>5.6601103721522575E-4</v>
      </c>
      <c r="D28">
        <v>60</v>
      </c>
      <c r="E28" s="1">
        <f t="shared" si="1"/>
        <v>883.08087851586208</v>
      </c>
      <c r="F28" s="2">
        <f t="shared" si="2"/>
        <v>3179091.1626571035</v>
      </c>
      <c r="G28" s="2">
        <f t="shared" si="3"/>
        <v>52984.852710951724</v>
      </c>
      <c r="H28" s="2">
        <f t="shared" si="4"/>
        <v>9860.2836623701714</v>
      </c>
      <c r="I28" s="2">
        <f t="shared" si="5"/>
        <v>591617.01974221028</v>
      </c>
      <c r="R28" s="7">
        <f t="shared" si="6"/>
        <v>4.170787232194169E-7</v>
      </c>
      <c r="S28" s="7">
        <f t="shared" si="7"/>
        <v>5.7448167503142253E-4</v>
      </c>
      <c r="T28" s="7"/>
    </row>
    <row r="29" spans="1:23">
      <c r="A29">
        <v>11.138959023921435</v>
      </c>
      <c r="B29" s="1">
        <f t="shared" si="0"/>
        <v>3.45657840664753E-2</v>
      </c>
      <c r="C29">
        <v>5.8139534883720929E-4</v>
      </c>
      <c r="D29">
        <v>65</v>
      </c>
      <c r="E29" s="1">
        <f t="shared" si="1"/>
        <v>836.96476433165401</v>
      </c>
      <c r="F29" s="2">
        <f t="shared" si="2"/>
        <v>3536176.1293012383</v>
      </c>
      <c r="G29" s="2">
        <f t="shared" si="3"/>
        <v>54402.709681557513</v>
      </c>
      <c r="H29" s="2">
        <f t="shared" si="4"/>
        <v>9322.9162143563553</v>
      </c>
      <c r="I29" s="2">
        <f t="shared" si="5"/>
        <v>605989.55393316306</v>
      </c>
      <c r="R29" s="7">
        <f t="shared" si="6"/>
        <v>2.6757412227395066E-7</v>
      </c>
      <c r="S29" s="7">
        <f t="shared" si="7"/>
        <v>3.5975544658363359E-4</v>
      </c>
      <c r="T29" s="7"/>
    </row>
    <row r="30" spans="1:23">
      <c r="A30">
        <v>11.111402576094688</v>
      </c>
      <c r="B30" s="1">
        <f t="shared" si="0"/>
        <v>3.5531539575280151E-2</v>
      </c>
      <c r="C30">
        <v>5.9763932466756309E-4</v>
      </c>
      <c r="D30">
        <v>70</v>
      </c>
      <c r="E30" s="1">
        <f t="shared" si="1"/>
        <v>792.08529076585103</v>
      </c>
      <c r="F30" s="2">
        <f t="shared" si="2"/>
        <v>3881217.9247526699</v>
      </c>
      <c r="G30" s="2">
        <f t="shared" si="3"/>
        <v>55445.970353609569</v>
      </c>
      <c r="H30" s="2">
        <f t="shared" si="4"/>
        <v>8801.1785403023878</v>
      </c>
      <c r="I30" s="2">
        <f t="shared" si="5"/>
        <v>616082.49782116711</v>
      </c>
      <c r="R30" s="7">
        <f t="shared" si="6"/>
        <v>1.4057662820978154E-6</v>
      </c>
      <c r="S30" s="7">
        <f t="shared" si="7"/>
        <v>1.8555424986609166E-3</v>
      </c>
      <c r="T30" s="7"/>
    </row>
    <row r="31" spans="1:23">
      <c r="A31">
        <v>11.087206627834796</v>
      </c>
      <c r="B31" s="1">
        <f t="shared" si="0"/>
        <v>3.6401744126335539E-2</v>
      </c>
      <c r="C31">
        <v>6.1227613653757848E-4</v>
      </c>
      <c r="D31">
        <v>75</v>
      </c>
      <c r="E31" s="1">
        <f t="shared" si="1"/>
        <v>754.66744337181876</v>
      </c>
      <c r="F31" s="2">
        <f t="shared" si="2"/>
        <v>4245004.3689664807</v>
      </c>
      <c r="G31" s="2">
        <f t="shared" si="3"/>
        <v>56600.058252886411</v>
      </c>
      <c r="H31" s="2">
        <f t="shared" si="4"/>
        <v>8367.1538799631689</v>
      </c>
      <c r="I31" s="2">
        <f t="shared" si="5"/>
        <v>627536.54099723778</v>
      </c>
      <c r="R31" s="7">
        <f t="shared" si="6"/>
        <v>1.2698687613177752E-7</v>
      </c>
      <c r="S31" s="7">
        <f t="shared" si="7"/>
        <v>1.6349054040947373E-4</v>
      </c>
      <c r="T31" s="7"/>
    </row>
    <row r="32" spans="1:23">
      <c r="A32">
        <v>11.06241068830834</v>
      </c>
      <c r="B32" s="1">
        <f t="shared" si="0"/>
        <v>3.7315643241385546E-2</v>
      </c>
      <c r="C32">
        <v>6.276478895339715E-4</v>
      </c>
      <c r="D32">
        <v>80</v>
      </c>
      <c r="E32" s="1">
        <f t="shared" si="1"/>
        <v>718.15491211010851</v>
      </c>
      <c r="F32" s="2">
        <f t="shared" si="2"/>
        <v>4596191.4375046948</v>
      </c>
      <c r="G32" s="2">
        <f t="shared" si="3"/>
        <v>57452.392968808679</v>
      </c>
      <c r="H32" s="2">
        <f t="shared" si="4"/>
        <v>7944.5245755880005</v>
      </c>
      <c r="I32" s="2">
        <f t="shared" si="5"/>
        <v>635561.96604704007</v>
      </c>
      <c r="N32" s="7" t="s">
        <v>26</v>
      </c>
      <c r="O32" s="7">
        <f>SUM(S20:S78)</f>
        <v>74.000000000066834</v>
      </c>
      <c r="R32" s="7">
        <f t="shared" si="6"/>
        <v>1.3079059134322976E-6</v>
      </c>
      <c r="S32" s="7">
        <f t="shared" si="7"/>
        <v>1.6524508076728886E-3</v>
      </c>
      <c r="T32" s="7"/>
    </row>
    <row r="33" spans="1:19">
      <c r="A33">
        <v>11.03698424305774</v>
      </c>
      <c r="B33" s="1">
        <f t="shared" si="0"/>
        <v>3.8276612647247715E-2</v>
      </c>
      <c r="C33">
        <v>6.4381136327056174E-4</v>
      </c>
      <c r="D33">
        <v>85</v>
      </c>
      <c r="E33" s="1">
        <f t="shared" si="1"/>
        <v>682.5476969807205</v>
      </c>
      <c r="F33" s="2">
        <f t="shared" si="2"/>
        <v>4931407.1106857052</v>
      </c>
      <c r="G33" s="2">
        <f t="shared" si="3"/>
        <v>58016.554243361243</v>
      </c>
      <c r="H33" s="2">
        <f t="shared" si="4"/>
        <v>7533.268176711561</v>
      </c>
      <c r="I33" s="2">
        <f t="shared" si="5"/>
        <v>640327.79502048262</v>
      </c>
      <c r="R33" s="7">
        <f t="shared" si="6"/>
        <v>6.5231885036029672E-6</v>
      </c>
      <c r="S33" s="7">
        <f t="shared" si="7"/>
        <v>8.0863476656844457E-3</v>
      </c>
    </row>
    <row r="34" spans="1:19">
      <c r="A34">
        <v>11.015345067954259</v>
      </c>
      <c r="B34" s="1">
        <f t="shared" si="0"/>
        <v>3.9113913548906261E-2</v>
      </c>
      <c r="C34">
        <v>6.5789473684210525E-4</v>
      </c>
      <c r="D34">
        <v>90</v>
      </c>
      <c r="E34" s="1">
        <f t="shared" si="1"/>
        <v>653.63824753645667</v>
      </c>
      <c r="F34" s="2">
        <f t="shared" si="2"/>
        <v>5294469.8050452992</v>
      </c>
      <c r="G34" s="2">
        <f t="shared" si="3"/>
        <v>58827.442278281102</v>
      </c>
      <c r="H34" s="2">
        <f t="shared" si="4"/>
        <v>7200.0508462269736</v>
      </c>
      <c r="I34" s="2">
        <f t="shared" si="5"/>
        <v>648004.57616042765</v>
      </c>
      <c r="R34" s="7">
        <f t="shared" si="6"/>
        <v>1.5001496390422342E-5</v>
      </c>
      <c r="S34" s="7">
        <f t="shared" si="7"/>
        <v>1.8242661974537059E-2</v>
      </c>
    </row>
    <row r="35" spans="1:19">
      <c r="A35">
        <v>10.993227262700639</v>
      </c>
      <c r="B35" s="1">
        <f t="shared" si="0"/>
        <v>3.9988665609105439E-2</v>
      </c>
      <c r="C35">
        <v>6.7260803766605007E-4</v>
      </c>
      <c r="D35">
        <v>95</v>
      </c>
      <c r="E35" s="1">
        <f t="shared" si="1"/>
        <v>625.35435032128066</v>
      </c>
      <c r="F35" s="2">
        <f t="shared" si="2"/>
        <v>5643823.0116495583</v>
      </c>
      <c r="G35" s="2">
        <f t="shared" si="3"/>
        <v>59408.663280521665</v>
      </c>
      <c r="H35" s="2">
        <f t="shared" si="4"/>
        <v>6874.6624928003484</v>
      </c>
      <c r="I35" s="2">
        <f t="shared" si="5"/>
        <v>653092.93681603321</v>
      </c>
      <c r="R35" s="7">
        <f t="shared" si="6"/>
        <v>2.6002215366322665E-5</v>
      </c>
      <c r="S35" s="7">
        <f t="shared" si="7"/>
        <v>3.1013036844817432E-2</v>
      </c>
    </row>
    <row r="36" spans="1:19">
      <c r="A36">
        <v>10.965954394567884</v>
      </c>
      <c r="B36" s="1">
        <f t="shared" si="0"/>
        <v>4.1094279311793686E-2</v>
      </c>
      <c r="C36">
        <v>6.9120442370831177E-4</v>
      </c>
      <c r="D36">
        <v>100</v>
      </c>
      <c r="E36" s="1">
        <f t="shared" si="1"/>
        <v>592.1575393941996</v>
      </c>
      <c r="F36" s="2">
        <f t="shared" si="2"/>
        <v>5921575.3939419957</v>
      </c>
      <c r="G36" s="2">
        <f t="shared" si="3"/>
        <v>59215.753939419963</v>
      </c>
      <c r="H36" s="2">
        <f t="shared" si="4"/>
        <v>6493.5725713963284</v>
      </c>
      <c r="I36" s="2">
        <f t="shared" si="5"/>
        <v>649357.25713963283</v>
      </c>
      <c r="R36" s="7">
        <f t="shared" si="6"/>
        <v>8.4394963226241128E-6</v>
      </c>
      <c r="S36" s="7">
        <f t="shared" si="7"/>
        <v>9.8052805773723821E-3</v>
      </c>
    </row>
    <row r="37" spans="1:19">
      <c r="A37">
        <v>10.928273880563582</v>
      </c>
      <c r="B37" s="1">
        <f t="shared" si="0"/>
        <v>4.2672276041153791E-2</v>
      </c>
      <c r="C37">
        <v>7.1774627669118972E-4</v>
      </c>
      <c r="D37">
        <v>110</v>
      </c>
      <c r="E37" s="1">
        <f t="shared" si="1"/>
        <v>549.17199778638735</v>
      </c>
      <c r="F37" s="2">
        <f t="shared" si="2"/>
        <v>6644981.1732152868</v>
      </c>
      <c r="G37" s="2">
        <f t="shared" si="3"/>
        <v>60408.919756502612</v>
      </c>
      <c r="H37" s="2">
        <f t="shared" si="4"/>
        <v>6001.5019993458982</v>
      </c>
      <c r="I37" s="2">
        <f t="shared" si="5"/>
        <v>660165.21992804878</v>
      </c>
      <c r="R37" s="7">
        <f t="shared" si="6"/>
        <v>1.5260005415499337E-5</v>
      </c>
      <c r="S37" s="7">
        <f t="shared" si="7"/>
        <v>1.7381341679132255E-2</v>
      </c>
    </row>
    <row r="38" spans="1:19">
      <c r="A38">
        <v>10.879367075821941</v>
      </c>
      <c r="B38" s="1">
        <f t="shared" si="0"/>
        <v>4.4811116332645569E-2</v>
      </c>
      <c r="C38">
        <v>7.5372149990578479E-4</v>
      </c>
      <c r="D38">
        <v>120</v>
      </c>
      <c r="E38" s="1">
        <f t="shared" si="1"/>
        <v>497.99900340688862</v>
      </c>
      <c r="F38" s="2">
        <f t="shared" si="2"/>
        <v>7171185.649059196</v>
      </c>
      <c r="G38" s="2">
        <f t="shared" si="3"/>
        <v>59759.880408826633</v>
      </c>
      <c r="H38" s="2">
        <f t="shared" si="4"/>
        <v>5417.9139614570422</v>
      </c>
      <c r="I38" s="2">
        <f t="shared" si="5"/>
        <v>650149.67537484516</v>
      </c>
      <c r="R38" s="7">
        <f t="shared" si="6"/>
        <v>2.3120442903282004E-5</v>
      </c>
      <c r="S38" s="7">
        <f t="shared" si="7"/>
        <v>2.5812113681622593E-2</v>
      </c>
    </row>
    <row r="39" spans="1:19">
      <c r="A39">
        <v>10.83820741987865</v>
      </c>
      <c r="B39" s="1">
        <f t="shared" si="0"/>
        <v>4.6694010284184184E-2</v>
      </c>
      <c r="C39">
        <v>7.8539171411741611E-4</v>
      </c>
      <c r="D39">
        <v>130</v>
      </c>
      <c r="E39" s="1">
        <f t="shared" si="1"/>
        <v>458.64604278001826</v>
      </c>
      <c r="F39" s="2">
        <f t="shared" si="2"/>
        <v>7751118.1229823083</v>
      </c>
      <c r="G39" s="2">
        <f t="shared" si="3"/>
        <v>59623.985561402376</v>
      </c>
      <c r="H39" s="2">
        <f t="shared" si="4"/>
        <v>4970.9009439563742</v>
      </c>
      <c r="I39" s="2">
        <f t="shared" si="5"/>
        <v>646217.1227143287</v>
      </c>
      <c r="R39" s="7">
        <f t="shared" si="6"/>
        <v>3.1460541262475988E-5</v>
      </c>
      <c r="S39" s="7">
        <f t="shared" si="7"/>
        <v>3.4419485378692466E-2</v>
      </c>
    </row>
    <row r="40" spans="1:19">
      <c r="A40">
        <v>10.801003129083949</v>
      </c>
      <c r="B40" s="1">
        <f t="shared" si="0"/>
        <v>4.84639483141125E-2</v>
      </c>
      <c r="C40">
        <v>8.1516201345017318E-4</v>
      </c>
      <c r="D40">
        <v>140</v>
      </c>
      <c r="E40" s="1">
        <f t="shared" si="1"/>
        <v>425.75760516050951</v>
      </c>
      <c r="F40" s="2">
        <f t="shared" si="2"/>
        <v>8344849.0611459864</v>
      </c>
      <c r="G40" s="2">
        <f t="shared" si="3"/>
        <v>59606.064722471332</v>
      </c>
      <c r="H40" s="2">
        <f t="shared" si="4"/>
        <v>4598.6092255699514</v>
      </c>
      <c r="I40" s="2">
        <f t="shared" si="5"/>
        <v>643805.29157979321</v>
      </c>
      <c r="R40" s="7">
        <f t="shared" si="6"/>
        <v>8.7687695817588114E-6</v>
      </c>
      <c r="S40" s="7">
        <f t="shared" si="7"/>
        <v>9.3366783836352739E-3</v>
      </c>
    </row>
    <row r="41" spans="1:19">
      <c r="A41">
        <v>10.750856838943861</v>
      </c>
      <c r="B41" s="1">
        <f t="shared" si="0"/>
        <v>5.0956201923580469E-2</v>
      </c>
      <c r="C41">
        <v>8.5708163702592668E-4</v>
      </c>
      <c r="D41">
        <v>150</v>
      </c>
      <c r="E41" s="1">
        <f t="shared" si="1"/>
        <v>385.12871460964794</v>
      </c>
      <c r="F41" s="2">
        <f t="shared" si="2"/>
        <v>8665396.078717079</v>
      </c>
      <c r="G41" s="2">
        <f t="shared" si="3"/>
        <v>57769.307191447195</v>
      </c>
      <c r="H41" s="2">
        <f t="shared" si="4"/>
        <v>4140.4636753347922</v>
      </c>
      <c r="I41" s="2">
        <f t="shared" si="5"/>
        <v>621069.55130021879</v>
      </c>
      <c r="R41" s="7">
        <f t="shared" si="6"/>
        <v>4.9385255345527595E-5</v>
      </c>
      <c r="S41" s="7">
        <f t="shared" si="7"/>
        <v>5.1867858811222585E-2</v>
      </c>
    </row>
    <row r="42" spans="1:19">
      <c r="A42">
        <v>10.703918398315748</v>
      </c>
      <c r="B42" s="1">
        <f t="shared" si="0"/>
        <v>5.3405029053974859E-2</v>
      </c>
      <c r="C42">
        <v>8.9827082865483947E-4</v>
      </c>
      <c r="D42">
        <v>160</v>
      </c>
      <c r="E42" s="1">
        <f t="shared" si="1"/>
        <v>350.61919529070008</v>
      </c>
      <c r="F42" s="2">
        <f t="shared" si="2"/>
        <v>8975851.3994419221</v>
      </c>
      <c r="G42" s="2">
        <f t="shared" si="3"/>
        <v>56099.071246512016</v>
      </c>
      <c r="H42" s="2">
        <f t="shared" si="4"/>
        <v>3752.9992552747867</v>
      </c>
      <c r="I42" s="2">
        <f t="shared" si="5"/>
        <v>600479.88084396592</v>
      </c>
      <c r="R42" s="7">
        <f t="shared" si="6"/>
        <v>5.6439484465144264E-5</v>
      </c>
      <c r="S42" s="7">
        <f t="shared" si="7"/>
        <v>5.8052486921680767E-2</v>
      </c>
    </row>
    <row r="43" spans="1:19">
      <c r="A43">
        <v>10.648515354973062</v>
      </c>
      <c r="B43" s="1">
        <f t="shared" si="0"/>
        <v>5.6447328359209605E-2</v>
      </c>
      <c r="C43">
        <v>9.4944220270591032E-4</v>
      </c>
      <c r="D43">
        <v>170</v>
      </c>
      <c r="E43" s="1">
        <f t="shared" si="1"/>
        <v>313.84355652803384</v>
      </c>
      <c r="F43" s="2">
        <f t="shared" si="2"/>
        <v>9070078.783660179</v>
      </c>
      <c r="G43" s="2">
        <f t="shared" si="3"/>
        <v>53353.404609765756</v>
      </c>
      <c r="H43" s="2">
        <f t="shared" si="4"/>
        <v>3341.9679307481247</v>
      </c>
      <c r="I43" s="2">
        <f t="shared" si="5"/>
        <v>568134.54822718119</v>
      </c>
      <c r="R43" s="7">
        <f t="shared" si="6"/>
        <v>6.2216643095089051E-5</v>
      </c>
      <c r="S43" s="7">
        <f t="shared" si="7"/>
        <v>6.2659304983463504E-2</v>
      </c>
    </row>
    <row r="44" spans="1:19">
      <c r="A44">
        <v>10.603362053845499</v>
      </c>
      <c r="B44" s="1">
        <f t="shared" si="0"/>
        <v>5.9054530513372255E-2</v>
      </c>
      <c r="C44">
        <v>9.9329525701514782E-4</v>
      </c>
      <c r="D44">
        <v>180</v>
      </c>
      <c r="E44" s="1">
        <f t="shared" si="1"/>
        <v>286.74348392955864</v>
      </c>
      <c r="F44" s="2">
        <f t="shared" si="2"/>
        <v>9290488.879317699</v>
      </c>
      <c r="G44" s="2">
        <f t="shared" si="3"/>
        <v>51613.827107320554</v>
      </c>
      <c r="H44" s="2">
        <f t="shared" si="4"/>
        <v>3040.4449766861389</v>
      </c>
      <c r="I44" s="2">
        <f t="shared" si="5"/>
        <v>547280.09580350493</v>
      </c>
      <c r="R44" s="7">
        <f t="shared" si="6"/>
        <v>6.6430852522707958E-5</v>
      </c>
      <c r="S44" s="7">
        <f t="shared" si="7"/>
        <v>6.5492629412703937E-2</v>
      </c>
    </row>
    <row r="45" spans="1:19">
      <c r="A45">
        <v>10.555812738575819</v>
      </c>
      <c r="B45" s="1">
        <f t="shared" si="0"/>
        <v>6.1930363119101578E-2</v>
      </c>
      <c r="C45">
        <v>1.0416666666666667E-3</v>
      </c>
      <c r="D45">
        <v>190</v>
      </c>
      <c r="E45" s="1">
        <f t="shared" si="1"/>
        <v>260.73104610872514</v>
      </c>
      <c r="F45" s="2">
        <f t="shared" si="2"/>
        <v>9412390.7645249777</v>
      </c>
      <c r="G45" s="2">
        <f t="shared" si="3"/>
        <v>49538.898760657779</v>
      </c>
      <c r="H45" s="2">
        <f t="shared" si="4"/>
        <v>2752.2280978566801</v>
      </c>
      <c r="I45" s="2">
        <f t="shared" si="5"/>
        <v>522923.33859276923</v>
      </c>
      <c r="R45" s="7">
        <f t="shared" si="6"/>
        <v>4.0593834005992267E-5</v>
      </c>
      <c r="S45" s="7">
        <f t="shared" si="7"/>
        <v>3.7759455653636795E-2</v>
      </c>
    </row>
    <row r="46" spans="1:19">
      <c r="A46">
        <v>10.506162829931998</v>
      </c>
      <c r="B46" s="1">
        <f t="shared" si="0"/>
        <v>6.5082811816461431E-2</v>
      </c>
      <c r="C46">
        <v>1.0946907498631637E-3</v>
      </c>
      <c r="D46">
        <v>200</v>
      </c>
      <c r="E46" s="1">
        <f t="shared" si="1"/>
        <v>236.08445095666525</v>
      </c>
      <c r="F46" s="2">
        <f t="shared" si="2"/>
        <v>9443378.0382666104</v>
      </c>
      <c r="G46" s="2">
        <f t="shared" si="3"/>
        <v>47216.890191333048</v>
      </c>
      <c r="H46" s="2">
        <f t="shared" si="4"/>
        <v>2480.3416833658202</v>
      </c>
      <c r="I46" s="2">
        <f t="shared" si="5"/>
        <v>496068.33667316404</v>
      </c>
      <c r="R46" s="7">
        <f t="shared" si="6"/>
        <v>5.9154045415168164E-5</v>
      </c>
      <c r="S46" s="7">
        <f t="shared" si="7"/>
        <v>5.2237806392993906E-2</v>
      </c>
    </row>
    <row r="47" spans="1:19">
      <c r="A47">
        <v>10.461387583688047</v>
      </c>
      <c r="B47" s="1">
        <f t="shared" si="0"/>
        <v>6.8063135196722968E-2</v>
      </c>
      <c r="C47">
        <v>1.1448196908986834E-3</v>
      </c>
      <c r="D47">
        <v>210</v>
      </c>
      <c r="E47" s="1">
        <f t="shared" si="1"/>
        <v>215.86195185092342</v>
      </c>
      <c r="F47" s="2">
        <f t="shared" si="2"/>
        <v>9519512.0766257234</v>
      </c>
      <c r="G47" s="2">
        <f t="shared" si="3"/>
        <v>45331.009888693916</v>
      </c>
      <c r="H47" s="2">
        <f t="shared" si="4"/>
        <v>2258.2155428839174</v>
      </c>
      <c r="I47" s="2">
        <f t="shared" si="5"/>
        <v>474225.26400562265</v>
      </c>
      <c r="R47" s="7">
        <f t="shared" si="6"/>
        <v>6.679317689267875E-5</v>
      </c>
      <c r="S47" s="7">
        <f t="shared" si="7"/>
        <v>5.590353555694335E-2</v>
      </c>
    </row>
    <row r="48" spans="1:19">
      <c r="A48">
        <v>10.414513156304785</v>
      </c>
      <c r="B48" s="1">
        <f t="shared" si="0"/>
        <v>7.132951241072287E-2</v>
      </c>
      <c r="C48">
        <v>1.1997600479904018E-3</v>
      </c>
      <c r="D48">
        <v>220</v>
      </c>
      <c r="E48" s="1">
        <f t="shared" si="1"/>
        <v>196.54476887750357</v>
      </c>
      <c r="F48" s="2">
        <f t="shared" si="2"/>
        <v>9512766.8136711735</v>
      </c>
      <c r="G48" s="2">
        <f t="shared" si="3"/>
        <v>43239.849153050789</v>
      </c>
      <c r="H48" s="2">
        <f t="shared" si="4"/>
        <v>2046.9180812776442</v>
      </c>
      <c r="I48" s="2">
        <f t="shared" si="5"/>
        <v>450321.97788108175</v>
      </c>
      <c r="R48" s="7">
        <f t="shared" si="6"/>
        <v>6.2650609073495908E-5</v>
      </c>
      <c r="S48" s="7">
        <f t="shared" si="7"/>
        <v>4.9624625904637669E-2</v>
      </c>
    </row>
    <row r="49" spans="1:19">
      <c r="A49">
        <v>10.356789990058452</v>
      </c>
      <c r="B49" s="1">
        <f t="shared" si="0"/>
        <v>7.5568031260676863E-2</v>
      </c>
      <c r="C49">
        <v>1.2710517953606611E-3</v>
      </c>
      <c r="D49">
        <v>230</v>
      </c>
      <c r="E49" s="1">
        <f t="shared" si="1"/>
        <v>175.11517570134717</v>
      </c>
      <c r="F49" s="2">
        <f t="shared" si="2"/>
        <v>9263592.7946012653</v>
      </c>
      <c r="G49" s="2">
        <f t="shared" si="3"/>
        <v>40276.490411309846</v>
      </c>
      <c r="H49" s="2">
        <f t="shared" si="4"/>
        <v>1813.6310988110395</v>
      </c>
      <c r="I49" s="2">
        <f t="shared" si="5"/>
        <v>417135.15272653906</v>
      </c>
      <c r="R49" s="7">
        <f t="shared" si="6"/>
        <v>1.214011243271101E-4</v>
      </c>
      <c r="S49" s="7">
        <f t="shared" si="7"/>
        <v>9.1617476118404498E-2</v>
      </c>
    </row>
    <row r="50" spans="1:19">
      <c r="A50">
        <v>10.277461993552922</v>
      </c>
      <c r="B50" s="1">
        <f t="shared" si="0"/>
        <v>8.1806878010784331E-2</v>
      </c>
      <c r="C50">
        <v>1.3759889920880633E-3</v>
      </c>
      <c r="D50">
        <v>245</v>
      </c>
      <c r="E50" s="1">
        <f t="shared" si="1"/>
        <v>149.42400133379803</v>
      </c>
      <c r="F50" s="2">
        <f t="shared" si="2"/>
        <v>8969175.6800612267</v>
      </c>
      <c r="G50" s="2">
        <f t="shared" si="3"/>
        <v>36608.88032678052</v>
      </c>
      <c r="H50" s="2">
        <f t="shared" si="4"/>
        <v>1535.6994946327104</v>
      </c>
      <c r="I50" s="2">
        <f t="shared" si="5"/>
        <v>376246.37618501409</v>
      </c>
      <c r="R50" s="7">
        <f t="shared" si="6"/>
        <v>1.828236779253065E-4</v>
      </c>
      <c r="S50" s="7">
        <f t="shared" si="7"/>
        <v>0.13129572235209527</v>
      </c>
    </row>
    <row r="51" spans="1:19">
      <c r="A51">
        <v>10.210972252284089</v>
      </c>
      <c r="B51" s="1">
        <f t="shared" si="0"/>
        <v>8.7431100874025752E-2</v>
      </c>
      <c r="C51">
        <v>1.4705882352941176E-3</v>
      </c>
      <c r="D51">
        <v>260</v>
      </c>
      <c r="E51" s="1">
        <f t="shared" si="1"/>
        <v>130.81818112052355</v>
      </c>
      <c r="F51" s="2">
        <f t="shared" si="2"/>
        <v>8843309.0437473916</v>
      </c>
      <c r="G51" s="2">
        <f t="shared" si="3"/>
        <v>34012.727091336121</v>
      </c>
      <c r="H51" s="2">
        <f t="shared" si="4"/>
        <v>1335.7808175159403</v>
      </c>
      <c r="I51" s="2">
        <f t="shared" si="5"/>
        <v>347303.01255414443</v>
      </c>
      <c r="R51" s="7">
        <f t="shared" si="6"/>
        <v>2.3696716070831789E-4</v>
      </c>
      <c r="S51" s="7">
        <f t="shared" si="7"/>
        <v>0.16174138980152267</v>
      </c>
    </row>
    <row r="52" spans="1:19">
      <c r="A52">
        <v>10.150347630467653</v>
      </c>
      <c r="B52" s="1">
        <f t="shared" si="0"/>
        <v>9.2895544678652367E-2</v>
      </c>
      <c r="C52">
        <v>1.5625000000000001E-3</v>
      </c>
      <c r="D52">
        <v>275</v>
      </c>
      <c r="E52" s="1">
        <f t="shared" si="1"/>
        <v>115.88046493721117</v>
      </c>
      <c r="F52" s="2">
        <f t="shared" si="2"/>
        <v>8763460.1608765945</v>
      </c>
      <c r="G52" s="2">
        <f t="shared" si="3"/>
        <v>31867.127857733074</v>
      </c>
      <c r="H52" s="2">
        <f t="shared" si="4"/>
        <v>1176.2270026929114</v>
      </c>
      <c r="I52" s="2">
        <f t="shared" si="5"/>
        <v>323462.42574055062</v>
      </c>
      <c r="R52" s="7">
        <f t="shared" si="6"/>
        <v>4.4325049099970369E-4</v>
      </c>
      <c r="S52" s="7">
        <f t="shared" si="7"/>
        <v>0.28972547415672029</v>
      </c>
    </row>
    <row r="53" spans="1:19">
      <c r="A53">
        <v>10.074916668163659</v>
      </c>
      <c r="B53" s="1">
        <f t="shared" si="0"/>
        <v>0.10017379712609521</v>
      </c>
      <c r="C53">
        <v>1.6849199663016006E-3</v>
      </c>
      <c r="D53">
        <v>290</v>
      </c>
      <c r="E53" s="1">
        <f t="shared" si="1"/>
        <v>99.653309815745544</v>
      </c>
      <c r="F53" s="2">
        <f t="shared" si="2"/>
        <v>8380843.3555041999</v>
      </c>
      <c r="G53" s="2">
        <f t="shared" si="3"/>
        <v>28899.459846566209</v>
      </c>
      <c r="H53" s="2">
        <f t="shared" si="4"/>
        <v>1003.998792100332</v>
      </c>
      <c r="I53" s="2">
        <f t="shared" si="5"/>
        <v>291159.64970909629</v>
      </c>
      <c r="R53" s="7">
        <f t="shared" si="6"/>
        <v>6.8825749043516606E-4</v>
      </c>
      <c r="S53" s="7">
        <f t="shared" si="7"/>
        <v>0.4304048157848383</v>
      </c>
    </row>
    <row r="54" spans="1:19">
      <c r="A54">
        <v>10.01681623784313</v>
      </c>
      <c r="B54" s="1">
        <f t="shared" si="0"/>
        <v>0.10616633677560269</v>
      </c>
      <c r="C54">
        <v>1.7857142857142857E-3</v>
      </c>
      <c r="D54">
        <v>305</v>
      </c>
      <c r="E54" s="1">
        <f t="shared" si="1"/>
        <v>88.720980967552322</v>
      </c>
      <c r="F54" s="2">
        <f t="shared" si="2"/>
        <v>8253269.2545065545</v>
      </c>
      <c r="G54" s="2">
        <f t="shared" si="3"/>
        <v>27059.899195103459</v>
      </c>
      <c r="H54" s="2">
        <f t="shared" si="4"/>
        <v>888.70176279314944</v>
      </c>
      <c r="I54" s="2">
        <f t="shared" si="5"/>
        <v>271054.03765191056</v>
      </c>
      <c r="R54" s="7">
        <f t="shared" si="6"/>
        <v>6.8962679074851478E-4</v>
      </c>
      <c r="S54" s="7">
        <f t="shared" si="7"/>
        <v>0.4083677035099591</v>
      </c>
    </row>
    <row r="55" spans="1:19">
      <c r="A55">
        <v>9.9427082656894097</v>
      </c>
      <c r="B55" s="1">
        <f t="shared" si="0"/>
        <v>0.11433297806603368</v>
      </c>
      <c r="C55">
        <v>1.9230769230769232E-3</v>
      </c>
      <c r="D55">
        <v>320</v>
      </c>
      <c r="E55" s="1">
        <f t="shared" si="1"/>
        <v>76.499213181205803</v>
      </c>
      <c r="F55" s="2">
        <f t="shared" si="2"/>
        <v>7833519.4297554744</v>
      </c>
      <c r="G55" s="2">
        <f t="shared" si="3"/>
        <v>24479.748217985856</v>
      </c>
      <c r="H55" s="2">
        <f t="shared" si="4"/>
        <v>760.60935921551118</v>
      </c>
      <c r="I55" s="2">
        <f t="shared" si="5"/>
        <v>243394.99494896358</v>
      </c>
      <c r="R55" s="7">
        <f t="shared" si="6"/>
        <v>1.8643515010639585E-3</v>
      </c>
      <c r="S55" s="7">
        <f t="shared" si="7"/>
        <v>1.0238496384153442</v>
      </c>
    </row>
    <row r="56" spans="1:19">
      <c r="A56">
        <v>9.8626655580158733</v>
      </c>
      <c r="B56" s="1">
        <f t="shared" si="0"/>
        <v>0.12386072623820316</v>
      </c>
      <c r="C56">
        <v>2.0833333333333333E-3</v>
      </c>
      <c r="D56">
        <v>340</v>
      </c>
      <c r="E56" s="1">
        <f t="shared" si="1"/>
        <v>65.182761527181285</v>
      </c>
      <c r="F56" s="2">
        <f t="shared" si="2"/>
        <v>7535127.2325421562</v>
      </c>
      <c r="G56" s="2">
        <f t="shared" si="3"/>
        <v>22162.138919241635</v>
      </c>
      <c r="H56" s="2">
        <f t="shared" si="4"/>
        <v>642.87577709049299</v>
      </c>
      <c r="I56" s="2">
        <f t="shared" si="5"/>
        <v>218577.76421076761</v>
      </c>
      <c r="R56" s="7">
        <f t="shared" si="6"/>
        <v>2.3882023004465455E-3</v>
      </c>
      <c r="S56" s="7">
        <f t="shared" si="7"/>
        <v>1.1893223655564185</v>
      </c>
    </row>
    <row r="57" spans="1:19">
      <c r="A57">
        <v>9.7756541810262423</v>
      </c>
      <c r="B57" s="1">
        <f t="shared" si="0"/>
        <v>0.13512079225985799</v>
      </c>
      <c r="C57">
        <v>2.2727272727272726E-3</v>
      </c>
      <c r="D57">
        <v>360</v>
      </c>
      <c r="E57" s="1">
        <f t="shared" si="1"/>
        <v>54.771626005478723</v>
      </c>
      <c r="F57" s="2">
        <f t="shared" si="2"/>
        <v>7098402.7303100424</v>
      </c>
      <c r="G57" s="2">
        <f t="shared" si="3"/>
        <v>19717.785361972339</v>
      </c>
      <c r="H57" s="2">
        <f t="shared" si="4"/>
        <v>535.42847476206373</v>
      </c>
      <c r="I57" s="2">
        <f t="shared" si="5"/>
        <v>192754.25091434293</v>
      </c>
      <c r="R57" s="7">
        <f t="shared" si="6"/>
        <v>3.8822227438059828E-3</v>
      </c>
      <c r="S57" s="7">
        <f t="shared" si="7"/>
        <v>1.7805660986371987</v>
      </c>
    </row>
    <row r="58" spans="1:19">
      <c r="A58">
        <v>9.7135369685776816</v>
      </c>
      <c r="B58" s="1">
        <f t="shared" si="0"/>
        <v>0.14378028680613666</v>
      </c>
      <c r="C58">
        <v>2.4183796856106408E-3</v>
      </c>
      <c r="D58">
        <v>380</v>
      </c>
      <c r="E58" s="1">
        <f t="shared" si="1"/>
        <v>48.372809145533388</v>
      </c>
      <c r="F58" s="2">
        <f t="shared" si="2"/>
        <v>6985033.6406150209</v>
      </c>
      <c r="G58" s="2">
        <f t="shared" si="3"/>
        <v>18381.667475302689</v>
      </c>
      <c r="H58" s="2">
        <f t="shared" si="4"/>
        <v>469.87106990909115</v>
      </c>
      <c r="I58" s="2">
        <f t="shared" si="5"/>
        <v>178551.00656545465</v>
      </c>
      <c r="R58" s="7">
        <f t="shared" si="6"/>
        <v>6.3522652313366332E-3</v>
      </c>
      <c r="S58" s="7">
        <f t="shared" si="7"/>
        <v>2.7045252322382547</v>
      </c>
    </row>
    <row r="59" spans="1:19">
      <c r="A59">
        <v>9.6290507068343683</v>
      </c>
      <c r="B59" s="1">
        <f t="shared" si="0"/>
        <v>0.15645565419562504</v>
      </c>
      <c r="C59">
        <v>2.631578947368421E-3</v>
      </c>
      <c r="D59">
        <v>400</v>
      </c>
      <c r="E59" s="1">
        <f t="shared" si="1"/>
        <v>40.852390471028542</v>
      </c>
      <c r="F59" s="2">
        <f t="shared" si="2"/>
        <v>6536382.4753645668</v>
      </c>
      <c r="G59" s="2">
        <f t="shared" si="3"/>
        <v>16340.956188411417</v>
      </c>
      <c r="H59" s="2">
        <f t="shared" si="4"/>
        <v>393.36973934093101</v>
      </c>
      <c r="I59" s="2">
        <f t="shared" si="5"/>
        <v>157347.89573637239</v>
      </c>
      <c r="R59" s="7">
        <f t="shared" si="6"/>
        <v>7.0816792433374895E-3</v>
      </c>
      <c r="S59" s="7">
        <f t="shared" si="7"/>
        <v>2.7273580242643916</v>
      </c>
    </row>
    <row r="60" spans="1:19">
      <c r="A60">
        <v>9.5567629394505644</v>
      </c>
      <c r="B60" s="1">
        <f t="shared" si="0"/>
        <v>0.1681842958821429</v>
      </c>
      <c r="C60">
        <v>2.828854314002829E-3</v>
      </c>
      <c r="D60">
        <v>420</v>
      </c>
      <c r="E60" s="1">
        <f t="shared" si="1"/>
        <v>35.353231517578166</v>
      </c>
      <c r="F60" s="2">
        <f t="shared" si="2"/>
        <v>6236310.0397007884</v>
      </c>
      <c r="G60" s="2">
        <f t="shared" si="3"/>
        <v>14848.35723738283</v>
      </c>
      <c r="H60" s="2">
        <f t="shared" si="4"/>
        <v>337.86245275700668</v>
      </c>
      <c r="I60" s="2">
        <f t="shared" si="5"/>
        <v>141902.2301579428</v>
      </c>
      <c r="R60" s="7">
        <f t="shared" si="6"/>
        <v>8.4294760001007839E-3</v>
      </c>
      <c r="S60" s="7">
        <f t="shared" si="7"/>
        <v>2.9555360918776064</v>
      </c>
    </row>
    <row r="61" spans="1:19">
      <c r="B61" s="1"/>
      <c r="E61" s="1"/>
      <c r="F61" s="2"/>
      <c r="G61" s="2"/>
      <c r="H61" s="2"/>
      <c r="I61" s="2"/>
      <c r="R61" s="7">
        <f t="shared" si="6"/>
        <v>8.2822811746921694E-3</v>
      </c>
      <c r="S61" s="7">
        <f t="shared" si="7"/>
        <v>2.5993405800305727</v>
      </c>
    </row>
    <row r="62" spans="1:19">
      <c r="B62" s="1"/>
      <c r="E62" s="1"/>
      <c r="F62" s="2"/>
      <c r="G62" s="2"/>
      <c r="H62" s="2"/>
      <c r="I62" s="2"/>
      <c r="R62" s="7">
        <f t="shared" si="6"/>
        <v>1.0090532515370886E-2</v>
      </c>
      <c r="S62" s="7">
        <f t="shared" si="7"/>
        <v>2.8933944481619402</v>
      </c>
    </row>
    <row r="63" spans="1:19">
      <c r="B63" s="1"/>
      <c r="E63" s="1"/>
      <c r="F63" s="2"/>
      <c r="G63" s="2"/>
      <c r="H63" s="2"/>
      <c r="I63" s="2"/>
      <c r="R63" s="7">
        <f t="shared" si="6"/>
        <v>1.1556299891111012E-2</v>
      </c>
      <c r="S63" s="7">
        <f t="shared" si="7"/>
        <v>3.0130861597555203</v>
      </c>
    </row>
    <row r="64" spans="1:19">
      <c r="B64" s="1"/>
      <c r="E64" s="1"/>
      <c r="F64" s="2"/>
      <c r="G64" s="2"/>
      <c r="H64" s="2"/>
      <c r="I64" s="2"/>
      <c r="R64" s="7">
        <f t="shared" si="6"/>
        <v>1.2644603993243688E-2</v>
      </c>
      <c r="S64" s="7">
        <f t="shared" si="7"/>
        <v>2.9851943913093928</v>
      </c>
    </row>
    <row r="65" spans="2:19">
      <c r="B65" s="1"/>
      <c r="E65" s="1"/>
      <c r="F65" s="2"/>
      <c r="G65" s="2"/>
      <c r="H65" s="2"/>
      <c r="I65" s="2"/>
      <c r="R65" s="7">
        <f t="shared" si="6"/>
        <v>1.4950169676495456E-2</v>
      </c>
      <c r="S65" s="7">
        <f t="shared" si="7"/>
        <v>3.2271728068707977</v>
      </c>
    </row>
    <row r="66" spans="2:19">
      <c r="B66" s="1"/>
      <c r="E66" s="1"/>
      <c r="F66" s="2"/>
      <c r="G66" s="2"/>
      <c r="H66" s="2"/>
      <c r="I66" s="2"/>
      <c r="R66" s="7">
        <f t="shared" si="6"/>
        <v>1.6898534601489681E-2</v>
      </c>
      <c r="S66" s="7">
        <f t="shared" si="7"/>
        <v>3.3213185776182863</v>
      </c>
    </row>
    <row r="67" spans="2:19">
      <c r="B67" s="1"/>
      <c r="E67" s="1"/>
      <c r="F67" s="2"/>
      <c r="G67" s="2"/>
      <c r="H67" s="2"/>
      <c r="I67" s="2"/>
      <c r="R67" s="7">
        <f t="shared" si="6"/>
        <v>1.609576907606828E-2</v>
      </c>
      <c r="S67" s="7">
        <f t="shared" si="7"/>
        <v>2.8186134298040071</v>
      </c>
    </row>
    <row r="68" spans="2:19">
      <c r="B68" s="1"/>
      <c r="E68" s="1"/>
      <c r="F68" s="2"/>
      <c r="G68" s="2"/>
      <c r="H68" s="2"/>
      <c r="I68" s="2"/>
      <c r="R68" s="7">
        <f t="shared" si="6"/>
        <v>1.6754186162623693E-2</v>
      </c>
      <c r="S68" s="7">
        <f t="shared" si="7"/>
        <v>2.5034775355105832</v>
      </c>
    </row>
    <row r="69" spans="2:19">
      <c r="B69" s="1"/>
      <c r="E69" s="1"/>
      <c r="F69" s="2"/>
      <c r="G69" s="2"/>
      <c r="H69" s="2"/>
      <c r="I69" s="2"/>
      <c r="R69" s="7">
        <f t="shared" si="6"/>
        <v>2.0980096710073351E-2</v>
      </c>
      <c r="S69" s="7">
        <f t="shared" si="7"/>
        <v>2.7445780913444762</v>
      </c>
    </row>
    <row r="70" spans="2:19">
      <c r="B70" s="1"/>
      <c r="E70" s="1"/>
      <c r="F70" s="2"/>
      <c r="G70" s="2"/>
      <c r="H70" s="2"/>
      <c r="I70" s="2"/>
      <c r="R70" s="7">
        <f t="shared" si="6"/>
        <v>2.7594961833259754E-2</v>
      </c>
      <c r="S70" s="7">
        <f t="shared" si="7"/>
        <v>3.1977170071627374</v>
      </c>
    </row>
    <row r="71" spans="2:19">
      <c r="B71" s="1"/>
      <c r="E71" s="1"/>
      <c r="F71" s="2"/>
      <c r="G71" s="2"/>
      <c r="H71" s="2"/>
      <c r="I71" s="2"/>
      <c r="R71" s="7">
        <f t="shared" si="6"/>
        <v>2.9784963730843279E-2</v>
      </c>
      <c r="S71" s="7">
        <f t="shared" si="7"/>
        <v>2.9681702185204699</v>
      </c>
    </row>
    <row r="72" spans="2:19">
      <c r="B72" s="1"/>
      <c r="E72" s="1"/>
      <c r="F72" s="2"/>
      <c r="G72" s="2"/>
      <c r="H72" s="2"/>
      <c r="I72" s="2"/>
      <c r="R72" s="7">
        <f t="shared" si="6"/>
        <v>3.8564960960677436E-2</v>
      </c>
      <c r="S72" s="7">
        <f t="shared" si="7"/>
        <v>3.4215211674066608</v>
      </c>
    </row>
    <row r="73" spans="2:19">
      <c r="B73" s="1"/>
      <c r="E73" s="1"/>
      <c r="F73" s="2"/>
      <c r="G73" s="2"/>
      <c r="H73" s="2"/>
      <c r="I73" s="2"/>
      <c r="R73" s="7">
        <f t="shared" si="6"/>
        <v>4.1684784400559526E-2</v>
      </c>
      <c r="S73" s="7">
        <f t="shared" si="7"/>
        <v>3.1888532082710057</v>
      </c>
    </row>
    <row r="74" spans="2:19">
      <c r="B74" s="1"/>
      <c r="E74" s="1"/>
      <c r="F74" s="2"/>
      <c r="G74" s="2"/>
      <c r="H74" s="2"/>
      <c r="I74" s="2"/>
      <c r="R74" s="7">
        <f t="shared" si="6"/>
        <v>5.443897893713362E-2</v>
      </c>
      <c r="S74" s="7">
        <f t="shared" si="7"/>
        <v>3.5484829818424255</v>
      </c>
    </row>
    <row r="75" spans="2:19">
      <c r="B75" s="1"/>
      <c r="E75" s="1"/>
      <c r="F75" s="2"/>
      <c r="G75" s="2"/>
      <c r="H75" s="2"/>
      <c r="I75" s="2"/>
      <c r="R75" s="7">
        <f t="shared" si="6"/>
        <v>6.5283343399630919E-2</v>
      </c>
      <c r="S75" s="7">
        <f t="shared" si="7"/>
        <v>3.5756748690718223</v>
      </c>
    </row>
    <row r="76" spans="2:19">
      <c r="B76" s="1"/>
      <c r="E76" s="1"/>
      <c r="F76" s="2"/>
      <c r="G76" s="2"/>
      <c r="H76" s="2"/>
      <c r="I76" s="2"/>
      <c r="R76" s="7">
        <f t="shared" si="6"/>
        <v>9.1557470657020523E-2</v>
      </c>
      <c r="S76" s="7">
        <f t="shared" si="7"/>
        <v>4.4288920539398271</v>
      </c>
    </row>
    <row r="77" spans="2:19">
      <c r="B77" s="1"/>
      <c r="E77" s="1"/>
      <c r="F77" s="2"/>
      <c r="G77" s="2"/>
      <c r="H77" s="2"/>
      <c r="I77" s="2"/>
      <c r="R77" s="7">
        <f t="shared" si="6"/>
        <v>0.10712149201508356</v>
      </c>
      <c r="S77" s="7">
        <f t="shared" si="7"/>
        <v>4.3761690196393594</v>
      </c>
    </row>
    <row r="78" spans="2:19">
      <c r="R78" s="7">
        <f t="shared" si="6"/>
        <v>0.1326432715269448</v>
      </c>
      <c r="S78" s="7">
        <f t="shared" si="7"/>
        <v>4.6893682875410638</v>
      </c>
    </row>
    <row r="79" spans="2:19">
      <c r="R79" s="7"/>
      <c r="S79" s="7"/>
    </row>
    <row r="80" spans="2:19">
      <c r="R80" s="7"/>
      <c r="S80" s="7"/>
    </row>
    <row r="81" spans="18:19">
      <c r="R81" s="7"/>
      <c r="S81" s="7"/>
    </row>
    <row r="82" spans="18:19">
      <c r="R82" s="7"/>
      <c r="S82" s="7"/>
    </row>
    <row r="83" spans="18:19">
      <c r="R83" s="7"/>
      <c r="S83" s="7"/>
    </row>
    <row r="84" spans="18:19">
      <c r="R84" s="7"/>
      <c r="S84" s="7"/>
    </row>
    <row r="85" spans="18:19">
      <c r="R85" s="7"/>
      <c r="S85" s="7"/>
    </row>
    <row r="86" spans="18:19">
      <c r="R86" s="7"/>
      <c r="S86" s="7"/>
    </row>
    <row r="87" spans="18:19">
      <c r="R87" s="7"/>
      <c r="S87" s="7"/>
    </row>
    <row r="88" spans="18:19">
      <c r="R88" s="7"/>
      <c r="S88" s="7"/>
    </row>
    <row r="89" spans="18:19">
      <c r="R89" s="7"/>
      <c r="S89" s="7"/>
    </row>
    <row r="90" spans="18:19">
      <c r="R90" s="7"/>
      <c r="S90" s="7"/>
    </row>
    <row r="91" spans="18:19">
      <c r="R91" s="7"/>
      <c r="S91" s="7"/>
    </row>
    <row r="92" spans="18:19">
      <c r="R92" s="7"/>
      <c r="S92" s="7"/>
    </row>
    <row r="93" spans="18:19">
      <c r="R93" s="7"/>
      <c r="S93" s="7"/>
    </row>
    <row r="94" spans="18:19">
      <c r="R94" s="7"/>
      <c r="S94" s="7"/>
    </row>
    <row r="95" spans="18:19">
      <c r="R95" s="7"/>
      <c r="S95" s="7"/>
    </row>
    <row r="96" spans="18:19">
      <c r="R96" s="7"/>
    </row>
    <row r="97" spans="18:18">
      <c r="R97" s="7"/>
    </row>
    <row r="98" spans="18:18">
      <c r="R98" s="7"/>
    </row>
    <row r="99" spans="18:18">
      <c r="R99" s="7"/>
    </row>
    <row r="100" spans="18:18">
      <c r="R100" s="7"/>
    </row>
    <row r="101" spans="18:18">
      <c r="R101" s="7"/>
    </row>
    <row r="102" spans="18:18">
      <c r="R102" s="7"/>
    </row>
    <row r="103" spans="18:18">
      <c r="R103" s="7"/>
    </row>
    <row r="104" spans="18:18">
      <c r="R104" s="7"/>
    </row>
    <row r="105" spans="18:18">
      <c r="R105" s="7"/>
    </row>
    <row r="106" spans="18:18">
      <c r="R106" s="7"/>
    </row>
    <row r="107" spans="18:18">
      <c r="R107" s="7"/>
    </row>
    <row r="108" spans="18:18">
      <c r="R108" s="7"/>
    </row>
    <row r="109" spans="18:18">
      <c r="R109" s="7"/>
    </row>
    <row r="110" spans="18:18">
      <c r="R110" s="7"/>
    </row>
    <row r="111" spans="18:18">
      <c r="R111" s="7"/>
    </row>
    <row r="112" spans="18:18">
      <c r="R112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5" sqref="D5:D6"/>
    </sheetView>
  </sheetViews>
  <sheetFormatPr defaultRowHeight="15"/>
  <sheetData>
    <row r="1" spans="1:4">
      <c r="A1">
        <v>49.1</v>
      </c>
      <c r="B1">
        <v>46.3</v>
      </c>
      <c r="C1">
        <f>1/A1+1/B1</f>
        <v>4.1964870916233021E-2</v>
      </c>
      <c r="D1">
        <f>1/C1</f>
        <v>23.829454926624734</v>
      </c>
    </row>
    <row r="2" spans="1:4">
      <c r="A2">
        <v>49.1</v>
      </c>
      <c r="B2">
        <v>47.4</v>
      </c>
      <c r="C2">
        <f>1/A2+1/B2</f>
        <v>4.1463645191506179E-2</v>
      </c>
      <c r="D2">
        <f>1/C2</f>
        <v>24.117512953367878</v>
      </c>
    </row>
    <row r="3" spans="1:4">
      <c r="A3">
        <v>49.1</v>
      </c>
      <c r="B3">
        <v>47.4</v>
      </c>
    </row>
    <row r="5" spans="1:4">
      <c r="A5">
        <v>47.3</v>
      </c>
      <c r="B5">
        <v>48.8</v>
      </c>
      <c r="C5">
        <f>1/A5+1/B5</f>
        <v>4.1633452327314316E-2</v>
      </c>
      <c r="D5">
        <f>1/C5</f>
        <v>24.019146722164415</v>
      </c>
    </row>
    <row r="6" spans="1:4">
      <c r="A6">
        <v>47.3</v>
      </c>
      <c r="B6">
        <v>49.7</v>
      </c>
      <c r="C6">
        <f>1/A6+1/B6</f>
        <v>4.1262373394702248E-2</v>
      </c>
      <c r="D6">
        <f>1/C6</f>
        <v>24.23515463917526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lente convergente e divergente</vt:lpstr>
      <vt:lpstr>Regressione lineare (3)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2013-11-13T20:17:11Z</dcterms:modified>
</cp:coreProperties>
</file>